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kappa\userfiles\Nodzakovag\Desktop\"/>
    </mc:Choice>
  </mc:AlternateContent>
  <bookViews>
    <workbookView xWindow="0" yWindow="0" windowWidth="28800" windowHeight="12180" tabRatio="945" activeTab="10"/>
  </bookViews>
  <sheets>
    <sheet name="Rekapitulace" sheetId="1" r:id="rId1"/>
    <sheet name="bourání a demolice ROZ" sheetId="2" r:id="rId2"/>
    <sheet name="sanace ROZ" sheetId="41" r:id="rId3"/>
    <sheet name="stavební úpravy ROZ" sheetId="31" r:id="rId4"/>
    <sheet name="venkovní plochy a nové objekty" sheetId="32" r:id="rId5"/>
    <sheet name="výrobky a specifikace" sheetId="33" r:id="rId6"/>
    <sheet name="ZTI vodovod" sheetId="22" r:id="rId7"/>
    <sheet name="ZTI kanalizace" sheetId="36" r:id="rId8"/>
    <sheet name="ZTI plynovod" sheetId="40" r:id="rId9"/>
    <sheet name="VZT" sheetId="42" r:id="rId10"/>
    <sheet name="Ústřední vytápění" sheetId="25" r:id="rId11"/>
    <sheet name="elektro SIL+SLA" sheetId="27" r:id="rId12"/>
    <sheet name="EZS+CCTV" sheetId="34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">"$#REF!.$A$2:$L$263"</definedName>
    <definedName name="__CENA__">#REF!</definedName>
    <definedName name="__MAIN__">#REF!</definedName>
    <definedName name="__MAIN2__">#REF!</definedName>
    <definedName name="__MAIN3__">#REF!</definedName>
    <definedName name="__SAZBA__">#REF!</definedName>
    <definedName name="__T0__">#REF!</definedName>
    <definedName name="__T1__">#REF!</definedName>
    <definedName name="__T2__">#REF!</definedName>
    <definedName name="__T3__">#REF!</definedName>
    <definedName name="__T4__">#REF!</definedName>
    <definedName name="__T5__">#REF!</definedName>
    <definedName name="__T7__">'[1]Položkový rozpočet'!#REF!</definedName>
    <definedName name="__TE0__">#REF!</definedName>
    <definedName name="__TE1__">#REF!</definedName>
    <definedName name="__TE2__">#REF!</definedName>
    <definedName name="__TE3__">#REF!</definedName>
    <definedName name="__TR0__">#REF!</definedName>
    <definedName name="__TR1__">#REF!</definedName>
    <definedName name="__TR2__">#REF!</definedName>
    <definedName name="__TR3__">#REF!</definedName>
    <definedName name="__xlnm._FilterDatabase_1">#REF!</definedName>
    <definedName name="__xlnm._FilterDatabase_1_1">#REF!</definedName>
    <definedName name="__xlnm._FilterDatabase_2">#REF!</definedName>
    <definedName name="__xlnm._FilterDatabase_3">#REF!</definedName>
    <definedName name="__xlnm._FilterDatabase_4">#REF!</definedName>
    <definedName name="__xlnm._FilterDatabase_5">#REF!</definedName>
    <definedName name="__xlnm._FilterDatabase_6">#REF!</definedName>
    <definedName name="_axx1" localSheetId="11">#REF!</definedName>
    <definedName name="_axx1" localSheetId="12">#REF!</definedName>
    <definedName name="_axx1">#REF!</definedName>
    <definedName name="_B100000">#REF!</definedName>
    <definedName name="_BPK1">[2]Položky!#REF!</definedName>
    <definedName name="_BPK2">[2]Položky!#REF!</definedName>
    <definedName name="_BPK3">[2]Položky!#REF!</definedName>
    <definedName name="_xlnm._FilterDatabase" localSheetId="1" hidden="1">'bourání a demolice ROZ'!$B$115:$AC$285</definedName>
    <definedName name="_xlnm._FilterDatabase" localSheetId="2" hidden="1">'sanace ROZ'!$J$122:$R$599</definedName>
    <definedName name="_xlnm._FilterDatabase" localSheetId="3" hidden="1">'stavební úpravy ROZ'!$J$151:$Q$1034</definedName>
    <definedName name="_xlnm._FilterDatabase" localSheetId="4" hidden="1">'venkovní plochy a nové objekty'!$J$111:$Q$231</definedName>
    <definedName name="_xlnm._FilterDatabase" localSheetId="5" hidden="1">'výrobky a specifikace'!$J$123:$S$284</definedName>
    <definedName name="_xlnm._FilterDatabase" localSheetId="9" hidden="1">VZT!$C$11:$P$387</definedName>
    <definedName name="_xlnm._FilterDatabase" localSheetId="7" hidden="1">'ZTI kanalizace'!$A$10:$J$395</definedName>
    <definedName name="_xlnm._FilterDatabase" localSheetId="6" hidden="1">'ZTI vodovod'!$A$10:$I$125</definedName>
    <definedName name="_info">#REF!</definedName>
    <definedName name="_nic2">#REF!</definedName>
    <definedName name="_obl11">#REF!</definedName>
    <definedName name="_obl12">#REF!</definedName>
    <definedName name="_obl13">#REF!</definedName>
    <definedName name="_obl14">#REF!</definedName>
    <definedName name="_obl15">#REF!</definedName>
    <definedName name="_obl16">#REF!</definedName>
    <definedName name="_obl17">#REF!</definedName>
    <definedName name="_obl1710">#REF!</definedName>
    <definedName name="_obl1711">#REF!</definedName>
    <definedName name="_obl1712">#REF!</definedName>
    <definedName name="_obl1713">#REF!</definedName>
    <definedName name="_obl1714">#REF!</definedName>
    <definedName name="_obl1715">#REF!</definedName>
    <definedName name="_obl1716">#REF!</definedName>
    <definedName name="_obl1717">#REF!</definedName>
    <definedName name="_obl1718">#REF!</definedName>
    <definedName name="_obl1719">#REF!</definedName>
    <definedName name="_obl173">#REF!</definedName>
    <definedName name="_obl174">#REF!</definedName>
    <definedName name="_obl175">#REF!</definedName>
    <definedName name="_obl176">#REF!</definedName>
    <definedName name="_obl177">#REF!</definedName>
    <definedName name="_obl178">#REF!</definedName>
    <definedName name="_obl179">#REF!</definedName>
    <definedName name="_obl18">#REF!</definedName>
    <definedName name="_obl181">#REF!</definedName>
    <definedName name="_obl1816">#REF!</definedName>
    <definedName name="_obl1820">#REF!</definedName>
    <definedName name="_obl1821">#REF!</definedName>
    <definedName name="_obl1822">#REF!</definedName>
    <definedName name="_obl1823">#REF!</definedName>
    <definedName name="_obl1824">#REF!</definedName>
    <definedName name="_obl1825">#REF!</definedName>
    <definedName name="_obl1826">#REF!</definedName>
    <definedName name="_obl1827">#REF!</definedName>
    <definedName name="_obl1828">#REF!</definedName>
    <definedName name="_obl1829">#REF!</definedName>
    <definedName name="_obl183">#REF!</definedName>
    <definedName name="_obl1831">#REF!</definedName>
    <definedName name="_obl1832">#REF!</definedName>
    <definedName name="_obl184">#REF!</definedName>
    <definedName name="_obl185">#REF!</definedName>
    <definedName name="_obl186">#REF!</definedName>
    <definedName name="_obl187">#REF!</definedName>
    <definedName name="_odd11">'[3]Stavební část'!#REF!</definedName>
    <definedName name="_odd12">'[3]Stavební část'!#REF!</definedName>
    <definedName name="_odd13">'[3]Stavební část'!#REF!</definedName>
    <definedName name="_odd14">'[3]Stavební část'!#REF!</definedName>
    <definedName name="_odd15">'[3]Stavební část'!#REF!</definedName>
    <definedName name="_RB15" localSheetId="11">#REF!</definedName>
    <definedName name="_RB15" localSheetId="12">#REF!</definedName>
    <definedName name="_RB15">#REF!</definedName>
    <definedName name="_RF15" localSheetId="11">#REF!</definedName>
    <definedName name="_RF15" localSheetId="12">#REF!</definedName>
    <definedName name="_RF15">#REF!</definedName>
    <definedName name="_RF18" localSheetId="11">#REF!</definedName>
    <definedName name="_RF18" localSheetId="12">#REF!</definedName>
    <definedName name="_RF18">#REF!</definedName>
    <definedName name="_RF20">#REF!</definedName>
    <definedName name="_RF25">#REF!</definedName>
    <definedName name="_RFI15">#REF!</definedName>
    <definedName name="_SO01">[4]Venky!$A$10:$A$26</definedName>
    <definedName name="_SO02">[4]Venky!$A$29:$A$39</definedName>
    <definedName name="_SO03">[4]Venky!$A$42:$A$50</definedName>
    <definedName name="_SO04">[4]Venky!$A$53:$A$60</definedName>
    <definedName name="_SO05">[4]Venky!$A$63:$A$74</definedName>
    <definedName name="_SO06">[4]Venky!$A$77:$A$100</definedName>
    <definedName name="_SO08">[4]Venky!$A$103:$A$184</definedName>
    <definedName name="_SO09">[4]Venky!$A$187:$A$209</definedName>
    <definedName name="_SO10">[4]Venky!$A$212:$A$221</definedName>
    <definedName name="_T1">#REF!</definedName>
    <definedName name="_TWF14050" localSheetId="11">#REF!</definedName>
    <definedName name="_TWF14050" localSheetId="12">#REF!</definedName>
    <definedName name="_TWF14050">#REF!</definedName>
    <definedName name="_TWF16075" localSheetId="11">#REF!</definedName>
    <definedName name="_TWF16075" localSheetId="12">#REF!</definedName>
    <definedName name="_TWF16075">#REF!</definedName>
    <definedName name="_TWF180100" localSheetId="11">#REF!</definedName>
    <definedName name="_TWF180100" localSheetId="12">#REF!</definedName>
    <definedName name="_TWF180100">#REF!</definedName>
    <definedName name="_TWP1100">#REF!</definedName>
    <definedName name="_TWP1120">#REF!</definedName>
    <definedName name="_TWP1140">#REF!</definedName>
    <definedName name="_TWP140">#REF!</definedName>
    <definedName name="_TWP150">#REF!</definedName>
    <definedName name="_TWP160">#REF!</definedName>
    <definedName name="_TWP180">#REF!</definedName>
    <definedName name="_UA100">#REF!</definedName>
    <definedName name="_UA50">#REF!</definedName>
    <definedName name="_UA75">#REF!</definedName>
    <definedName name="_UD28">#REF!</definedName>
    <definedName name="_UD30">#REF!</definedName>
    <definedName name="_UW100">#REF!</definedName>
    <definedName name="_UW150">#REF!</definedName>
    <definedName name="_UW50">#REF!</definedName>
    <definedName name="_UW75">#REF!</definedName>
    <definedName name="_VO1">'[5]SO 01 - 06 ELEKTROINSTALACE'!$B$9644</definedName>
    <definedName name="_VO2">'[5]SO 01 - 06 ELEKTROINSTALACE'!$B$9644</definedName>
    <definedName name="a" localSheetId="11">#REF!</definedName>
    <definedName name="a" localSheetId="12">#REF!</definedName>
    <definedName name="a">#REF!</definedName>
    <definedName name="aa" localSheetId="11">#REF!</definedName>
    <definedName name="aa" localSheetId="12">#REF!</definedName>
    <definedName name="aa">#REF!</definedName>
    <definedName name="AAAAA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aaaaaa" localSheetId="11">[7]Rozpočet!#REF!</definedName>
    <definedName name="aaaaaa" localSheetId="12">[7]Rozpočet!#REF!</definedName>
    <definedName name="aaaaaa">[7]Rozpočet!#REF!</definedName>
    <definedName name="aaxx" localSheetId="11">#REF!</definedName>
    <definedName name="aaxx" localSheetId="12">#REF!</definedName>
    <definedName name="aaxx">#REF!</definedName>
    <definedName name="aaxx1" localSheetId="11">#REF!</definedName>
    <definedName name="aaxx1" localSheetId="12">#REF!</definedName>
    <definedName name="aaxx1">#REF!</definedName>
    <definedName name="aaxx10" localSheetId="11">#REF!</definedName>
    <definedName name="aaxx10" localSheetId="12">#REF!</definedName>
    <definedName name="aaxx10">#REF!</definedName>
    <definedName name="aaxx11">#REF!</definedName>
    <definedName name="aaxx12">#REF!</definedName>
    <definedName name="aaxx13">#REF!</definedName>
    <definedName name="aaxx14">#REF!</definedName>
    <definedName name="aaxx15">#REF!</definedName>
    <definedName name="aaxx16">#REF!</definedName>
    <definedName name="aaxx17">#REF!</definedName>
    <definedName name="aaxx18">#REF!</definedName>
    <definedName name="aaxx19">#REF!</definedName>
    <definedName name="aaxx2">#REF!</definedName>
    <definedName name="aaxx20">#REF!</definedName>
    <definedName name="aaxx21">#REF!</definedName>
    <definedName name="aaxx22">#REF!</definedName>
    <definedName name="aaxx23">#REF!</definedName>
    <definedName name="aaxx24">#REF!</definedName>
    <definedName name="aaxx25">#REF!</definedName>
    <definedName name="aaxx26">#REF!</definedName>
    <definedName name="aaxx27">#REF!</definedName>
    <definedName name="aaxx28">#REF!</definedName>
    <definedName name="aaxx29">#REF!</definedName>
    <definedName name="aaxx3">#REF!</definedName>
    <definedName name="aaxx30">#REF!</definedName>
    <definedName name="aaxx35">#REF!</definedName>
    <definedName name="aaxx4">#REF!</definedName>
    <definedName name="aaxx5">#REF!</definedName>
    <definedName name="aaxx6">#REF!</definedName>
    <definedName name="aaxx7">#REF!</definedName>
    <definedName name="aaxx8">#REF!</definedName>
    <definedName name="aaxx9">#REF!</definedName>
    <definedName name="aayy1">#REF!</definedName>
    <definedName name="aayy10">#REF!</definedName>
    <definedName name="aayy11">#REF!</definedName>
    <definedName name="aayy12">#REF!</definedName>
    <definedName name="aayy13">#REF!</definedName>
    <definedName name="aayy14">#REF!</definedName>
    <definedName name="aayy15">#REF!</definedName>
    <definedName name="aayy16">#REF!</definedName>
    <definedName name="aayy17">#REF!</definedName>
    <definedName name="aayy18">#REF!</definedName>
    <definedName name="aayy19">#REF!</definedName>
    <definedName name="aayy2">#REF!</definedName>
    <definedName name="aayy20">#REF!</definedName>
    <definedName name="aayy3">#REF!</definedName>
    <definedName name="aayy4">#REF!</definedName>
    <definedName name="aayy5">#REF!</definedName>
    <definedName name="aayy6">#REF!</definedName>
    <definedName name="aayy7">#REF!</definedName>
    <definedName name="aayy8">#REF!</definedName>
    <definedName name="aayy9">#REF!</definedName>
    <definedName name="ABC">#REF!</definedName>
    <definedName name="AccessDatabase" hidden="1">"C:\Marek\ex - nab99\Czg 990.mdb"</definedName>
    <definedName name="Acelý" localSheetId="11">#REF!,#REF!,#REF!,#REF!,#REF!,#REF!,#REF!,#REF!,#REF!,#REF!,#REF!,#REF!,#REF!,#REF!,#REF!,#REF!,#REF!,#REF!,#REF!,#REF!</definedName>
    <definedName name="Acelý" localSheetId="12">#REF!,#REF!,#REF!,#REF!,#REF!,#REF!,#REF!,#REF!,#REF!,#REF!,#REF!,#REF!,#REF!,#REF!,#REF!,#REF!,#REF!,#REF!,#REF!,#REF!</definedName>
    <definedName name="Acelý">#REF!,#REF!,#REF!,#REF!,#REF!,#REF!,#REF!,#REF!,#REF!,#REF!,#REF!,#REF!,#REF!,#REF!,#REF!,#REF!,#REF!,#REF!,#REF!,#REF!</definedName>
    <definedName name="Adam">"$vm_1np_200_050d.$#REF!$#REF!:$#REF!$#REF!"</definedName>
    <definedName name="ADRIAHYGIENE" localSheetId="11">#REF!</definedName>
    <definedName name="ADRIAHYGIENE" localSheetId="12">#REF!</definedName>
    <definedName name="ADRIAHYGIENE">#REF!</definedName>
    <definedName name="ADRIAHYGIENE_A" localSheetId="11">#REF!</definedName>
    <definedName name="ADRIAHYGIENE_A" localSheetId="12">#REF!</definedName>
    <definedName name="ADRIAHYGIENE_A">#REF!</definedName>
    <definedName name="ADRIAHYGIENE_B" localSheetId="11">#REF!</definedName>
    <definedName name="ADRIAHYGIENE_B" localSheetId="12">#REF!</definedName>
    <definedName name="ADRIAHYGIENE_B">#REF!</definedName>
    <definedName name="ADRIAHYGIENE_C">#REF!</definedName>
    <definedName name="ADRIAHYGIENE_D">#REF!</definedName>
    <definedName name="ADRIAHYGIENE_E">#REF!</definedName>
    <definedName name="afterdetail_rkap">#REF!</definedName>
    <definedName name="afterdetail_rozpocty">#REF!</definedName>
    <definedName name="AKRYLOVYTMEL">#REF!</definedName>
    <definedName name="AKRYLOVYTMEL_A">#REF!</definedName>
    <definedName name="AKRYLOVYTMEL_B">#REF!</definedName>
    <definedName name="AKRYLOVYTMEL_C">#REF!</definedName>
    <definedName name="AKRYLOVYTMEL_D">#REF!</definedName>
    <definedName name="AKRYLOVYTMEL_E">#REF!</definedName>
    <definedName name="AL_obvodový_plášť">'[8]SO 11.1A Výkaz výměr'!#REF!</definedName>
    <definedName name="ALUL" localSheetId="11">#REF!</definedName>
    <definedName name="ALUL" localSheetId="12">#REF!</definedName>
    <definedName name="ALUL">#REF!</definedName>
    <definedName name="ALUL_A" localSheetId="11">#REF!</definedName>
    <definedName name="ALUL_A" localSheetId="12">#REF!</definedName>
    <definedName name="ALUL_A">#REF!</definedName>
    <definedName name="ALUL_B" localSheetId="11">#REF!</definedName>
    <definedName name="ALUL_B" localSheetId="12">#REF!</definedName>
    <definedName name="ALUL_B">#REF!</definedName>
    <definedName name="ALUL_C">#REF!</definedName>
    <definedName name="ALUL_D">#REF!</definedName>
    <definedName name="ALUL_E">#REF!</definedName>
    <definedName name="ALUROH135">#REF!</definedName>
    <definedName name="ALUROH135_A">#REF!</definedName>
    <definedName name="ALUROH135_B">#REF!</definedName>
    <definedName name="ALUROH135_C">#REF!</definedName>
    <definedName name="ALUROH135_D">#REF!</definedName>
    <definedName name="ALUROH135_E">#REF!</definedName>
    <definedName name="ALUROH25X25">#REF!</definedName>
    <definedName name="ALUROH25X25_A">#REF!</definedName>
    <definedName name="ALUROH25X25_B">#REF!</definedName>
    <definedName name="ALUROH25X25_C">#REF!</definedName>
    <definedName name="ALUROH25X25_D">#REF!</definedName>
    <definedName name="ALUROH25X25_E">#REF!</definedName>
    <definedName name="ALUX">#REF!</definedName>
    <definedName name="ALUX_A">#REF!</definedName>
    <definedName name="ALUX_B">#REF!</definedName>
    <definedName name="ALUX_C">#REF!</definedName>
    <definedName name="ALUX_D">#REF!</definedName>
    <definedName name="ALUX_E">#REF!</definedName>
    <definedName name="amech1">'[4]ZS, VR'!$A$10:$A$31</definedName>
    <definedName name="ARMSTRONGBIOGUARD_PER_MIC_A" localSheetId="11">#REF!</definedName>
    <definedName name="ARMSTRONGBIOGUARD_PER_MIC_A" localSheetId="12">#REF!</definedName>
    <definedName name="ARMSTRONGBIOGUARD_PER_MIC_A">#REF!</definedName>
    <definedName name="ARMSTRONGBIOGUARD_PER_MIC_B" localSheetId="11">#REF!</definedName>
    <definedName name="ARMSTRONGBIOGUARD_PER_MIC_B" localSheetId="12">#REF!</definedName>
    <definedName name="ARMSTRONGBIOGUARD_PER_MIC_B">#REF!</definedName>
    <definedName name="ARMSTRONGBIOGUARD_PER_MIC_C" localSheetId="11">#REF!</definedName>
    <definedName name="ARMSTRONGBIOGUARD_PER_MIC_C" localSheetId="12">#REF!</definedName>
    <definedName name="ARMSTRONGBIOGUARD_PER_MIC_C">#REF!</definedName>
    <definedName name="ARMSTRONGBIOGUARD_PER_MIC_D">#REF!</definedName>
    <definedName name="ARMSTRONGBIOGUARD_PER_MIC_E">#REF!</definedName>
    <definedName name="ARMSTRONGBIOGUARDMICROLOOK_A">#REF!</definedName>
    <definedName name="ARMSTRONGBIOGUARDMICROLOOK_B">#REF!</definedName>
    <definedName name="ARMSTRONGBIOGUARDMICROLOOK_C">#REF!</definedName>
    <definedName name="ARMSTRONGBIOGUARDMICROLOOK_D">#REF!</definedName>
    <definedName name="ARMSTRONGBIOGUARDMICROLOOK_E">#REF!</definedName>
    <definedName name="ARMSTRONGBIOGUARDMICROLOOKPERF_C">#REF!</definedName>
    <definedName name="ARMSTRONGDUNE_MIC_A">#REF!</definedName>
    <definedName name="ARMSTRONGDUNE_MIC_B">#REF!</definedName>
    <definedName name="ARMSTRONGDUNE_MIC_C">#REF!</definedName>
    <definedName name="ARMSTRONGDUNE_MIC_D">#REF!</definedName>
    <definedName name="ARMSTRONGDUNE_MIC_E">#REF!</definedName>
    <definedName name="ARMSTRONGPLAINMICROLOOK_A">#REF!</definedName>
    <definedName name="ARMSTRONGPLAINMICROLOOK_B">#REF!</definedName>
    <definedName name="ARMSTRONGPLAINMICROLOOK_C">#REF!</definedName>
    <definedName name="ARMSTRONGPLAINMICROLOOK_D">#REF!</definedName>
    <definedName name="ARMSTRONGPLAINMICROLOOK_E">#REF!</definedName>
    <definedName name="AS">#REF!</definedName>
    <definedName name="ats">#REF!</definedName>
    <definedName name="b_10">#REF!</definedName>
    <definedName name="b_25">#REF!</definedName>
    <definedName name="b_30">#REF!</definedName>
    <definedName name="b_35">#REF!</definedName>
    <definedName name="b_40">#REF!</definedName>
    <definedName name="b_50">#REF!</definedName>
    <definedName name="b_60">#REF!</definedName>
    <definedName name="BASICCORTEGA">#REF!</definedName>
    <definedName name="BASICCORTEGA_A">#REF!</definedName>
    <definedName name="BASICCORTEGA_B">#REF!</definedName>
    <definedName name="BASICCORTEGA_C">#REF!</definedName>
    <definedName name="BASICCORTEGA_D">#REF!</definedName>
    <definedName name="BASICCORTEGA_E">#REF!</definedName>
    <definedName name="BASICCORTEGAT">#REF!</definedName>
    <definedName name="BASICCORTEGAT_A">#REF!</definedName>
    <definedName name="BASICCORTEGAT_B">#REF!</definedName>
    <definedName name="BASICCORTEGAT_C">#REF!</definedName>
    <definedName name="BASICCORTEGAT_D">#REF!</definedName>
    <definedName name="BASICCORTEGAT_E">#REF!</definedName>
    <definedName name="BASICSAVANA">#REF!</definedName>
    <definedName name="BASICSAVANA_A">#REF!</definedName>
    <definedName name="BASICSAVANA_C">#REF!</definedName>
    <definedName name="BASICSAVANA_D">#REF!</definedName>
    <definedName name="BASICSAVANA_E">#REF!</definedName>
    <definedName name="bcv">#REF!</definedName>
    <definedName name="be_be">#REF!</definedName>
    <definedName name="be_pf">#REF!</definedName>
    <definedName name="be_sc">#REF!</definedName>
    <definedName name="be_sch">#REF!</definedName>
    <definedName name="be_so">#REF!</definedName>
    <definedName name="be_sp">#REF!</definedName>
    <definedName name="be_st">#REF!</definedName>
    <definedName name="before_rkap">#REF!</definedName>
    <definedName name="before_rozpocty">#REF!</definedName>
    <definedName name="before_rozpocty1">#REF!</definedName>
    <definedName name="beforeafterdetail_rozpocty.Poznamka2.1">#REF!</definedName>
    <definedName name="beforedetail_rozpocty">#REF!</definedName>
    <definedName name="beforefirmy_rozpocty_pozn.Poznamka2">#REF!</definedName>
    <definedName name="beforetop_rkap">#REF!</definedName>
    <definedName name="BENDLINE7_A">#REF!</definedName>
    <definedName name="BENDLINE7_B">#REF!</definedName>
    <definedName name="BENDLINE7_C">#REF!</definedName>
    <definedName name="BENDLINE7_D">#REF!</definedName>
    <definedName name="BENDLINE7_E">#REF!</definedName>
    <definedName name="BESICSAVANA_B">#REF!</definedName>
    <definedName name="bghrerr">#REF!</definedName>
    <definedName name="bhvfdgvf">#REF!</definedName>
    <definedName name="BIGQUATTRO41">#REF!</definedName>
    <definedName name="BIGQUATTRO41_A">#REF!</definedName>
    <definedName name="BIGQUATTRO41_B">#REF!</definedName>
    <definedName name="BIGQUATTRO41_C">#REF!</definedName>
    <definedName name="BIGQUATTRO41_D">#REF!</definedName>
    <definedName name="BIGQUATTRO41_E">#REF!</definedName>
    <definedName name="BIGQUATTRO42">#REF!</definedName>
    <definedName name="BIGQUATTRO42_A">#REF!</definedName>
    <definedName name="BIGQUATTRO42_B">#REF!</definedName>
    <definedName name="BIGQUATTRO42_C">#REF!</definedName>
    <definedName name="BIGQUATTRO42_D">#REF!</definedName>
    <definedName name="BIGQUATTRO42_E">#REF!</definedName>
    <definedName name="BIGQUATTRO46">#REF!</definedName>
    <definedName name="BIGQUATTRO46_A">#REF!</definedName>
    <definedName name="BIGQUATTRO46_B">#REF!</definedName>
    <definedName name="BIGQUATTRO46_C">#REF!</definedName>
    <definedName name="BIGQUATTRO46_D">#REF!</definedName>
    <definedName name="BIGQUATTRO46_E">#REF!</definedName>
    <definedName name="BIGQUATTRO47">#REF!</definedName>
    <definedName name="BIGQUATTRO47_A">#REF!</definedName>
    <definedName name="BIGQUATTRO47_B">#REF!</definedName>
    <definedName name="BIGQUATTRO47_C">#REF!</definedName>
    <definedName name="BIGQUATTRO47_D">#REF!</definedName>
    <definedName name="BIGQUATTRO47_E">#REF!</definedName>
    <definedName name="BIOGUARD_HRANA_MICROLOOK">#REF!</definedName>
    <definedName name="BIOGUARD_PERFORATED">#REF!</definedName>
    <definedName name="BIOGUARDHRANAMICROLOOK_A">#REF!</definedName>
    <definedName name="BIOGUARDHRANAMICROLOOK_B">#REF!</definedName>
    <definedName name="BIOGUARDHRANAMICROLOOK_C">#REF!</definedName>
    <definedName name="BIOGUARDHRANAMICROLOOK_D">#REF!</definedName>
    <definedName name="BIOGUARDHRANAMICROLOOK_E">#REF!</definedName>
    <definedName name="BIOGUARDPERFORATED_A">#REF!</definedName>
    <definedName name="BIOGUARDPERFORATED_B">#REF!</definedName>
    <definedName name="BIOGUARDPERFORATED_C">#REF!</definedName>
    <definedName name="BIOGUARDPERFORATED_D">#REF!</definedName>
    <definedName name="BIOGUARDPERFORATED_E">#REF!</definedName>
    <definedName name="blbost">#REF!</definedName>
    <definedName name="body_hlavy">#REF!</definedName>
    <definedName name="body_memrekapdph">#REF!</definedName>
    <definedName name="body_phlavy">#REF!</definedName>
    <definedName name="body_prekap">#REF!</definedName>
    <definedName name="body_rkap">#REF!</definedName>
    <definedName name="body_rozpocty">#REF!</definedName>
    <definedName name="body_rozpočty">#REF!</definedName>
    <definedName name="body_rpolozky">#REF!</definedName>
    <definedName name="body_rpolozky.Poznamka2">#REF!</definedName>
    <definedName name="BuňkaNad">[9]OBALKA!A1048576</definedName>
    <definedName name="Button_1">"Czg_990_Nabídka_Seznam1"</definedName>
    <definedName name="bvc" localSheetId="11">#REF!</definedName>
    <definedName name="bvc" localSheetId="12">#REF!</definedName>
    <definedName name="bvc">#REF!</definedName>
    <definedName name="CAPRIE24" localSheetId="11">#REF!</definedName>
    <definedName name="CAPRIE24" localSheetId="12">#REF!</definedName>
    <definedName name="CAPRIE24">#REF!</definedName>
    <definedName name="CAPRIE24_A" localSheetId="11">#REF!</definedName>
    <definedName name="CAPRIE24_A" localSheetId="12">#REF!</definedName>
    <definedName name="CAPRIE24_A">#REF!</definedName>
    <definedName name="CAPRIE24_B">#REF!</definedName>
    <definedName name="CAPRIE24_C">#REF!</definedName>
    <definedName name="CAPRIE24_D">#REF!</definedName>
    <definedName name="CAPRIE24_E">#REF!</definedName>
    <definedName name="CASOBIANCAA">#REF!</definedName>
    <definedName name="CASOBIANCAA_A">#REF!</definedName>
    <definedName name="CASOBIANCAA_B">#REF!</definedName>
    <definedName name="CASOBIANCAA_C">#REF!</definedName>
    <definedName name="CASOBIANCAA_D">#REF!</definedName>
    <definedName name="CASOBIANCAA_E">#REF!</definedName>
    <definedName name="CASOBIANCAE15">#REF!</definedName>
    <definedName name="CASOBIANCAE15_A">#REF!</definedName>
    <definedName name="CASOBIANCAE15_B">#REF!</definedName>
    <definedName name="CASOBIANCAE15_C">#REF!</definedName>
    <definedName name="CASOBIANCAE15_D">#REF!</definedName>
    <definedName name="CASOBIANCAE15_E">#REF!</definedName>
    <definedName name="CASOBIANCAE24">#REF!</definedName>
    <definedName name="CASOBIANCAE24_A">#REF!</definedName>
    <definedName name="CASOBIANCAE24_B">#REF!</definedName>
    <definedName name="CASOBIANCAE24_C">#REF!</definedName>
    <definedName name="CASOBIANCAE24_D">#REF!</definedName>
    <definedName name="CASOBIANCAE24_E">#REF!</definedName>
    <definedName name="CASOFORTEA">#REF!</definedName>
    <definedName name="CASOFORTEA_A">#REF!</definedName>
    <definedName name="CASOFORTEA_B">#REF!</definedName>
    <definedName name="CASOFORTEA_C">#REF!</definedName>
    <definedName name="CASOFORTEA_D">#REF!</definedName>
    <definedName name="CASOFORTEA_E">#REF!</definedName>
    <definedName name="CASOFORTEE15">#REF!</definedName>
    <definedName name="CASOFORTEE15_A">#REF!</definedName>
    <definedName name="CASOFORTEE15_B">#REF!</definedName>
    <definedName name="CASOFORTEE15_C">#REF!</definedName>
    <definedName name="CASOFORTEE15_D">#REF!</definedName>
    <definedName name="CASOFORTEE15_E">#REF!</definedName>
    <definedName name="CASOFORTEE24">#REF!</definedName>
    <definedName name="CASOFORTEE24_A">#REF!</definedName>
    <definedName name="CASOFORTEE24_B">#REF!</definedName>
    <definedName name="CASOFORTEE24_C">#REF!</definedName>
    <definedName name="CASOFORTEE24_D">#REF!</definedName>
    <definedName name="CASOFORTEE24_E">#REF!</definedName>
    <definedName name="CASOROCA">#REF!</definedName>
    <definedName name="CASOROCA_A">#REF!</definedName>
    <definedName name="CASOROCA_B">#REF!</definedName>
    <definedName name="CASOROCA_C">#REF!</definedName>
    <definedName name="CASOROCA_D">#REF!</definedName>
    <definedName name="CASOROCA_E">#REF!</definedName>
    <definedName name="CASOROCE15">#REF!</definedName>
    <definedName name="CASOROCE15_A">#REF!</definedName>
    <definedName name="CASOROCE15_B">#REF!</definedName>
    <definedName name="CASOROCE15_C">#REF!</definedName>
    <definedName name="CASOROCE15_D">#REF!</definedName>
    <definedName name="CASOROCE15_E">#REF!</definedName>
    <definedName name="CASOROCE24">#REF!</definedName>
    <definedName name="CASOROCE24_A">#REF!</definedName>
    <definedName name="CASOROCE24_B">#REF!</definedName>
    <definedName name="CASOROCE24_C">#REF!</definedName>
    <definedName name="CASOROCE24_D">#REF!</definedName>
    <definedName name="CASOROCE24_E">#REF!</definedName>
    <definedName name="CASOSTARA">#REF!</definedName>
    <definedName name="CASOSTARA_A">#REF!</definedName>
    <definedName name="CASOSTARA_B">#REF!</definedName>
    <definedName name="CASOSTARA_C">#REF!</definedName>
    <definedName name="CASOSTARA_D">#REF!</definedName>
    <definedName name="CASOSTARA_E">#REF!</definedName>
    <definedName name="CASOSTARE15">#REF!</definedName>
    <definedName name="CASOSTARE15_A">#REF!</definedName>
    <definedName name="CASOSTARE15_B">#REF!</definedName>
    <definedName name="CASOSTARE15_C">#REF!</definedName>
    <definedName name="CASOSTARE15_D">#REF!</definedName>
    <definedName name="CASOSTARE15_E">#REF!</definedName>
    <definedName name="CASOSTARE24">#REF!</definedName>
    <definedName name="CASOSTARE24_A">#REF!</definedName>
    <definedName name="CASOSTARE24_B">#REF!</definedName>
    <definedName name="CASOSTARE24_C">#REF!</definedName>
    <definedName name="CASOSTARE24_D">#REF!</definedName>
    <definedName name="CASOSTARE24_E">#REF!</definedName>
    <definedName name="CASOVOICEA">#REF!</definedName>
    <definedName name="CASOVOICEA_A">#REF!</definedName>
    <definedName name="CASOVOICEA_B">#REF!</definedName>
    <definedName name="CASOVOICEA_C">#REF!</definedName>
    <definedName name="CASOVOICEA_D">#REF!</definedName>
    <definedName name="CASOVOICEA_E">#REF!</definedName>
    <definedName name="CASOVOICEE15">#REF!</definedName>
    <definedName name="CASOVOICEE15_A">#REF!</definedName>
    <definedName name="CASOVOICEE15_B">#REF!</definedName>
    <definedName name="CASOVOICEE15_C">#REF!</definedName>
    <definedName name="CASOVOICEE15_D">#REF!</definedName>
    <definedName name="CASOVOICEE15_E">#REF!</definedName>
    <definedName name="CASOVOICEE24">#REF!</definedName>
    <definedName name="CASOVOICEE24_A">#REF!</definedName>
    <definedName name="CASOVOICEE24_B">#REF!</definedName>
    <definedName name="CASOVOICEE24_C">#REF!</definedName>
    <definedName name="CASOVOICEE24_D">#REF!</definedName>
    <definedName name="CASOVOICEE24_E">#REF!</definedName>
    <definedName name="CC">#REF!</definedName>
    <definedName name="CC_12">#REF!</definedName>
    <definedName name="CC_34">#REF!</definedName>
    <definedName name="CC_50">#REF!</definedName>
    <definedName name="CD">#REF!</definedName>
    <definedName name="CD_A">#REF!</definedName>
    <definedName name="CD_B">#REF!</definedName>
    <definedName name="CD_C">#REF!</definedName>
    <definedName name="CD_D">#REF!</definedName>
    <definedName name="CD_E">#REF!</definedName>
    <definedName name="celkembezdph">#REF!</definedName>
    <definedName name="celkemsdph">#REF!</definedName>
    <definedName name="celkemsdph.Poznamka2">#REF!</definedName>
    <definedName name="celklemsdph">#REF!</definedName>
    <definedName name="celkrozp">#REF!</definedName>
    <definedName name="Cena">#REF!</definedName>
    <definedName name="Cena_1">0</definedName>
    <definedName name="Cena_2">#REF!</definedName>
    <definedName name="Cena_dokumentace">#REF!</definedName>
    <definedName name="Cena1">#REF!</definedName>
    <definedName name="Cena1_1">0</definedName>
    <definedName name="Cena1_2">#REF!</definedName>
    <definedName name="cena100">#REF!</definedName>
    <definedName name="Cena2">#REF!</definedName>
    <definedName name="Cena2_1">0</definedName>
    <definedName name="Cena2_2">#REF!</definedName>
    <definedName name="Cena3">#REF!</definedName>
    <definedName name="Cena3_1">0</definedName>
    <definedName name="Cena3_2">#REF!</definedName>
    <definedName name="Cena4">#REF!</definedName>
    <definedName name="Cena4_1">0</definedName>
    <definedName name="Cena4_2">#REF!</definedName>
    <definedName name="cena46546">#REF!</definedName>
    <definedName name="Cena5">#REF!</definedName>
    <definedName name="Cena5_1">0</definedName>
    <definedName name="Cena5_2">#REF!</definedName>
    <definedName name="Cena6">#REF!</definedName>
    <definedName name="Cena6_1">0</definedName>
    <definedName name="Cena6_2">#REF!</definedName>
    <definedName name="Cena7">#REF!</definedName>
    <definedName name="Cena7_1">0</definedName>
    <definedName name="Cena7_2">#REF!</definedName>
    <definedName name="Cena8">#REF!</definedName>
    <definedName name="Cena8_1">0</definedName>
    <definedName name="Cena8_2">#REF!</definedName>
    <definedName name="cisloobjektu">#REF!</definedName>
    <definedName name="CisloRozpoctu">'[10]Krycí list'!$C$2</definedName>
    <definedName name="cislostavby">#REF!</definedName>
    <definedName name="CK">#REF!</definedName>
    <definedName name="CW_100" localSheetId="11">#REF!</definedName>
    <definedName name="CW_100" localSheetId="12">#REF!</definedName>
    <definedName name="CW_100">#REF!</definedName>
    <definedName name="CW_150">#REF!</definedName>
    <definedName name="CW_50">#REF!</definedName>
    <definedName name="CW_75">#REF!</definedName>
    <definedName name="CW100_A">#REF!</definedName>
    <definedName name="CW100_B">#REF!</definedName>
    <definedName name="CW100_C">#REF!</definedName>
    <definedName name="CW100_D">#REF!</definedName>
    <definedName name="CW100_E">#REF!</definedName>
    <definedName name="CW150_A">#REF!</definedName>
    <definedName name="CW150_B">#REF!</definedName>
    <definedName name="CW150_C">#REF!</definedName>
    <definedName name="CW150_D">#REF!</definedName>
    <definedName name="CW150_E">#REF!</definedName>
    <definedName name="CW50_A">#REF!</definedName>
    <definedName name="CW50_B">#REF!</definedName>
    <definedName name="CW50_C">#REF!</definedName>
    <definedName name="CW50_D">#REF!</definedName>
    <definedName name="CW50_E">#REF!</definedName>
    <definedName name="CW75_A">#REF!</definedName>
    <definedName name="CW75_B">#REF!</definedName>
    <definedName name="CW75_C">#REF!</definedName>
    <definedName name="CW75_D">#REF!</definedName>
    <definedName name="CW75_E">#REF!</definedName>
    <definedName name="d">[11]DATA!$A:$E</definedName>
    <definedName name="DATA">#REF!</definedName>
    <definedName name="data_1">#REF!</definedName>
    <definedName name="_xlnm.Database">#REF!</definedName>
    <definedName name="datan">#REF!</definedName>
    <definedName name="Datum" localSheetId="11">[12]MaR!#REF!</definedName>
    <definedName name="Datum" localSheetId="12">[12]MaR!#REF!</definedName>
    <definedName name="Datum">[13]MaR!#REF!</definedName>
    <definedName name="Datum_1">0</definedName>
    <definedName name="Datum_2">[14]MaR!#REF!</definedName>
    <definedName name="DD">#REF!</definedName>
    <definedName name="dem">#REF!</definedName>
    <definedName name="DEROVANADESKA" localSheetId="11">#REF!</definedName>
    <definedName name="DEROVANADESKA" localSheetId="12">#REF!</definedName>
    <definedName name="DEROVANADESKA">#REF!</definedName>
    <definedName name="DEROVANADESKA_A" localSheetId="11">#REF!</definedName>
    <definedName name="DEROVANADESKA_A" localSheetId="12">#REF!</definedName>
    <definedName name="DEROVANADESKA_A">#REF!</definedName>
    <definedName name="DEROVANADESKA_B" localSheetId="11">#REF!</definedName>
    <definedName name="DEROVANADESKA_B" localSheetId="12">#REF!</definedName>
    <definedName name="DEROVANADESKA_B">#REF!</definedName>
    <definedName name="DEROVANADESKA_C">#REF!</definedName>
    <definedName name="DEROVANADESKA_D">#REF!</definedName>
    <definedName name="DEROVANADESKA_E">#REF!</definedName>
    <definedName name="DEROVANADESKASUPER">#REF!</definedName>
    <definedName name="DEROVANADESKASUPER_A">#REF!</definedName>
    <definedName name="DEROVANADESKASUPER_B">#REF!</definedName>
    <definedName name="DEROVANADESKASUPER_C">#REF!</definedName>
    <definedName name="DEROVANADESKASUPER_D">#REF!</definedName>
    <definedName name="DEROVANADESKASUPER_E">#REF!</definedName>
    <definedName name="dfdaf">#REF!</definedName>
    <definedName name="dflt1">'[15]Úprava faktury'!$E$21</definedName>
    <definedName name="dflt2">'[15]Úprava faktury'!$E$22</definedName>
    <definedName name="dflt3">'[15]Úprava faktury'!$D$23</definedName>
    <definedName name="Dil">#REF!</definedName>
    <definedName name="DILATACNIPROFILPVC" localSheetId="11">#REF!</definedName>
    <definedName name="DILATACNIPROFILPVC" localSheetId="12">#REF!</definedName>
    <definedName name="DILATACNIPROFILPVC">#REF!</definedName>
    <definedName name="DILATACNIPROFILPVC_A" localSheetId="11">#REF!</definedName>
    <definedName name="DILATACNIPROFILPVC_A" localSheetId="12">#REF!</definedName>
    <definedName name="DILATACNIPROFILPVC_A">#REF!</definedName>
    <definedName name="DILATACNIPROFILPVC_B">#REF!</definedName>
    <definedName name="DILATACNIPROFILPVC_C">#REF!</definedName>
    <definedName name="DILATACNIPROFILPVC_D">#REF!</definedName>
    <definedName name="DILATACNIPROFILPVC_E">#REF!</definedName>
    <definedName name="Dispečink" localSheetId="11">[12]MaR!#REF!</definedName>
    <definedName name="Dispečink" localSheetId="12">[12]MaR!#REF!</definedName>
    <definedName name="Dispečink">[13]MaR!#REF!</definedName>
    <definedName name="Dispečink_1">0</definedName>
    <definedName name="Dispečink_2">[14]MaR!#REF!</definedName>
    <definedName name="DKGJSDGS" localSheetId="11">#REF!</definedName>
    <definedName name="DKGJSDGS" localSheetId="12">#REF!</definedName>
    <definedName name="DKGJSDGS">#REF!</definedName>
    <definedName name="DO">#REF!</definedName>
    <definedName name="DO_12">#REF!</definedName>
    <definedName name="DO_34">#REF!</definedName>
    <definedName name="DO_50">#REF!</definedName>
    <definedName name="dod">[16]dodav!$B:$D</definedName>
    <definedName name="DOD_12">#REF!</definedName>
    <definedName name="DOD_34">#REF!</definedName>
    <definedName name="DOD_50">#REF!</definedName>
    <definedName name="dodav">[17]dodav!$B:$D</definedName>
    <definedName name="Dodavka">[18]Rekapitulace!$G$9</definedName>
    <definedName name="Dodavka0">[18]Položky!#REF!</definedName>
    <definedName name="dodavkan">#REF!</definedName>
    <definedName name="DOPL_1" localSheetId="11">#REF!</definedName>
    <definedName name="DOPL_1" localSheetId="12">#REF!</definedName>
    <definedName name="DOPL_1">#REF!</definedName>
    <definedName name="DOPL_1_A" localSheetId="11">#REF!</definedName>
    <definedName name="DOPL_1_A" localSheetId="12">#REF!</definedName>
    <definedName name="DOPL_1_A">#REF!</definedName>
    <definedName name="DOPL_1_B">#REF!</definedName>
    <definedName name="DOPL_1_C">#REF!</definedName>
    <definedName name="DOPL_1_D">#REF!</definedName>
    <definedName name="DOPL_1_E">#REF!</definedName>
    <definedName name="DOPL_1_M">#REF!</definedName>
    <definedName name="DOPL_1_P">#REF!</definedName>
    <definedName name="DOPL_1_WE">#REF!</definedName>
    <definedName name="DOPL_10">#REF!</definedName>
    <definedName name="DOPL_10_A">#REF!</definedName>
    <definedName name="DOPL_10_B">#REF!</definedName>
    <definedName name="DOPL_10_C">#REF!</definedName>
    <definedName name="DOPL_10_D">#REF!</definedName>
    <definedName name="DOPL_10_E">#REF!</definedName>
    <definedName name="DOPL_10_M">#REF!</definedName>
    <definedName name="DOPL_10_P">#REF!</definedName>
    <definedName name="DOPL_11">#REF!</definedName>
    <definedName name="DOPL_11_A">#REF!</definedName>
    <definedName name="DOPL_11_B">#REF!</definedName>
    <definedName name="DOPL_11_C">#REF!</definedName>
    <definedName name="DOPL_11_D">#REF!</definedName>
    <definedName name="DOPL_11_E">#REF!</definedName>
    <definedName name="DOPL_11_M">#REF!</definedName>
    <definedName name="DOPL_11_P">#REF!</definedName>
    <definedName name="DOPL_12">#REF!</definedName>
    <definedName name="DOPL_12_A">#REF!</definedName>
    <definedName name="DOPL_12_B">#REF!</definedName>
    <definedName name="DOPL_12_C">#REF!</definedName>
    <definedName name="DOPL_12_D">#REF!</definedName>
    <definedName name="DOPL_12_E">#REF!</definedName>
    <definedName name="DOPL_12_M">#REF!</definedName>
    <definedName name="DOPL_12_P">#REF!</definedName>
    <definedName name="DOPL_13">#REF!</definedName>
    <definedName name="DOPL_13_A">#REF!</definedName>
    <definedName name="DOPL_13_B">#REF!</definedName>
    <definedName name="DOPL_13_C">#REF!</definedName>
    <definedName name="DOPL_13_D">#REF!</definedName>
    <definedName name="DOPL_13_E">#REF!</definedName>
    <definedName name="DOPL_13_M">#REF!</definedName>
    <definedName name="DOPL_13_P">#REF!</definedName>
    <definedName name="DOPL_14">#REF!</definedName>
    <definedName name="DOPL_14_A">#REF!</definedName>
    <definedName name="DOPL_14_B">#REF!</definedName>
    <definedName name="DOPL_14_C">#REF!</definedName>
    <definedName name="DOPL_14_D">#REF!</definedName>
    <definedName name="DOPL_14_E">#REF!</definedName>
    <definedName name="DOPL_14_M">#REF!</definedName>
    <definedName name="DOPL_14_P">#REF!</definedName>
    <definedName name="DOPL_15">#REF!</definedName>
    <definedName name="DOPL_15_A">#REF!</definedName>
    <definedName name="DOPL_15_B">#REF!</definedName>
    <definedName name="DOPL_15_C">#REF!</definedName>
    <definedName name="DOPL_15_D">#REF!</definedName>
    <definedName name="DOPL_15_E">#REF!</definedName>
    <definedName name="DOPL_15_M">#REF!</definedName>
    <definedName name="DOPL_15_P">#REF!</definedName>
    <definedName name="DOPL_16">#REF!</definedName>
    <definedName name="DOPL_16_A">#REF!</definedName>
    <definedName name="DOPL_16_B">#REF!</definedName>
    <definedName name="DOPL_16_C">#REF!</definedName>
    <definedName name="DOPL_16_D">#REF!</definedName>
    <definedName name="DOPL_16_E">#REF!</definedName>
    <definedName name="DOPL_16_M">#REF!</definedName>
    <definedName name="DOPL_16_P">#REF!</definedName>
    <definedName name="DOPL_17">#REF!</definedName>
    <definedName name="DOPL_17_A">#REF!</definedName>
    <definedName name="DOPL_17_B">#REF!</definedName>
    <definedName name="DOPL_17_C">#REF!</definedName>
    <definedName name="DOPL_17_D">#REF!</definedName>
    <definedName name="DOPL_17_E">#REF!</definedName>
    <definedName name="DOPL_17_M">#REF!</definedName>
    <definedName name="DOPL_17_P">#REF!</definedName>
    <definedName name="DOPL_18">#REF!</definedName>
    <definedName name="DOPL_18_A">#REF!</definedName>
    <definedName name="DOPL_18_B">#REF!</definedName>
    <definedName name="DOPL_18_C">#REF!</definedName>
    <definedName name="DOPL_18_D">#REF!</definedName>
    <definedName name="DOPL_18_E">#REF!</definedName>
    <definedName name="DOPL_18_M">#REF!</definedName>
    <definedName name="DOPL_18_P">#REF!</definedName>
    <definedName name="DOPL_19">#REF!</definedName>
    <definedName name="DOPL_19_A">#REF!</definedName>
    <definedName name="DOPL_19_B">#REF!</definedName>
    <definedName name="DOPL_19_C">#REF!</definedName>
    <definedName name="DOPL_19_D">#REF!</definedName>
    <definedName name="DOPL_19_E">#REF!</definedName>
    <definedName name="DOPL_19_M">#REF!</definedName>
    <definedName name="DOPL_19_P">#REF!</definedName>
    <definedName name="DOPL_2">#REF!</definedName>
    <definedName name="DOPL_2_A">#REF!</definedName>
    <definedName name="DOPL_2_B">#REF!</definedName>
    <definedName name="DOPL_2_C">#REF!</definedName>
    <definedName name="DOPL_2_D">#REF!</definedName>
    <definedName name="DOPL_2_E">#REF!</definedName>
    <definedName name="DOPL_2_M">#REF!</definedName>
    <definedName name="DOPL_2_P">#REF!</definedName>
    <definedName name="DOPL_2_WE">#REF!</definedName>
    <definedName name="DOPL_20">#REF!</definedName>
    <definedName name="DOPL_20_A">#REF!</definedName>
    <definedName name="DOPL_20_B">#REF!</definedName>
    <definedName name="DOPL_20_C">#REF!</definedName>
    <definedName name="DOPL_20_D">#REF!</definedName>
    <definedName name="DOPL_20_E">#REF!</definedName>
    <definedName name="DOPL_20_M">#REF!</definedName>
    <definedName name="DOPL_20_P">#REF!</definedName>
    <definedName name="DOPL_21">#REF!</definedName>
    <definedName name="DOPL_21_A">#REF!</definedName>
    <definedName name="DOPL_21_B">#REF!</definedName>
    <definedName name="DOPL_21_C">#REF!</definedName>
    <definedName name="DOPL_21_D">#REF!</definedName>
    <definedName name="DOPL_21_E">#REF!</definedName>
    <definedName name="DOPL_21_M">#REF!</definedName>
    <definedName name="DOPL_21_P">#REF!</definedName>
    <definedName name="DOPL_22">#REF!</definedName>
    <definedName name="DOPL_22_A">#REF!</definedName>
    <definedName name="DOPL_22_B">#REF!</definedName>
    <definedName name="DOPL_22_C">#REF!</definedName>
    <definedName name="DOPL_22_D">#REF!</definedName>
    <definedName name="DOPL_22_E">#REF!</definedName>
    <definedName name="DOPL_22_M">#REF!</definedName>
    <definedName name="DOPL_22_P">#REF!</definedName>
    <definedName name="DOPL_23">#REF!</definedName>
    <definedName name="DOPL_23_A">#REF!</definedName>
    <definedName name="DOPL_23_B">#REF!</definedName>
    <definedName name="DOPL_23_C">#REF!</definedName>
    <definedName name="DOPL_23_D">#REF!</definedName>
    <definedName name="DOPL_23_E">#REF!</definedName>
    <definedName name="DOPL_23_M">#REF!</definedName>
    <definedName name="DOPL_23_P">#REF!</definedName>
    <definedName name="DOPL_24">#REF!</definedName>
    <definedName name="DOPL_24_A">#REF!</definedName>
    <definedName name="DOPL_24_B">#REF!</definedName>
    <definedName name="DOPL_24_C">#REF!</definedName>
    <definedName name="DOPL_24_D">#REF!</definedName>
    <definedName name="DOPL_24_E">#REF!</definedName>
    <definedName name="DOPL_24_M">#REF!</definedName>
    <definedName name="DOPL_24_P">#REF!</definedName>
    <definedName name="DOPL_25">#REF!</definedName>
    <definedName name="DOPL_25_A">#REF!</definedName>
    <definedName name="DOPL_25_B">#REF!</definedName>
    <definedName name="DOPL_25_C">#REF!</definedName>
    <definedName name="DOPL_25_D">#REF!</definedName>
    <definedName name="DOPL_25_E">#REF!</definedName>
    <definedName name="DOPL_25_M">#REF!</definedName>
    <definedName name="DOPL_25_P">#REF!</definedName>
    <definedName name="DOPL_26">#REF!</definedName>
    <definedName name="DOPL_26_A">#REF!</definedName>
    <definedName name="DOPL_26_B">#REF!</definedName>
    <definedName name="DOPL_26_C">#REF!</definedName>
    <definedName name="DOPL_26_D">#REF!</definedName>
    <definedName name="DOPL_26_E">#REF!</definedName>
    <definedName name="DOPL_26_M">#REF!</definedName>
    <definedName name="DOPL_26_P">#REF!</definedName>
    <definedName name="DOPL_27">#REF!</definedName>
    <definedName name="DOPL_27_A">#REF!</definedName>
    <definedName name="DOPL_27_B">#REF!</definedName>
    <definedName name="DOPL_27_C">#REF!</definedName>
    <definedName name="DOPL_27_D">#REF!</definedName>
    <definedName name="DOPL_27_E">#REF!</definedName>
    <definedName name="DOPL_27_M">#REF!</definedName>
    <definedName name="DOPL_27_P">#REF!</definedName>
    <definedName name="DOPL_28">#REF!</definedName>
    <definedName name="DOPL_28_A">#REF!</definedName>
    <definedName name="DOPL_28_B">#REF!</definedName>
    <definedName name="DOPL_28_C">#REF!</definedName>
    <definedName name="DOPL_28_D">#REF!</definedName>
    <definedName name="DOPL_28_E">#REF!</definedName>
    <definedName name="DOPL_28_M">#REF!</definedName>
    <definedName name="DOPL_28_P">#REF!</definedName>
    <definedName name="DOPL_28_WE">#REF!</definedName>
    <definedName name="DOPL_29">#REF!</definedName>
    <definedName name="DOPL_29_A">#REF!</definedName>
    <definedName name="DOPL_29_B">#REF!</definedName>
    <definedName name="DOPL_29_C">#REF!</definedName>
    <definedName name="DOPL_29_D">#REF!</definedName>
    <definedName name="DOPL_29_E">#REF!</definedName>
    <definedName name="DOPL_29_M">#REF!</definedName>
    <definedName name="DOPL_29_P">#REF!</definedName>
    <definedName name="DOPL_3">#REF!</definedName>
    <definedName name="DOPL_3_A">#REF!</definedName>
    <definedName name="DOPL_3_B">#REF!</definedName>
    <definedName name="DOPL_3_C">#REF!</definedName>
    <definedName name="DOPL_3_D">#REF!</definedName>
    <definedName name="DOPL_3_E">#REF!</definedName>
    <definedName name="DOPL_3_M">#REF!</definedName>
    <definedName name="DOPL_3_P">#REF!</definedName>
    <definedName name="DOPL_30">#REF!</definedName>
    <definedName name="DOPL_30_A">#REF!</definedName>
    <definedName name="DOPL_30_B">#REF!</definedName>
    <definedName name="DOPL_30_C">#REF!</definedName>
    <definedName name="DOPL_30_D">#REF!</definedName>
    <definedName name="DOPL_30_E">#REF!</definedName>
    <definedName name="DOPL_30_M">#REF!</definedName>
    <definedName name="DOPL_30_P">#REF!</definedName>
    <definedName name="DOPL_31">#REF!</definedName>
    <definedName name="DOPL_31_A">#REF!</definedName>
    <definedName name="DOPL_31_B">#REF!</definedName>
    <definedName name="DOPL_31_C">#REF!</definedName>
    <definedName name="DOPL_31_D">#REF!</definedName>
    <definedName name="DOPL_31_E">#REF!</definedName>
    <definedName name="DOPL_31_M">#REF!</definedName>
    <definedName name="DOPL_31_P">#REF!</definedName>
    <definedName name="DOPL_32">#REF!</definedName>
    <definedName name="DOPL_32_A">#REF!</definedName>
    <definedName name="DOPL_32_B">#REF!</definedName>
    <definedName name="DOPL_32_C">#REF!</definedName>
    <definedName name="DOPL_32_D">#REF!</definedName>
    <definedName name="DOPL_32_E">#REF!</definedName>
    <definedName name="DOPL_32_M">#REF!</definedName>
    <definedName name="DOPL_32_P">#REF!</definedName>
    <definedName name="DOPL_33">#REF!</definedName>
    <definedName name="DOPL_33_A">#REF!</definedName>
    <definedName name="DOPL_33_B">#REF!</definedName>
    <definedName name="DOPL_33_C">#REF!</definedName>
    <definedName name="DOPL_33_D">#REF!</definedName>
    <definedName name="DOPL_33_E">#REF!</definedName>
    <definedName name="DOPL_33_M">#REF!</definedName>
    <definedName name="DOPL_33_P">#REF!</definedName>
    <definedName name="DOPL_34">#REF!</definedName>
    <definedName name="DOPL_34_A">#REF!</definedName>
    <definedName name="DOPL_34_B">#REF!</definedName>
    <definedName name="DOPL_34_C">#REF!</definedName>
    <definedName name="DOPL_34_D">#REF!</definedName>
    <definedName name="DOPL_34_E">#REF!</definedName>
    <definedName name="DOPL_34_M">#REF!</definedName>
    <definedName name="DOPL_34_P">#REF!</definedName>
    <definedName name="DOPL_35">#REF!</definedName>
    <definedName name="DOPL_35_A">#REF!</definedName>
    <definedName name="DOPL_35_B">#REF!</definedName>
    <definedName name="DOPL_35_C">#REF!</definedName>
    <definedName name="DOPL_35_D">#REF!</definedName>
    <definedName name="DOPL_35_E">#REF!</definedName>
    <definedName name="DOPL_35_M">#REF!</definedName>
    <definedName name="DOPL_35_P">#REF!</definedName>
    <definedName name="DOPL_36">#REF!</definedName>
    <definedName name="DOPL_36_A">#REF!</definedName>
    <definedName name="DOPL_36_B">#REF!</definedName>
    <definedName name="DOPL_36_C">#REF!</definedName>
    <definedName name="DOPL_36_D">#REF!</definedName>
    <definedName name="DOPL_36_E">#REF!</definedName>
    <definedName name="DOPL_36_M">#REF!</definedName>
    <definedName name="DOPL_36_P">#REF!</definedName>
    <definedName name="DOPL_37">#REF!</definedName>
    <definedName name="DOPL_37_A">#REF!</definedName>
    <definedName name="DOPL_37_B">#REF!</definedName>
    <definedName name="DOPL_37_C">#REF!</definedName>
    <definedName name="DOPL_37_D">#REF!</definedName>
    <definedName name="DOPL_37_E">#REF!</definedName>
    <definedName name="DOPL_37_M">#REF!</definedName>
    <definedName name="DOPL_37_P">#REF!</definedName>
    <definedName name="DOPL_38">#REF!</definedName>
    <definedName name="DOPL_38_A">#REF!</definedName>
    <definedName name="DOPL_38_B">#REF!</definedName>
    <definedName name="DOPL_38_C">#REF!</definedName>
    <definedName name="DOPL_38_D">#REF!</definedName>
    <definedName name="DOPL_38_E">#REF!</definedName>
    <definedName name="DOPL_38_M">#REF!</definedName>
    <definedName name="DOPL_38_P">#REF!</definedName>
    <definedName name="DOPL_39">#REF!</definedName>
    <definedName name="DOPL_39_A">#REF!</definedName>
    <definedName name="DOPL_39_B">#REF!</definedName>
    <definedName name="DOPL_39_C">#REF!</definedName>
    <definedName name="DOPL_39_D">#REF!</definedName>
    <definedName name="DOPL_39_E">#REF!</definedName>
    <definedName name="DOPL_39_M">#REF!</definedName>
    <definedName name="DOPL_39_P">#REF!</definedName>
    <definedName name="DOPL_4">#REF!</definedName>
    <definedName name="DOPL_4_A">#REF!</definedName>
    <definedName name="DOPL_4_B">#REF!</definedName>
    <definedName name="DOPL_4_C">#REF!</definedName>
    <definedName name="DOPL_4_D">#REF!</definedName>
    <definedName name="DOPL_4_E">#REF!</definedName>
    <definedName name="DOPL_4_M">#REF!</definedName>
    <definedName name="DOPL_4_P">#REF!</definedName>
    <definedName name="DOPL_40">#REF!</definedName>
    <definedName name="DOPL_40_A">#REF!</definedName>
    <definedName name="DOPL_40_B">#REF!</definedName>
    <definedName name="DOPL_40_C">#REF!</definedName>
    <definedName name="DOPL_40_D">#REF!</definedName>
    <definedName name="DOPL_40_E">#REF!</definedName>
    <definedName name="DOPL_40_M">#REF!</definedName>
    <definedName name="DOPL_40_P">#REF!</definedName>
    <definedName name="DOPL_41">#REF!</definedName>
    <definedName name="DOPL_41_A">#REF!</definedName>
    <definedName name="DOPL_41_B">#REF!</definedName>
    <definedName name="DOPL_41_C">#REF!</definedName>
    <definedName name="DOPL_41_D">#REF!</definedName>
    <definedName name="DOPL_41_E">#REF!</definedName>
    <definedName name="DOPL_41_M">#REF!</definedName>
    <definedName name="DOPL_41_P">#REF!</definedName>
    <definedName name="DOPL_42">#REF!</definedName>
    <definedName name="DOPL_42_A">#REF!</definedName>
    <definedName name="DOPL_42_B">#REF!</definedName>
    <definedName name="DOPL_42_C">#REF!</definedName>
    <definedName name="DOPL_42_D">#REF!</definedName>
    <definedName name="DOPL_42_E">#REF!</definedName>
    <definedName name="DOPL_42_M">#REF!</definedName>
    <definedName name="DOPL_42_P">#REF!</definedName>
    <definedName name="DOPL_43">#REF!</definedName>
    <definedName name="DOPL_43_A">#REF!</definedName>
    <definedName name="DOPL_43_B">#REF!</definedName>
    <definedName name="DOPL_43_C">#REF!</definedName>
    <definedName name="DOPL_43_D">#REF!</definedName>
    <definedName name="DOPL_43_E">#REF!</definedName>
    <definedName name="DOPL_43_M">#REF!</definedName>
    <definedName name="DOPL_43_P">#REF!</definedName>
    <definedName name="DOPL_44">#REF!</definedName>
    <definedName name="DOPL_44_A">#REF!</definedName>
    <definedName name="DOPL_44_B">#REF!</definedName>
    <definedName name="DOPL_44_C">#REF!</definedName>
    <definedName name="DOPL_44_D">#REF!</definedName>
    <definedName name="DOPL_44_E">#REF!</definedName>
    <definedName name="DOPL_44_M">#REF!</definedName>
    <definedName name="DOPL_44_P">#REF!</definedName>
    <definedName name="DOPL_45">#REF!</definedName>
    <definedName name="DOPL_45_A">#REF!</definedName>
    <definedName name="DOPL_45_B">#REF!</definedName>
    <definedName name="DOPL_45_C">#REF!</definedName>
    <definedName name="DOPL_45_D">#REF!</definedName>
    <definedName name="DOPL_45_E">#REF!</definedName>
    <definedName name="DOPL_45_M">#REF!</definedName>
    <definedName name="DOPL_45_P">#REF!</definedName>
    <definedName name="DOPL_46">#REF!</definedName>
    <definedName name="DOPL_46_A">#REF!</definedName>
    <definedName name="DOPL_46_B">#REF!</definedName>
    <definedName name="DOPL_46_C">#REF!</definedName>
    <definedName name="DOPL_46_D">#REF!</definedName>
    <definedName name="DOPL_46_E">#REF!</definedName>
    <definedName name="DOPL_46_M">#REF!</definedName>
    <definedName name="DOPL_46_P">#REF!</definedName>
    <definedName name="DOPL_47">#REF!</definedName>
    <definedName name="DOPL_47_A">#REF!</definedName>
    <definedName name="DOPL_47_B">#REF!</definedName>
    <definedName name="DOPL_47_C">#REF!</definedName>
    <definedName name="DOPL_47_D">#REF!</definedName>
    <definedName name="DOPL_47_E">#REF!</definedName>
    <definedName name="DOPL_47_M">#REF!</definedName>
    <definedName name="DOPL_47_P">#REF!</definedName>
    <definedName name="DOPL_48">#REF!</definedName>
    <definedName name="DOPL_48_A">#REF!</definedName>
    <definedName name="DOPL_48_B">#REF!</definedName>
    <definedName name="DOPL_48_C">#REF!</definedName>
    <definedName name="DOPL_48_D">#REF!</definedName>
    <definedName name="DOPL_48_E">#REF!</definedName>
    <definedName name="DOPL_48_M">#REF!</definedName>
    <definedName name="DOPL_48_P">#REF!</definedName>
    <definedName name="DOPL_49">#REF!</definedName>
    <definedName name="DOPL_49_A">#REF!</definedName>
    <definedName name="DOPL_49_B">#REF!</definedName>
    <definedName name="DOPL_49_C">#REF!</definedName>
    <definedName name="DOPL_49_D">#REF!</definedName>
    <definedName name="DOPL_49_E">#REF!</definedName>
    <definedName name="DOPL_49_M">#REF!</definedName>
    <definedName name="DOPL_49_P">#REF!</definedName>
    <definedName name="DOPL_5">#REF!</definedName>
    <definedName name="DOPL_5_A">#REF!</definedName>
    <definedName name="DOPL_5_B">#REF!</definedName>
    <definedName name="DOPL_5_C">#REF!</definedName>
    <definedName name="DOPL_5_D">#REF!</definedName>
    <definedName name="DOPL_5_E">#REF!</definedName>
    <definedName name="DOPL_5_M">#REF!</definedName>
    <definedName name="DOPL_5_P">#REF!</definedName>
    <definedName name="DOPL_50">#REF!</definedName>
    <definedName name="DOPL_50_A">#REF!</definedName>
    <definedName name="DOPL_50_B">#REF!</definedName>
    <definedName name="DOPL_50_C">#REF!</definedName>
    <definedName name="DOPL_50_D">#REF!</definedName>
    <definedName name="DOPL_50_E">#REF!</definedName>
    <definedName name="DOPL_50_M">#REF!</definedName>
    <definedName name="DOPL_50_P">#REF!</definedName>
    <definedName name="DOPL_51">#REF!</definedName>
    <definedName name="DOPL_51_A">#REF!</definedName>
    <definedName name="DOPL_51_B">#REF!</definedName>
    <definedName name="DOPL_51_C">#REF!</definedName>
    <definedName name="DOPL_51_D">#REF!</definedName>
    <definedName name="DOPL_51_E">#REF!</definedName>
    <definedName name="DOPL_51_M">#REF!</definedName>
    <definedName name="DOPL_51_P">#REF!</definedName>
    <definedName name="DOPL_52">#REF!</definedName>
    <definedName name="DOPL_52_A">#REF!</definedName>
    <definedName name="DOPL_52_B">#REF!</definedName>
    <definedName name="DOPL_52_C">#REF!</definedName>
    <definedName name="DOPL_52_D">#REF!</definedName>
    <definedName name="DOPL_52_E">#REF!</definedName>
    <definedName name="DOPL_52_M">#REF!</definedName>
    <definedName name="DOPL_52_P">#REF!</definedName>
    <definedName name="DOPL_53">#REF!</definedName>
    <definedName name="DOPL_53_A">#REF!</definedName>
    <definedName name="DOPL_53_B">#REF!</definedName>
    <definedName name="DOPL_53_C">#REF!</definedName>
    <definedName name="DOPL_53_D">#REF!</definedName>
    <definedName name="DOPL_53_E">#REF!</definedName>
    <definedName name="DOPL_53_M">#REF!</definedName>
    <definedName name="DOPL_53_P">#REF!</definedName>
    <definedName name="DOPL_54">#REF!</definedName>
    <definedName name="DOPL_54_A">#REF!</definedName>
    <definedName name="DOPL_54_B">#REF!</definedName>
    <definedName name="DOPL_54_C">#REF!</definedName>
    <definedName name="DOPL_54_D">#REF!</definedName>
    <definedName name="DOPL_54_E">#REF!</definedName>
    <definedName name="DOPL_54_M">#REF!</definedName>
    <definedName name="DOPL_54_P">#REF!</definedName>
    <definedName name="DOPL_55">#REF!</definedName>
    <definedName name="DOPL_55_A">#REF!</definedName>
    <definedName name="DOPL_55_B">#REF!</definedName>
    <definedName name="DOPL_55_C">#REF!</definedName>
    <definedName name="DOPL_55_D">#REF!</definedName>
    <definedName name="DOPL_55_E">#REF!</definedName>
    <definedName name="DOPL_55_M">#REF!</definedName>
    <definedName name="DOPL_55_P">#REF!</definedName>
    <definedName name="DOPL_56">#REF!</definedName>
    <definedName name="DOPL_56_A">#REF!</definedName>
    <definedName name="DOPL_56_B">#REF!</definedName>
    <definedName name="DOPL_56_C">#REF!</definedName>
    <definedName name="DOPL_56_D">#REF!</definedName>
    <definedName name="DOPL_56_E">#REF!</definedName>
    <definedName name="DOPL_56_M">#REF!</definedName>
    <definedName name="DOPL_56_P">#REF!</definedName>
    <definedName name="DOPL_6">#REF!</definedName>
    <definedName name="DOPL_6_A">#REF!</definedName>
    <definedName name="DOPL_6_B">#REF!</definedName>
    <definedName name="DOPL_6_C">#REF!</definedName>
    <definedName name="DOPL_6_D">#REF!</definedName>
    <definedName name="DOPL_6_E">#REF!</definedName>
    <definedName name="DOPL_6_M">#REF!</definedName>
    <definedName name="DOPL_6_P">#REF!</definedName>
    <definedName name="DOPL_7">#REF!</definedName>
    <definedName name="DOPL_7_A">#REF!</definedName>
    <definedName name="DOPL_7_B">#REF!</definedName>
    <definedName name="DOPL_7_C">#REF!</definedName>
    <definedName name="DOPL_7_D">#REF!</definedName>
    <definedName name="DOPL_7_E">#REF!</definedName>
    <definedName name="DOPL_7_M">#REF!</definedName>
    <definedName name="DOPL_7_P">#REF!</definedName>
    <definedName name="DOPL_8">#REF!</definedName>
    <definedName name="DOPL_8_A">#REF!</definedName>
    <definedName name="DOPL_8_B">#REF!</definedName>
    <definedName name="DOPL_8_C">#REF!</definedName>
    <definedName name="DOPL_8_D">#REF!</definedName>
    <definedName name="DOPL_8_E">#REF!</definedName>
    <definedName name="DOPL_8_M">#REF!</definedName>
    <definedName name="DOPL_8_P">#REF!</definedName>
    <definedName name="DOPL_9">#REF!</definedName>
    <definedName name="DOPL_9_A">#REF!</definedName>
    <definedName name="DOPL_9_B">#REF!</definedName>
    <definedName name="DOPL_9_C">#REF!</definedName>
    <definedName name="DOPL_9_D">#REF!</definedName>
    <definedName name="DOPL_9_E">#REF!</definedName>
    <definedName name="DOPL_9_M">#REF!</definedName>
    <definedName name="DOPL_9_P">#REF!</definedName>
    <definedName name="DPHSni">[19]Stavba!$G$24</definedName>
    <definedName name="DPHZakl">[19]Stavba!$G$26</definedName>
    <definedName name="DPJ">#REF!</definedName>
    <definedName name="DPJ_12">#REF!</definedName>
    <definedName name="DPJ_34">#REF!</definedName>
    <definedName name="DPJ_50">#REF!</definedName>
    <definedName name="DRATSOEKM125_A">#REF!</definedName>
    <definedName name="DRATSOKEM1000">#REF!</definedName>
    <definedName name="DRATSOKEM1000_A">#REF!</definedName>
    <definedName name="DRATSOKEM1000_B">#REF!</definedName>
    <definedName name="DRATSOKEM1000_C">#REF!</definedName>
    <definedName name="DRATSOKEM1000_D">#REF!</definedName>
    <definedName name="DRATSOKEM1000_E">#REF!</definedName>
    <definedName name="DRATSOKEM125">#REF!</definedName>
    <definedName name="DRATSOKEM125_B">#REF!</definedName>
    <definedName name="DRATSOKEM125_C">#REF!</definedName>
    <definedName name="DRATSOKEM125_D">#REF!</definedName>
    <definedName name="DRATSOKEM125_E">#REF!</definedName>
    <definedName name="DRATSOKEM250">#REF!</definedName>
    <definedName name="DRATSOKEM250_A">#REF!</definedName>
    <definedName name="DRATSOKEM250_B">#REF!</definedName>
    <definedName name="DRATSOKEM250_C">#REF!</definedName>
    <definedName name="DRATSOKEM250_D">#REF!</definedName>
    <definedName name="DRATSOKEM250_E">#REF!</definedName>
    <definedName name="DRATSOKEM375">#REF!</definedName>
    <definedName name="DRATSOKEM375_A">#REF!</definedName>
    <definedName name="DRATSOKEM375_B">#REF!</definedName>
    <definedName name="DRATSOKEM375_C">#REF!</definedName>
    <definedName name="DRATSOKEM375_D">#REF!</definedName>
    <definedName name="DRATSOKEM375_E">#REF!</definedName>
    <definedName name="DRATSOKEM500">#REF!</definedName>
    <definedName name="DRATSOKEM500_A">#REF!</definedName>
    <definedName name="DRATSOKEM500_B">#REF!</definedName>
    <definedName name="DRATSOKEM500_C">#REF!</definedName>
    <definedName name="DRATSOKEM500_D">#REF!</definedName>
    <definedName name="DRATSOKEM500_E">#REF!</definedName>
    <definedName name="DRATSOKEM750">#REF!</definedName>
    <definedName name="DRATSOKEM750_A">#REF!</definedName>
    <definedName name="DRATSOKEM750_B">#REF!</definedName>
    <definedName name="DRATSOKEM750_C">#REF!</definedName>
    <definedName name="DRATSOKEM750_D">#REF!</definedName>
    <definedName name="DRATSOKEM750_E">#REF!</definedName>
    <definedName name="DS_1">#REF!</definedName>
    <definedName name="DS_1_A">#REF!</definedName>
    <definedName name="DS_1_B">#REF!</definedName>
    <definedName name="DS_1_C">#REF!</definedName>
    <definedName name="DS_1_D">#REF!</definedName>
    <definedName name="DS_1_E">#REF!</definedName>
    <definedName name="DS_1_M">#REF!</definedName>
    <definedName name="DS_1_P">#REF!</definedName>
    <definedName name="DS_10">#REF!</definedName>
    <definedName name="DS_10_A">#REF!</definedName>
    <definedName name="DS_10_B">#REF!</definedName>
    <definedName name="DS_10_C">#REF!</definedName>
    <definedName name="DS_10_D">#REF!</definedName>
    <definedName name="DS_10_E">#REF!</definedName>
    <definedName name="DS_10_M">#REF!</definedName>
    <definedName name="DS_10_P">#REF!</definedName>
    <definedName name="DS_11">#REF!</definedName>
    <definedName name="DS_11_A">#REF!</definedName>
    <definedName name="DS_11_B">#REF!</definedName>
    <definedName name="DS_11_C">#REF!</definedName>
    <definedName name="DS_11_D">#REF!</definedName>
    <definedName name="DS_11_E">#REF!</definedName>
    <definedName name="DS_11_M">#REF!</definedName>
    <definedName name="DS_11_P">#REF!</definedName>
    <definedName name="DS_12">#REF!</definedName>
    <definedName name="DS_12_A">#REF!</definedName>
    <definedName name="DS_12_B">#REF!</definedName>
    <definedName name="DS_12_C">#REF!</definedName>
    <definedName name="DS_12_D">#REF!</definedName>
    <definedName name="DS_12_E">#REF!</definedName>
    <definedName name="DS_12_M">#REF!</definedName>
    <definedName name="DS_12_P">#REF!</definedName>
    <definedName name="DS_13">#REF!</definedName>
    <definedName name="DS_13_A">#REF!</definedName>
    <definedName name="DS_13_B">#REF!</definedName>
    <definedName name="DS_13_C">#REF!</definedName>
    <definedName name="DS_13_D">#REF!</definedName>
    <definedName name="DS_13_E">#REF!</definedName>
    <definedName name="DS_13_M">#REF!</definedName>
    <definedName name="DS_13_P">#REF!</definedName>
    <definedName name="DS_14">#REF!</definedName>
    <definedName name="DS_14_A">#REF!</definedName>
    <definedName name="DS_14_B">#REF!</definedName>
    <definedName name="DS_14_C">#REF!</definedName>
    <definedName name="DS_14_D">#REF!</definedName>
    <definedName name="DS_14_E">#REF!</definedName>
    <definedName name="DS_14_M">#REF!</definedName>
    <definedName name="DS_14_P">#REF!</definedName>
    <definedName name="DS_15">#REF!</definedName>
    <definedName name="DS_15_A">#REF!</definedName>
    <definedName name="DS_15_B">#REF!</definedName>
    <definedName name="DS_15_C">#REF!</definedName>
    <definedName name="DS_15_D">#REF!</definedName>
    <definedName name="DS_15_E">#REF!</definedName>
    <definedName name="DS_15_M">#REF!</definedName>
    <definedName name="DS_15_P">#REF!</definedName>
    <definedName name="DS_16">#REF!</definedName>
    <definedName name="DS_16_A">#REF!</definedName>
    <definedName name="DS_16_B">#REF!</definedName>
    <definedName name="DS_16_C">#REF!</definedName>
    <definedName name="DS_16_D">#REF!</definedName>
    <definedName name="DS_16_E">#REF!</definedName>
    <definedName name="DS_16_M">#REF!</definedName>
    <definedName name="DS_16_P">#REF!</definedName>
    <definedName name="DS_17">#REF!</definedName>
    <definedName name="DS_17_A">#REF!</definedName>
    <definedName name="DS_17_B">#REF!</definedName>
    <definedName name="DS_17_C">#REF!</definedName>
    <definedName name="DS_17_D">#REF!</definedName>
    <definedName name="DS_17_E">#REF!</definedName>
    <definedName name="DS_17_M">#REF!</definedName>
    <definedName name="DS_17_P">#REF!</definedName>
    <definedName name="DS_18">#REF!</definedName>
    <definedName name="DS_18_A">#REF!</definedName>
    <definedName name="DS_18_B">#REF!</definedName>
    <definedName name="DS_18_C">#REF!</definedName>
    <definedName name="DS_18_D">#REF!</definedName>
    <definedName name="DS_18_E">#REF!</definedName>
    <definedName name="DS_18_M">#REF!</definedName>
    <definedName name="DS_18_P">#REF!</definedName>
    <definedName name="DS_19">#REF!</definedName>
    <definedName name="DS_19_A">#REF!</definedName>
    <definedName name="DS_19_B">#REF!</definedName>
    <definedName name="DS_19_C">#REF!</definedName>
    <definedName name="DS_19_D">#REF!</definedName>
    <definedName name="DS_19_E">#REF!</definedName>
    <definedName name="DS_19_M">#REF!</definedName>
    <definedName name="DS_19_P">#REF!</definedName>
    <definedName name="DS_2">#REF!</definedName>
    <definedName name="DS_2_A">#REF!</definedName>
    <definedName name="DS_2_B">#REF!</definedName>
    <definedName name="DS_2_C">#REF!</definedName>
    <definedName name="DS_2_D">#REF!</definedName>
    <definedName name="DS_2_E">#REF!</definedName>
    <definedName name="DS_2_M">#REF!</definedName>
    <definedName name="DS_2_P">#REF!</definedName>
    <definedName name="DS_20">#REF!</definedName>
    <definedName name="DS_20_A">#REF!</definedName>
    <definedName name="DS_20_B">#REF!</definedName>
    <definedName name="DS_20_C">#REF!</definedName>
    <definedName name="DS_20_D">#REF!</definedName>
    <definedName name="DS_20_E">#REF!</definedName>
    <definedName name="DS_20_M">#REF!</definedName>
    <definedName name="DS_20_P">#REF!</definedName>
    <definedName name="DS_21">#REF!</definedName>
    <definedName name="DS_21_A">#REF!</definedName>
    <definedName name="DS_21_B">#REF!</definedName>
    <definedName name="DS_21_C">#REF!</definedName>
    <definedName name="DS_21_D">#REF!</definedName>
    <definedName name="DS_21_E">#REF!</definedName>
    <definedName name="DS_21_M">#REF!</definedName>
    <definedName name="DS_21_P">#REF!</definedName>
    <definedName name="DS_22">#REF!</definedName>
    <definedName name="DS_22_A">#REF!</definedName>
    <definedName name="DS_22_B">#REF!</definedName>
    <definedName name="DS_22_C">#REF!</definedName>
    <definedName name="DS_22_D">#REF!</definedName>
    <definedName name="DS_22_E">#REF!</definedName>
    <definedName name="DS_22_M">#REF!</definedName>
    <definedName name="DS_22_P">#REF!</definedName>
    <definedName name="DS_23">#REF!</definedName>
    <definedName name="DS_23_A">#REF!</definedName>
    <definedName name="DS_23_B">#REF!</definedName>
    <definedName name="DS_23_C">#REF!</definedName>
    <definedName name="DS_23_D">#REF!</definedName>
    <definedName name="DS_23_E">#REF!</definedName>
    <definedName name="DS_23_M">#REF!</definedName>
    <definedName name="DS_23_P">#REF!</definedName>
    <definedName name="DS_24">#REF!</definedName>
    <definedName name="DS_24_A">#REF!</definedName>
    <definedName name="DS_24_B">#REF!</definedName>
    <definedName name="DS_24_C">#REF!</definedName>
    <definedName name="DS_24_D">#REF!</definedName>
    <definedName name="DS_24_E">#REF!</definedName>
    <definedName name="DS_24_M">#REF!</definedName>
    <definedName name="DS_24_P">#REF!</definedName>
    <definedName name="DS_25">#REF!</definedName>
    <definedName name="DS_25_A">#REF!</definedName>
    <definedName name="DS_25_B">#REF!</definedName>
    <definedName name="DS_25_C">#REF!</definedName>
    <definedName name="DS_25_D">#REF!</definedName>
    <definedName name="DS_25_E">#REF!</definedName>
    <definedName name="DS_25_M">#REF!</definedName>
    <definedName name="DS_25_P">#REF!</definedName>
    <definedName name="DS_26">#REF!</definedName>
    <definedName name="DS_26_A">#REF!</definedName>
    <definedName name="DS_26_B">#REF!</definedName>
    <definedName name="DS_26_C">#REF!</definedName>
    <definedName name="DS_26_D">#REF!</definedName>
    <definedName name="DS_26_E">#REF!</definedName>
    <definedName name="DS_26_M">#REF!</definedName>
    <definedName name="DS_26_P">#REF!</definedName>
    <definedName name="DS_27">#REF!</definedName>
    <definedName name="DS_27_A">#REF!</definedName>
    <definedName name="DS_27_B">#REF!</definedName>
    <definedName name="DS_27_C">#REF!</definedName>
    <definedName name="DS_27_D">#REF!</definedName>
    <definedName name="DS_27_E">#REF!</definedName>
    <definedName name="DS_27_M">#REF!</definedName>
    <definedName name="DS_27_P">#REF!</definedName>
    <definedName name="DS_28">#REF!</definedName>
    <definedName name="DS_28_A">#REF!</definedName>
    <definedName name="DS_28_B">#REF!</definedName>
    <definedName name="DS_28_C">#REF!</definedName>
    <definedName name="DS_28_D">#REF!</definedName>
    <definedName name="DS_28_E">#REF!</definedName>
    <definedName name="DS_28_M">#REF!</definedName>
    <definedName name="DS_28_P">#REF!</definedName>
    <definedName name="DS_29">#REF!</definedName>
    <definedName name="DS_29_A">#REF!</definedName>
    <definedName name="DS_29_B">#REF!</definedName>
    <definedName name="DS_29_C">#REF!</definedName>
    <definedName name="DS_29_D">#REF!</definedName>
    <definedName name="DS_29_E">#REF!</definedName>
    <definedName name="DS_29_M">#REF!</definedName>
    <definedName name="DS_29_P">#REF!</definedName>
    <definedName name="DS_3">#REF!</definedName>
    <definedName name="DS_3_A">#REF!</definedName>
    <definedName name="DS_3_B">#REF!</definedName>
    <definedName name="DS_3_C">#REF!</definedName>
    <definedName name="DS_3_D">#REF!</definedName>
    <definedName name="DS_3_E">#REF!</definedName>
    <definedName name="DS_3_M">#REF!</definedName>
    <definedName name="DS_3_P">#REF!</definedName>
    <definedName name="DS_30">#REF!</definedName>
    <definedName name="DS_30_A">#REF!</definedName>
    <definedName name="DS_30_B">#REF!</definedName>
    <definedName name="DS_30_C">#REF!</definedName>
    <definedName name="DS_30_D">#REF!</definedName>
    <definedName name="DS_30_E">#REF!</definedName>
    <definedName name="DS_30_M">#REF!</definedName>
    <definedName name="DS_30_P">#REF!</definedName>
    <definedName name="DS_31">#REF!</definedName>
    <definedName name="DS_31_A">#REF!</definedName>
    <definedName name="DS_31_B">#REF!</definedName>
    <definedName name="DS_31_C">#REF!</definedName>
    <definedName name="DS_31_D">#REF!</definedName>
    <definedName name="DS_31_E">#REF!</definedName>
    <definedName name="DS_31_M">#REF!</definedName>
    <definedName name="DS_31_P">#REF!</definedName>
    <definedName name="DS_32">#REF!</definedName>
    <definedName name="DS_32_A">#REF!</definedName>
    <definedName name="DS_32_B">#REF!</definedName>
    <definedName name="DS_32_C">#REF!</definedName>
    <definedName name="DS_32_D">#REF!</definedName>
    <definedName name="DS_32_E">#REF!</definedName>
    <definedName name="DS_32_M">#REF!</definedName>
    <definedName name="DS_32_P">#REF!</definedName>
    <definedName name="DS_33">#REF!</definedName>
    <definedName name="DS_33_A">#REF!</definedName>
    <definedName name="DS_33_B">#REF!</definedName>
    <definedName name="DS_33_C">#REF!</definedName>
    <definedName name="DS_33_D">#REF!</definedName>
    <definedName name="DS_33_E">#REF!</definedName>
    <definedName name="DS_33_M">#REF!</definedName>
    <definedName name="DS_33_P">#REF!</definedName>
    <definedName name="DS_34">#REF!</definedName>
    <definedName name="DS_34_A">#REF!</definedName>
    <definedName name="DS_34_B">#REF!</definedName>
    <definedName name="DS_34_C">#REF!</definedName>
    <definedName name="DS_34_D">#REF!</definedName>
    <definedName name="DS_34_E">#REF!</definedName>
    <definedName name="DS_34_M">#REF!</definedName>
    <definedName name="DS_34_P">#REF!</definedName>
    <definedName name="DS_35">#REF!</definedName>
    <definedName name="DS_35_A">#REF!</definedName>
    <definedName name="DS_35_B">#REF!</definedName>
    <definedName name="DS_35_C">#REF!</definedName>
    <definedName name="DS_35_D">#REF!</definedName>
    <definedName name="DS_35_E">#REF!</definedName>
    <definedName name="DS_35_M">#REF!</definedName>
    <definedName name="DS_35_P">#REF!</definedName>
    <definedName name="DS_36">#REF!</definedName>
    <definedName name="DS_36_A">#REF!</definedName>
    <definedName name="DS_36_B">#REF!</definedName>
    <definedName name="DS_36_C">#REF!</definedName>
    <definedName name="DS_36_D">#REF!</definedName>
    <definedName name="DS_36_E">#REF!</definedName>
    <definedName name="DS_36_M">#REF!</definedName>
    <definedName name="DS_36_P">#REF!</definedName>
    <definedName name="DS_37">#REF!</definedName>
    <definedName name="DS_37_A">#REF!</definedName>
    <definedName name="DS_37_B">#REF!</definedName>
    <definedName name="DS_37_C">#REF!</definedName>
    <definedName name="DS_37_D">#REF!</definedName>
    <definedName name="DS_37_E">#REF!</definedName>
    <definedName name="DS_37_M">#REF!</definedName>
    <definedName name="DS_37_P">#REF!</definedName>
    <definedName name="DS_38">#REF!</definedName>
    <definedName name="DS_38_A">#REF!</definedName>
    <definedName name="DS_38_B">#REF!</definedName>
    <definedName name="DS_38_C">#REF!</definedName>
    <definedName name="DS_38_D">#REF!</definedName>
    <definedName name="DS_38_E">#REF!</definedName>
    <definedName name="DS_38_M">#REF!</definedName>
    <definedName name="DS_38_P">#REF!</definedName>
    <definedName name="DS_39">#REF!</definedName>
    <definedName name="DS_39_A">#REF!</definedName>
    <definedName name="DS_39_B">#REF!</definedName>
    <definedName name="DS_39_C">#REF!</definedName>
    <definedName name="DS_39_D">#REF!</definedName>
    <definedName name="DS_39_E">#REF!</definedName>
    <definedName name="DS_39_M">#REF!</definedName>
    <definedName name="DS_39_P">#REF!</definedName>
    <definedName name="DS_4">#REF!</definedName>
    <definedName name="DS_4_A">#REF!</definedName>
    <definedName name="DS_4_B">#REF!</definedName>
    <definedName name="DS_4_C">#REF!</definedName>
    <definedName name="DS_4_D">#REF!</definedName>
    <definedName name="DS_4_E">#REF!</definedName>
    <definedName name="DS_4_M">#REF!</definedName>
    <definedName name="DS_4_P">#REF!</definedName>
    <definedName name="DS_40">#REF!</definedName>
    <definedName name="DS_40_A">#REF!</definedName>
    <definedName name="DS_40_B">#REF!</definedName>
    <definedName name="DS_40_C">#REF!</definedName>
    <definedName name="DS_40_D">#REF!</definedName>
    <definedName name="DS_40_E">#REF!</definedName>
    <definedName name="DS_40_M">#REF!</definedName>
    <definedName name="DS_40_P">#REF!</definedName>
    <definedName name="DS_41">#REF!</definedName>
    <definedName name="DS_41_A">#REF!</definedName>
    <definedName name="DS_41_B">#REF!</definedName>
    <definedName name="DS_41_C">#REF!</definedName>
    <definedName name="DS_41_D">#REF!</definedName>
    <definedName name="DS_41_E">#REF!</definedName>
    <definedName name="DS_41_M">#REF!</definedName>
    <definedName name="DS_41_P">#REF!</definedName>
    <definedName name="DS_42">#REF!</definedName>
    <definedName name="DS_42_A">#REF!</definedName>
    <definedName name="DS_42_B">#REF!</definedName>
    <definedName name="DS_42_C">#REF!</definedName>
    <definedName name="DS_42_D">#REF!</definedName>
    <definedName name="DS_42_E">#REF!</definedName>
    <definedName name="DS_42_M">#REF!</definedName>
    <definedName name="DS_42_P">#REF!</definedName>
    <definedName name="DS_43">#REF!</definedName>
    <definedName name="DS_43_A">#REF!</definedName>
    <definedName name="DS_43_B">#REF!</definedName>
    <definedName name="DS_43_C">#REF!</definedName>
    <definedName name="DS_43_D">#REF!</definedName>
    <definedName name="DS_43_E">#REF!</definedName>
    <definedName name="DS_43_M">#REF!</definedName>
    <definedName name="DS_43_P">#REF!</definedName>
    <definedName name="DS_44">#REF!</definedName>
    <definedName name="DS_44_A">#REF!</definedName>
    <definedName name="DS_44_B">#REF!</definedName>
    <definedName name="DS_44_C">#REF!</definedName>
    <definedName name="DS_44_D">#REF!</definedName>
    <definedName name="DS_44_E">#REF!</definedName>
    <definedName name="DS_44_M">#REF!</definedName>
    <definedName name="DS_44_P">#REF!</definedName>
    <definedName name="DS_45">#REF!</definedName>
    <definedName name="DS_45_A">#REF!</definedName>
    <definedName name="DS_45_AQ">#REF!</definedName>
    <definedName name="DS_45_B">#REF!</definedName>
    <definedName name="DS_45_C">#REF!</definedName>
    <definedName name="DS_45_D">#REF!</definedName>
    <definedName name="DS_45_E">#REF!</definedName>
    <definedName name="DS_45_M">#REF!</definedName>
    <definedName name="DS_45_P">#REF!</definedName>
    <definedName name="DS_46">#REF!</definedName>
    <definedName name="DS_46_A">#REF!</definedName>
    <definedName name="DS_46_B">#REF!</definedName>
    <definedName name="DS_46_C">#REF!</definedName>
    <definedName name="DS_46_D">#REF!</definedName>
    <definedName name="DS_46_E">#REF!</definedName>
    <definedName name="DS_46_M">#REF!</definedName>
    <definedName name="DS_46_P">#REF!</definedName>
    <definedName name="DS_47">#REF!</definedName>
    <definedName name="DS_47_A">#REF!</definedName>
    <definedName name="DS_47_B">#REF!</definedName>
    <definedName name="DS_47_C">#REF!</definedName>
    <definedName name="DS_47_D">#REF!</definedName>
    <definedName name="DS_47_E">#REF!</definedName>
    <definedName name="DS_47_M">#REF!</definedName>
    <definedName name="DS_47_P">#REF!</definedName>
    <definedName name="DS_48">#REF!</definedName>
    <definedName name="DS_48_A">#REF!</definedName>
    <definedName name="DS_48_B">#REF!</definedName>
    <definedName name="DS_48_C">#REF!</definedName>
    <definedName name="DS_48_D">#REF!</definedName>
    <definedName name="DS_48_E">#REF!</definedName>
    <definedName name="DS_48_M">#REF!</definedName>
    <definedName name="DS_48_P">#REF!</definedName>
    <definedName name="DS_49">#REF!</definedName>
    <definedName name="DS_49_A">#REF!</definedName>
    <definedName name="DS_49_B">#REF!</definedName>
    <definedName name="DS_49_C">#REF!</definedName>
    <definedName name="DS_49_D">#REF!</definedName>
    <definedName name="DS_49_E">#REF!</definedName>
    <definedName name="DS_49_M">#REF!</definedName>
    <definedName name="DS_49_P">#REF!</definedName>
    <definedName name="DS_5">#REF!</definedName>
    <definedName name="DS_5_A">#REF!</definedName>
    <definedName name="DS_5_B">#REF!</definedName>
    <definedName name="DS_5_C">#REF!</definedName>
    <definedName name="DS_5_D">#REF!</definedName>
    <definedName name="DS_5_E">#REF!</definedName>
    <definedName name="DS_5_M">#REF!</definedName>
    <definedName name="DS_5_P">#REF!</definedName>
    <definedName name="DS_50">#REF!</definedName>
    <definedName name="DS_50_A">#REF!</definedName>
    <definedName name="DS_50_B">#REF!</definedName>
    <definedName name="DS_50_C">#REF!</definedName>
    <definedName name="DS_50_D">#REF!</definedName>
    <definedName name="DS_50_E">#REF!</definedName>
    <definedName name="DS_50_M">#REF!</definedName>
    <definedName name="DS_50_P">#REF!</definedName>
    <definedName name="DS_51">#REF!</definedName>
    <definedName name="DS_51_A">#REF!</definedName>
    <definedName name="DS_51_B">#REF!</definedName>
    <definedName name="DS_51_C">#REF!</definedName>
    <definedName name="DS_51_D">#REF!</definedName>
    <definedName name="DS_51_E">#REF!</definedName>
    <definedName name="DS_51_M">#REF!</definedName>
    <definedName name="DS_51_P">#REF!</definedName>
    <definedName name="DS_52">#REF!</definedName>
    <definedName name="DS_52_A">#REF!</definedName>
    <definedName name="DS_52_B">#REF!</definedName>
    <definedName name="DS_52_C">#REF!</definedName>
    <definedName name="DS_52_D">#REF!</definedName>
    <definedName name="DS_52_E">#REF!</definedName>
    <definedName name="DS_52_M">#REF!</definedName>
    <definedName name="DS_52_P">#REF!</definedName>
    <definedName name="DS_53">#REF!</definedName>
    <definedName name="DS_53_A">#REF!</definedName>
    <definedName name="DS_53_B">#REF!</definedName>
    <definedName name="DS_53_C">#REF!</definedName>
    <definedName name="DS_53_D">#REF!</definedName>
    <definedName name="DS_53_E">#REF!</definedName>
    <definedName name="DS_53_M">#REF!</definedName>
    <definedName name="DS_53_P">#REF!</definedName>
    <definedName name="DS_54">#REF!</definedName>
    <definedName name="DS_54_A">#REF!</definedName>
    <definedName name="DS_54_B">#REF!</definedName>
    <definedName name="DS_54_C">#REF!</definedName>
    <definedName name="DS_54_D">#REF!</definedName>
    <definedName name="DS_54_E">#REF!</definedName>
    <definedName name="DS_54_M">#REF!</definedName>
    <definedName name="DS_54_P">#REF!</definedName>
    <definedName name="DS_6">#REF!</definedName>
    <definedName name="DS_6_A">#REF!</definedName>
    <definedName name="DS_6_B">#REF!</definedName>
    <definedName name="DS_6_C">#REF!</definedName>
    <definedName name="DS_6_D">#REF!</definedName>
    <definedName name="DS_6_E">#REF!</definedName>
    <definedName name="DS_6_M">#REF!</definedName>
    <definedName name="DS_6_P">#REF!</definedName>
    <definedName name="DS_7">#REF!</definedName>
    <definedName name="DS_7_A">#REF!</definedName>
    <definedName name="DS_7_B">#REF!</definedName>
    <definedName name="DS_7_C">#REF!</definedName>
    <definedName name="DS_7_D">#REF!</definedName>
    <definedName name="DS_7_E">#REF!</definedName>
    <definedName name="DS_7_M">#REF!</definedName>
    <definedName name="DS_7_P">#REF!</definedName>
    <definedName name="DS_8">#REF!</definedName>
    <definedName name="DS_8_A">#REF!</definedName>
    <definedName name="DS_8_B">#REF!</definedName>
    <definedName name="DS_8_C">#REF!</definedName>
    <definedName name="DS_8_D">#REF!</definedName>
    <definedName name="DS_8_E">#REF!</definedName>
    <definedName name="DS_8_M">#REF!</definedName>
    <definedName name="DS_8_P">#REF!</definedName>
    <definedName name="DS_9">#REF!</definedName>
    <definedName name="DS_9_A">#REF!</definedName>
    <definedName name="DS_9_B">#REF!</definedName>
    <definedName name="DS_9_C">#REF!</definedName>
    <definedName name="DS_9_D">#REF!</definedName>
    <definedName name="DS_9_E">#REF!</definedName>
    <definedName name="DS_9_M">#REF!</definedName>
    <definedName name="DS_9_P">#REF!</definedName>
    <definedName name="dsfbhbg">#REF!</definedName>
    <definedName name="DV">#REF!</definedName>
    <definedName name="DVIRKAA200200">#REF!</definedName>
    <definedName name="DVIRKAA200200_A">#REF!</definedName>
    <definedName name="DVIRKAA200200_B">#REF!</definedName>
    <definedName name="DVIRKAA200200_C">#REF!</definedName>
    <definedName name="DVIRKAA200200_D">#REF!</definedName>
    <definedName name="DVIRKAA200200_E">#REF!</definedName>
    <definedName name="DVIRKAA200X200">#REF!</definedName>
    <definedName name="DVIRKAA300300">#REF!</definedName>
    <definedName name="DVIRKAA300300_A">#REF!</definedName>
    <definedName name="DVIRKAA300300_B">#REF!</definedName>
    <definedName name="DVIRKAA300300_C">#REF!</definedName>
    <definedName name="DVIRKAA300300_D">#REF!</definedName>
    <definedName name="DVIRKAA300300_E">#REF!</definedName>
    <definedName name="DVIRKAA300X300">#REF!</definedName>
    <definedName name="DVIRKAA400400">#REF!</definedName>
    <definedName name="DVIRKAA400400_A">#REF!</definedName>
    <definedName name="DVIRKAA400400_B">#REF!</definedName>
    <definedName name="DVIRKAA400400_C">#REF!</definedName>
    <definedName name="DVIRKAA400400_D">#REF!</definedName>
    <definedName name="DVIRKAA400400_E">#REF!</definedName>
    <definedName name="DVIRKAA400X400">#REF!</definedName>
    <definedName name="DVIRKAA500500">#REF!</definedName>
    <definedName name="DVIRKAA500500_A">#REF!</definedName>
    <definedName name="DVIRKAA500500_B">#REF!</definedName>
    <definedName name="DVIRKAA500500_C">#REF!</definedName>
    <definedName name="DVIRKAA500500_D">#REF!</definedName>
    <definedName name="DVIRKAA500500_E">#REF!</definedName>
    <definedName name="DVIRKAA500X500">#REF!</definedName>
    <definedName name="DVIRKAA600600">#REF!</definedName>
    <definedName name="DVIRKAA600600_A">#REF!</definedName>
    <definedName name="DVIRKAA600600_B">#REF!</definedName>
    <definedName name="DVIRKAA600600_C">#REF!</definedName>
    <definedName name="DVIRKAA600600_D">#REF!</definedName>
    <definedName name="DVIRKAA600600_E">#REF!</definedName>
    <definedName name="DVIRKAA600X600">#REF!</definedName>
    <definedName name="DVIRKAB200200">#REF!</definedName>
    <definedName name="DVIRKAB200200_A">#REF!</definedName>
    <definedName name="DVIRKAB200200_B">#REF!</definedName>
    <definedName name="DVIRKAB200200_C">#REF!</definedName>
    <definedName name="DVIRKAB200200_D">#REF!</definedName>
    <definedName name="DVIRKAB200200_E">#REF!</definedName>
    <definedName name="DVIRKAB300300_A">#REF!</definedName>
    <definedName name="DVIRKAB300300_B">#REF!</definedName>
    <definedName name="DVIRKAB300300_C">#REF!</definedName>
    <definedName name="DVIRKAB300300_D">#REF!</definedName>
    <definedName name="DVIRKAB300300_E">#REF!</definedName>
    <definedName name="DVIRKAB300X300">#REF!</definedName>
    <definedName name="DVIRKAB400400_A">#REF!</definedName>
    <definedName name="DVIRKAB400400_B">#REF!</definedName>
    <definedName name="DVIRKAB400400_C">#REF!</definedName>
    <definedName name="DVIRKAB400400_D">#REF!</definedName>
    <definedName name="DVIRKAB400400_E">#REF!</definedName>
    <definedName name="DVIRKAB400X400">#REF!</definedName>
    <definedName name="DVIRKAB500500">#REF!</definedName>
    <definedName name="DVIRKAB500500_A">#REF!</definedName>
    <definedName name="DVIRKAB500500_B">#REF!</definedName>
    <definedName name="DVIRKAB500500_C">#REF!</definedName>
    <definedName name="DVIRKAB500500_D">#REF!</definedName>
    <definedName name="DVIRKAB500500_E">#REF!</definedName>
    <definedName name="DVIRKAB600600">#REF!</definedName>
    <definedName name="DVIRKAB600600_A">#REF!</definedName>
    <definedName name="DVIRKAB600600_B">#REF!</definedName>
    <definedName name="DVIRKAB600600_C">#REF!</definedName>
    <definedName name="DVIRKAB600600_D">#REF!</definedName>
    <definedName name="DVIRKAB600600_E">#REF!</definedName>
    <definedName name="DVIRKAC200200">#REF!</definedName>
    <definedName name="DVIRKAC200200_A">#REF!</definedName>
    <definedName name="DVIRKAC200200_B">#REF!</definedName>
    <definedName name="DVIRKAC200200_C">#REF!</definedName>
    <definedName name="DVIRKAC200200_D">#REF!</definedName>
    <definedName name="DVIRKAC200200_E">#REF!</definedName>
    <definedName name="DVIRKAC300300">#REF!</definedName>
    <definedName name="DVIRKAC300300_A">#REF!</definedName>
    <definedName name="DVIRKAC300300_B">#REF!</definedName>
    <definedName name="DVIRKAC300300_C">#REF!</definedName>
    <definedName name="DVIRKAC300300_D">#REF!</definedName>
    <definedName name="DVIRKAC300300_E">#REF!</definedName>
    <definedName name="DVIRKAC400400">#REF!</definedName>
    <definedName name="DVIRKAC400400_A">#REF!</definedName>
    <definedName name="DVIRKAC400400_B">#REF!</definedName>
    <definedName name="DVIRKAC400400_C">#REF!</definedName>
    <definedName name="DVIRKAC400400_D">#REF!</definedName>
    <definedName name="DVIRKAC400400_E">#REF!</definedName>
    <definedName name="DVIRKAC500500">#REF!</definedName>
    <definedName name="DVIRKAC500500_A">#REF!</definedName>
    <definedName name="DVIRKAC500500_B">#REF!</definedName>
    <definedName name="DVIRKAC500500_C">#REF!</definedName>
    <definedName name="DVIRKAC500500_D">#REF!</definedName>
    <definedName name="DVIRKAC500500_E">#REF!</definedName>
    <definedName name="DVIRKAC600600">#REF!</definedName>
    <definedName name="DVIRKAC600600_A">#REF!</definedName>
    <definedName name="DVIRKAC600600_B">#REF!</definedName>
    <definedName name="DVIRKAC600600_C">#REF!</definedName>
    <definedName name="DVIRKAC600600_D">#REF!</definedName>
    <definedName name="DVIRKAC600600_E">#REF!</definedName>
    <definedName name="DVOJITAPEROVASVORKA">#REF!</definedName>
    <definedName name="DVOJITAPEROVASVORKA_A">#REF!</definedName>
    <definedName name="DVOJITAPEROVASVORKA_B">#REF!</definedName>
    <definedName name="DVOJITAPEROVASVORKA_C">#REF!</definedName>
    <definedName name="DVOJITAPEROVASVORKA_D">#REF!</definedName>
    <definedName name="DVOJITAPEROVASVORKA_E">#REF!</definedName>
    <definedName name="e">#REF!</definedName>
    <definedName name="eee">#REF!</definedName>
    <definedName name="eeeee">#REF!</definedName>
    <definedName name="eeeeeee">#REF!</definedName>
    <definedName name="eeeeeeee">#REF!</definedName>
    <definedName name="ELEKTROKRABICE6845">#REF!</definedName>
    <definedName name="ELEKTROKRABICE6845_A">#REF!</definedName>
    <definedName name="ELEKTROKRABICE6845_B">#REF!</definedName>
    <definedName name="ELEKTROKRABICE6845_C">#REF!</definedName>
    <definedName name="ELEKTROKRABICE6845_D">#REF!</definedName>
    <definedName name="ELEKTROKRABICE6845_E">#REF!</definedName>
    <definedName name="ELEKTROKRABICE6860">#REF!</definedName>
    <definedName name="ELEKTROKRABICE6860_A">#REF!</definedName>
    <definedName name="ELEKTROKRABICE6860_B">#REF!</definedName>
    <definedName name="ELEKTROKRABICE6860_C">#REF!</definedName>
    <definedName name="ELEKTROKRABICE6860_D">#REF!</definedName>
    <definedName name="ELEKTROKRABICE6860_E">#REF!</definedName>
    <definedName name="ELEKTROKRABICE6945_A">#REF!</definedName>
    <definedName name="ELEKTROKRABICE6945_B">#REF!</definedName>
    <definedName name="ELEKTROKRABICE6945_C">#REF!</definedName>
    <definedName name="ELEKTROKRABICE6945_D">#REF!</definedName>
    <definedName name="ELEKTROKRABICE6945_E">#REF!</definedName>
    <definedName name="end_rozpocty">#REF!</definedName>
    <definedName name="ergergegergergerg">#REF!</definedName>
    <definedName name="ergrthzk">#REF!</definedName>
    <definedName name="Est_copy_první">#REF!</definedName>
    <definedName name="Est_poslední">#REF!</definedName>
    <definedName name="Est_první">#REF!</definedName>
    <definedName name="etetetet">#REF!</definedName>
    <definedName name="eur">#REF!</definedName>
    <definedName name="Excel_BuiltIn_Print_Area">#REF!</definedName>
    <definedName name="Excel_BuiltIn_Print_Area_1_1">"$vm_1np_200_050d.$#REF!$#REF!:$#REF!$#REF!"</definedName>
    <definedName name="Excel_BuiltIn_Print_Area_1_1_1">#REF!,#REF!</definedName>
    <definedName name="Excel_BuiltIn_Print_Area_1_1_1_2">#REF!,#REF!</definedName>
    <definedName name="Excel_BuiltIn_Print_Area_1_1_1_3">#REF!,#REF!</definedName>
    <definedName name="Excel_BuiltIn_Print_Area_10">#REF!</definedName>
    <definedName name="Excel_BuiltIn_Print_Area_10_1">"$#REF!.$A$1:$F$9"</definedName>
    <definedName name="Excel_BuiltIn_Print_Area_11">"$#REF!.$A$1:$F$9"</definedName>
    <definedName name="Excel_BuiltIn_Print_Area_12">"$#REF!.$A$1:$F$9"</definedName>
    <definedName name="Excel_BuiltIn_Print_Area_2">#REF!</definedName>
    <definedName name="Excel_BuiltIn_Print_Area_2_1">#REF!</definedName>
    <definedName name="Excel_BuiltIn_Print_Area_2_1_1">#REF!</definedName>
    <definedName name="Excel_BuiltIn_Print_Area_2_1_1_1">#REF!</definedName>
    <definedName name="Excel_BuiltIn_Print_Area_3">#REF!</definedName>
    <definedName name="Excel_BuiltIn_Print_Area_3_1">#REF!</definedName>
    <definedName name="Excel_BuiltIn_Print_Area_4_1">#REF!</definedName>
    <definedName name="Excel_BuiltIn_Print_Area_4_1_1">"$#REF!.$A$1:$F$9"</definedName>
    <definedName name="Excel_BuiltIn_Print_Area_5">#REF!</definedName>
    <definedName name="Excel_BuiltIn_Print_Area_5_1">"$#REF!.$A$1:$F$9"</definedName>
    <definedName name="Excel_BuiltIn_Print_Area_6">#REF!</definedName>
    <definedName name="Excel_BuiltIn_Print_Area_6_1">"$#REF!.$A$1:$F$9"</definedName>
    <definedName name="Excel_BuiltIn_Print_Area_7">#REF!</definedName>
    <definedName name="Excel_BuiltIn_Print_Area_7_1">"$#REF!.$A$1:$F$9"</definedName>
    <definedName name="Excel_BuiltIn_Print_Area_8">#REF!</definedName>
    <definedName name="Excel_BuiltIn_Print_Area_8_1">"$#REF!.$A$1:$F$9"</definedName>
    <definedName name="Excel_BuiltIn_Print_Area_9">"$#REF!.$A$1:$F$9"</definedName>
    <definedName name="exter1" localSheetId="11">[7]Rozpočet!#REF!</definedName>
    <definedName name="exter1" localSheetId="12">[7]Rozpočet!#REF!</definedName>
    <definedName name="exter1">#REF!</definedName>
    <definedName name="EXTRA" localSheetId="11">#REF!</definedName>
    <definedName name="EXTRA" localSheetId="12">#REF!</definedName>
    <definedName name="EXTRA">#REF!</definedName>
    <definedName name="EXTRA_A" localSheetId="11">#REF!</definedName>
    <definedName name="EXTRA_A" localSheetId="12">#REF!</definedName>
    <definedName name="EXTRA_A">#REF!</definedName>
    <definedName name="EXTRA_B" localSheetId="11">#REF!</definedName>
    <definedName name="EXTRA_B" localSheetId="12">#REF!</definedName>
    <definedName name="EXTRA_B">#REF!</definedName>
    <definedName name="EXTRA_C">#REF!</definedName>
    <definedName name="EXTRA_D">#REF!</definedName>
    <definedName name="EXTRA_E">#REF!</definedName>
    <definedName name="f">#REF!</definedName>
    <definedName name="FABION100">#REF!</definedName>
    <definedName name="FABION100_A">#REF!</definedName>
    <definedName name="FABION100_B">#REF!</definedName>
    <definedName name="FABION100_C">#REF!</definedName>
    <definedName name="FABION100_D">#REF!</definedName>
    <definedName name="FABION100_E">#REF!</definedName>
    <definedName name="FABION127">#REF!</definedName>
    <definedName name="FABION127_A">#REF!</definedName>
    <definedName name="FABION127_B">#REF!</definedName>
    <definedName name="FABION127_C">#REF!</definedName>
    <definedName name="FABION127_D">#REF!</definedName>
    <definedName name="FABION127_E">#REF!</definedName>
    <definedName name="fakt">[20]App_6!#REF!</definedName>
    <definedName name="fdasfa">#N/A</definedName>
    <definedName name="fdasfa_1">0</definedName>
    <definedName name="FEINFRESKO_E">#REF!</definedName>
    <definedName name="FFFFFFF">#REF!</definedName>
    <definedName name="FINISH">#REF!</definedName>
    <definedName name="FINISH_A">#REF!</definedName>
    <definedName name="FINISH_B">#REF!</definedName>
    <definedName name="FINISH_C">#REF!</definedName>
    <definedName name="FINISH_D">#REF!</definedName>
    <definedName name="FINISH_E">#REF!</definedName>
    <definedName name="firmy_rozpocty.0">#REF!</definedName>
    <definedName name="firmy_rozpocty.1">#REF!</definedName>
    <definedName name="firmy_rozpocty_pozn.Poznamka2">#REF!</definedName>
    <definedName name="FISURADAE24">#REF!</definedName>
    <definedName name="FISURALDAE24_A">#REF!</definedName>
    <definedName name="FISURALDAE24_B">#REF!</definedName>
    <definedName name="FISURALDAE24_C">#REF!</definedName>
    <definedName name="FISURALDAE24_D">#REF!</definedName>
    <definedName name="FISURALDAE24_E">#REF!</definedName>
    <definedName name="FOLIEPAROFOL">#REF!</definedName>
    <definedName name="FOLIEPAROFOL_A">#REF!</definedName>
    <definedName name="FOLIEPAROFOL_B">#REF!</definedName>
    <definedName name="FOLIEPAROFOL_C">#REF!</definedName>
    <definedName name="FOLIEPAROFOL_D">#REF!</definedName>
    <definedName name="FOLIEPAROFOL_E">#REF!</definedName>
    <definedName name="G___P__">#REF!</definedName>
    <definedName name="gbp">#REF!</definedName>
    <definedName name="GEWALBE">#REF!</definedName>
    <definedName name="GEWALBE_A">#REF!</definedName>
    <definedName name="GEWALBE_B">#REF!</definedName>
    <definedName name="GEWALBE_C">#REF!</definedName>
    <definedName name="GEWALBE_D">#REF!</definedName>
    <definedName name="GEWALBE_E">#REF!</definedName>
    <definedName name="gje§bgj§webgj§g">#REF!</definedName>
    <definedName name="GYPTONEBASEA">#REF!</definedName>
    <definedName name="GYPTONEBASEA_A">#REF!</definedName>
    <definedName name="GYPTONEBASEA_B">#REF!</definedName>
    <definedName name="GYPTONEBASEA_C">#REF!</definedName>
    <definedName name="GYPTONEBASEA_D">#REF!</definedName>
    <definedName name="GYPTONEBASEA_E">#REF!</definedName>
    <definedName name="GYPTONEBASED1">#REF!</definedName>
    <definedName name="GYPTONEBASED1_A">#REF!</definedName>
    <definedName name="GYPTONEBASED1_B">#REF!</definedName>
    <definedName name="GYPTONEBASED1_C">#REF!</definedName>
    <definedName name="GYPTONEBASED1_D">#REF!</definedName>
    <definedName name="GYPTONEBASED1_E">#REF!</definedName>
    <definedName name="GYPTONEBASEE">#REF!</definedName>
    <definedName name="GYPTONEBASEE_A">#REF!</definedName>
    <definedName name="GYPTONEBASEE_B">#REF!</definedName>
    <definedName name="GYPTONEBASEE_C">#REF!</definedName>
    <definedName name="GYPTONEBASEE_D">#REF!</definedName>
    <definedName name="GYPTONEBASEE_E">#REF!</definedName>
    <definedName name="GYPTONELINEA">#REF!</definedName>
    <definedName name="GYPTONELINEA_A">#REF!</definedName>
    <definedName name="GYPTONELINEA_B">#REF!</definedName>
    <definedName name="GYPTONELINEA_C">#REF!</definedName>
    <definedName name="GYPTONELINEA_D">#REF!</definedName>
    <definedName name="GYPTONELINEA_E">#REF!</definedName>
    <definedName name="GYPTONELINEE">#REF!</definedName>
    <definedName name="GYPTONELINEE_A">#REF!</definedName>
    <definedName name="GYPTONELINEE_B">#REF!</definedName>
    <definedName name="GYPTONELINEE_C">#REF!</definedName>
    <definedName name="GYPTONELINEE_D">#REF!</definedName>
    <definedName name="GYPTONELINEE_E">#REF!</definedName>
    <definedName name="GYPTONELINEED_A">#REF!</definedName>
    <definedName name="GYPTONELINEED_B">#REF!</definedName>
    <definedName name="GYPTONELINEED_C">#REF!</definedName>
    <definedName name="GYPTONELINEED_D">#REF!</definedName>
    <definedName name="GYPTONELINEED_E">#REF!</definedName>
    <definedName name="GYPTONEPOINT11A">#REF!</definedName>
    <definedName name="GYPTONEPOINT11A_A">#REF!</definedName>
    <definedName name="GYPTONEPOINT11A_B">#REF!</definedName>
    <definedName name="GYPTONEPOINT11A_C">#REF!</definedName>
    <definedName name="GYPTONEPOINT11A_D">#REF!</definedName>
    <definedName name="GYPTONEPOINT11A_E">#REF!</definedName>
    <definedName name="GYPTONEPOINT11E">#REF!</definedName>
    <definedName name="GYPTONEPOINT11E_A">#REF!</definedName>
    <definedName name="GYPTONEPOINT11E_B">#REF!</definedName>
    <definedName name="GYPTONEPOINT11E_C">#REF!</definedName>
    <definedName name="GYPTONEPOINT11E_D">#REF!</definedName>
    <definedName name="GYPTONEPOINT11E_E">#REF!</definedName>
    <definedName name="GYPTONEPOINT12A">#REF!</definedName>
    <definedName name="GYPTONEPOINT12A_A">#REF!</definedName>
    <definedName name="GYPTONEPOINT12A_B">#REF!</definedName>
    <definedName name="GYPTONEPOINT12A_C">#REF!</definedName>
    <definedName name="GYPTONEPOINT12A_D">#REF!</definedName>
    <definedName name="GYPTONEPOINT12A_E">#REF!</definedName>
    <definedName name="GYPTONEPOINT12E">#REF!</definedName>
    <definedName name="GYPTONEPOINT12E_A">#REF!</definedName>
    <definedName name="GYPTONEPOINT12E_B">#REF!</definedName>
    <definedName name="GYPTONEPOINT12E_C">#REF!</definedName>
    <definedName name="GYPTONEPOINT12E_D">#REF!</definedName>
    <definedName name="GYPTONEPOINT12E_E">#REF!</definedName>
    <definedName name="GYPTONEQUATTRO20A">#REF!</definedName>
    <definedName name="GYPTONEQUATTRO20A_A">#REF!</definedName>
    <definedName name="GYPTONEQUATTRO20A_B">#REF!</definedName>
    <definedName name="GYPTONEQUATTRO20A_C">#REF!</definedName>
    <definedName name="GYPTONEQUATTRO20A_D">#REF!</definedName>
    <definedName name="GYPTONEQUATTRO20A_E">#REF!</definedName>
    <definedName name="GYPTONEQUATTRO20E">#REF!</definedName>
    <definedName name="GYPTONEQUATTRO20E_A">#REF!</definedName>
    <definedName name="GYPTONEQUATTRO20E_B">#REF!</definedName>
    <definedName name="GYPTONEQUATTRO20E_C">#REF!</definedName>
    <definedName name="GYPTONEQUATTRO20E_D">#REF!</definedName>
    <definedName name="GYPTONEQUATTRO20E_E">#REF!</definedName>
    <definedName name="GYPTONEQUATTRO22A">#REF!</definedName>
    <definedName name="GYPTONEQUATTRO22A_A">#REF!</definedName>
    <definedName name="GYPTONEQUATTRO22A_B">#REF!</definedName>
    <definedName name="GYPTONEQUATTRO22A_C">#REF!</definedName>
    <definedName name="GYPTONEQUATTRO22A_D">#REF!</definedName>
    <definedName name="GYPTONEQUATTRO22A_E">#REF!</definedName>
    <definedName name="GYPTONEQUATTRO22E">#REF!</definedName>
    <definedName name="GYPTONEQUATTRO22E_A">#REF!</definedName>
    <definedName name="GYPTONEQUATTRO22E_B">#REF!</definedName>
    <definedName name="GYPTONEQUATTRO22E_C">#REF!</definedName>
    <definedName name="GYPTONEQUATTRO22E_D">#REF!</definedName>
    <definedName name="GYPTONEQUATTRO22E_E">#REF!</definedName>
    <definedName name="H">#REF!</definedName>
    <definedName name="hjhguioifz">#REF!</definedName>
    <definedName name="Hlavička" localSheetId="11">[12]MaR!#REF!</definedName>
    <definedName name="Hlavička" localSheetId="12">[12]MaR!#REF!</definedName>
    <definedName name="Hlavička">[13]MaR!#REF!</definedName>
    <definedName name="Hlavička_1">0</definedName>
    <definedName name="Hlavička_2">[14]MaR!#REF!</definedName>
    <definedName name="HLAVNIPROFILT15" localSheetId="11">#REF!</definedName>
    <definedName name="HLAVNIPROFILT15" localSheetId="12">#REF!</definedName>
    <definedName name="HLAVNIPROFILT15">#REF!</definedName>
    <definedName name="HLAVNIPROFILT15_A" localSheetId="11">#REF!</definedName>
    <definedName name="HLAVNIPROFILT15_A" localSheetId="12">#REF!</definedName>
    <definedName name="HLAVNIPROFILT15_A">#REF!</definedName>
    <definedName name="HLAVNIPROFILT15_B" localSheetId="11">#REF!</definedName>
    <definedName name="HLAVNIPROFILT15_B" localSheetId="12">#REF!</definedName>
    <definedName name="HLAVNIPROFILT15_B">#REF!</definedName>
    <definedName name="HLAVNIPROFILT15_C">#REF!</definedName>
    <definedName name="HLAVNIPROFILT15_D">#REF!</definedName>
    <definedName name="HLAVNIPROFILT15_E">#REF!</definedName>
    <definedName name="HLAVNIPROFILT153000">#REF!</definedName>
    <definedName name="HLAVNIPROFILT24">#REF!</definedName>
    <definedName name="HLAVNIPROFILT24_A">#REF!</definedName>
    <definedName name="HLAVNIPROFILT24_B">#REF!</definedName>
    <definedName name="HLAVNIPROFILT24_C">#REF!</definedName>
    <definedName name="HLAVNIPROFILT24_D">#REF!</definedName>
    <definedName name="HLAVNIPROFILT24_E">#REF!</definedName>
    <definedName name="HMOZDINKAKDM">#REF!</definedName>
    <definedName name="HMOZDINKAKDM_A">#REF!</definedName>
    <definedName name="HMOZDINKAKDM_B">#REF!</definedName>
    <definedName name="HMOZDINKAKDM_C">#REF!</definedName>
    <definedName name="HMOZDINKAKDM_D">#REF!</definedName>
    <definedName name="HMOZDINKAKDM_E">#REF!</definedName>
    <definedName name="HodVyroba">[21]Parametry!$D$25</definedName>
    <definedName name="hovno" localSheetId="11">[7]Rozpočet!#REF!</definedName>
    <definedName name="hovno" localSheetId="12">[7]Rozpočet!#REF!</definedName>
    <definedName name="hovno">#REF!</definedName>
    <definedName name="HREBUPAT" localSheetId="11">#REF!</definedName>
    <definedName name="HREBUPAT" localSheetId="12">#REF!</definedName>
    <definedName name="HREBUPAT">#REF!</definedName>
    <definedName name="HREBUPAT_A" localSheetId="11">#REF!</definedName>
    <definedName name="HREBUPAT_A" localSheetId="12">#REF!</definedName>
    <definedName name="HREBUPAT_A">#REF!</definedName>
    <definedName name="HREBUPAT_B" localSheetId="11">#REF!</definedName>
    <definedName name="HREBUPAT_B" localSheetId="12">#REF!</definedName>
    <definedName name="HREBUPAT_B">#REF!</definedName>
    <definedName name="HREBUPAT_C">#REF!</definedName>
    <definedName name="HREBUPAT_D">#REF!</definedName>
    <definedName name="HREBUPAT_E">#REF!</definedName>
    <definedName name="HSV">[18]Rekapitulace!$E$9</definedName>
    <definedName name="HSV0">[18]Položky!#REF!</definedName>
    <definedName name="HTML_CodePage" hidden="1">1250</definedName>
    <definedName name="HTML_Control" hidden="1">{"'List1'!$A$1:$I$85"}</definedName>
    <definedName name="HTML_Description" hidden="1">""</definedName>
    <definedName name="HTML_Email" hidden="1">""</definedName>
    <definedName name="HTML_Header" hidden="1">"List1"</definedName>
    <definedName name="HTML_LastUpdate" hidden="1">"3.11.1998"</definedName>
    <definedName name="HTML_LineAfter" hidden="1">TRUE</definedName>
    <definedName name="HTML_LineBefore" hidden="1">TRUE</definedName>
    <definedName name="HTML_Name" hidden="1">"Martin Bican"</definedName>
    <definedName name="HTML_OBDlg2" hidden="1">TRUE</definedName>
    <definedName name="HTML_OBDlg4" hidden="1">TRUE</definedName>
    <definedName name="HTML_OS" hidden="1">0</definedName>
    <definedName name="HTML_PathFile" hidden="1">"C:\Dokumenty\HTML.htm"</definedName>
    <definedName name="HTML_Title" hidden="1">"STEF_POL_1"</definedName>
    <definedName name="HUTPROFIL" localSheetId="11">#REF!</definedName>
    <definedName name="HUTPROFIL" localSheetId="12">#REF!</definedName>
    <definedName name="HUTPROFIL">#REF!</definedName>
    <definedName name="HUTPROFIL_A" localSheetId="11">#REF!</definedName>
    <definedName name="HUTPROFIL_A" localSheetId="12">#REF!</definedName>
    <definedName name="HUTPROFIL_A">#REF!</definedName>
    <definedName name="HUTPROFIL_B" localSheetId="11">#REF!</definedName>
    <definedName name="HUTPROFIL_B" localSheetId="12">#REF!</definedName>
    <definedName name="HUTPROFIL_B">#REF!</definedName>
    <definedName name="HUTPROFIL_C">#REF!</definedName>
    <definedName name="HUTPROFIL_D">#REF!</definedName>
    <definedName name="HUTPROFIL_E">#REF!</definedName>
    <definedName name="HZS">[18]Rekapitulace!$I$9</definedName>
    <definedName name="HZS0">[18]Položky!#REF!</definedName>
    <definedName name="chf">#REF!</definedName>
    <definedName name="IC">#REF!</definedName>
    <definedName name="Import1">#REF!</definedName>
    <definedName name="Import1_1">#REF!</definedName>
    <definedName name="Import1_2">#REF!</definedName>
    <definedName name="Import2">#REF!</definedName>
    <definedName name="instr">#REF!</definedName>
    <definedName name="instr_rozv">#REF!</definedName>
    <definedName name="Integr_poslední">#REF!</definedName>
    <definedName name="inter1" localSheetId="11">[7]Rozpočet!#REF!</definedName>
    <definedName name="inter1" localSheetId="12">[7]Rozpočet!#REF!</definedName>
    <definedName name="inter1">#REF!</definedName>
    <definedName name="izolace">#REF!</definedName>
    <definedName name="Izolace_akustické">'[8]SO 11.1A Výkaz výměr'!#REF!</definedName>
    <definedName name="Izolace_proti_vodě">'[8]SO 11.1A Výkaz výměr'!#REF!</definedName>
    <definedName name="JEZDECCDPROFILU" localSheetId="11">#REF!</definedName>
    <definedName name="JEZDECCDPROFILU" localSheetId="12">#REF!</definedName>
    <definedName name="JEZDECCDPROFILU">#REF!</definedName>
    <definedName name="JEZDECCDPROFILU_A" localSheetId="11">#REF!</definedName>
    <definedName name="JEZDECCDPROFILU_A" localSheetId="12">#REF!</definedName>
    <definedName name="JEZDECCDPROFILU_A">#REF!</definedName>
    <definedName name="JEZDECCDPROFILU_B" localSheetId="11">#REF!</definedName>
    <definedName name="JEZDECCDPROFILU_B" localSheetId="12">#REF!</definedName>
    <definedName name="JEZDECCDPROFILU_B">#REF!</definedName>
    <definedName name="JEZDECCDPROFILU_C">#REF!</definedName>
    <definedName name="JEZDECCDPROFILU_D">#REF!</definedName>
    <definedName name="JEZDECCDPROFILU_E">#REF!</definedName>
    <definedName name="JKSO">#REF!</definedName>
    <definedName name="joeqrgjjú">#REF!</definedName>
    <definedName name="JOSEF">#REF!</definedName>
    <definedName name="jzzuggt">#REF!</definedName>
    <definedName name="k_6_ko">#REF!</definedName>
    <definedName name="k_6_sz">#REF!</definedName>
    <definedName name="k_8_ko">#REF!</definedName>
    <definedName name="k_8_sz">#REF!</definedName>
    <definedName name="kab">#REF!</definedName>
    <definedName name="kabn">#REF!</definedName>
    <definedName name="KAZ_1">#REF!</definedName>
    <definedName name="KAZ_1_A">#REF!</definedName>
    <definedName name="KAZ_1_B">#REF!</definedName>
    <definedName name="KAZ_1_C">#REF!</definedName>
    <definedName name="KAZ_1_D">#REF!</definedName>
    <definedName name="KAZ_1_E">#REF!</definedName>
    <definedName name="KAZ_1_M">#REF!</definedName>
    <definedName name="KAZ_1_P">#REF!</definedName>
    <definedName name="KAZ_10">#REF!</definedName>
    <definedName name="KAZ_10_A">#REF!</definedName>
    <definedName name="KAZ_10_B">#REF!</definedName>
    <definedName name="KAZ_10_C">#REF!</definedName>
    <definedName name="KAZ_10_D">#REF!</definedName>
    <definedName name="KAZ_10_E">#REF!</definedName>
    <definedName name="KAZ_10_M">#REF!</definedName>
    <definedName name="KAZ_10_P">#REF!</definedName>
    <definedName name="KAZ_11">#REF!</definedName>
    <definedName name="KAZ_11_A">#REF!</definedName>
    <definedName name="KAZ_11_B">#REF!</definedName>
    <definedName name="KAZ_11_C">#REF!</definedName>
    <definedName name="KAZ_11_D">#REF!</definedName>
    <definedName name="KAZ_11_E">#REF!</definedName>
    <definedName name="KAZ_11_M">#REF!</definedName>
    <definedName name="KAZ_11_P">#REF!</definedName>
    <definedName name="KAZ_12">#REF!</definedName>
    <definedName name="KAZ_12_A">#REF!</definedName>
    <definedName name="KAZ_12_B">#REF!</definedName>
    <definedName name="KAZ_12_C">#REF!</definedName>
    <definedName name="KAZ_12_D">#REF!</definedName>
    <definedName name="KAZ_12_E">#REF!</definedName>
    <definedName name="KAZ_12_M">#REF!</definedName>
    <definedName name="KAZ_12_P">#REF!</definedName>
    <definedName name="KAZ_13">#REF!</definedName>
    <definedName name="KAZ_13_A">#REF!</definedName>
    <definedName name="KAZ_13_B">#REF!</definedName>
    <definedName name="KAZ_13_C">#REF!</definedName>
    <definedName name="KAZ_13_D">#REF!</definedName>
    <definedName name="KAZ_13_E">#REF!</definedName>
    <definedName name="KAZ_13_M">#REF!</definedName>
    <definedName name="KAZ_13_P">#REF!</definedName>
    <definedName name="KAZ_14">#REF!</definedName>
    <definedName name="KAZ_14_A">#REF!</definedName>
    <definedName name="KAZ_14_B">#REF!</definedName>
    <definedName name="KAZ_14_C">#REF!</definedName>
    <definedName name="KAZ_14_D">#REF!</definedName>
    <definedName name="KAZ_14_E">#REF!</definedName>
    <definedName name="KAZ_14_M">#REF!</definedName>
    <definedName name="KAZ_14_P">#REF!</definedName>
    <definedName name="KAZ_15">#REF!</definedName>
    <definedName name="KAZ_15_A">#REF!</definedName>
    <definedName name="KAZ_15_B">#REF!</definedName>
    <definedName name="KAZ_15_C">#REF!</definedName>
    <definedName name="KAZ_15_D">#REF!</definedName>
    <definedName name="KAZ_15_E">#REF!</definedName>
    <definedName name="KAZ_15_M">#REF!</definedName>
    <definedName name="KAZ_15_P">#REF!</definedName>
    <definedName name="KAZ_16">#REF!</definedName>
    <definedName name="KAZ_16_A">#REF!</definedName>
    <definedName name="KAZ_16_B">#REF!</definedName>
    <definedName name="KAZ_16_C">#REF!</definedName>
    <definedName name="KAZ_16_D">#REF!</definedName>
    <definedName name="KAZ_16_E">#REF!</definedName>
    <definedName name="KAZ_16_M">#REF!</definedName>
    <definedName name="KAZ_16_P">#REF!</definedName>
    <definedName name="KAZ_17">#REF!</definedName>
    <definedName name="KAZ_17_A">#REF!</definedName>
    <definedName name="KAZ_17_B">#REF!</definedName>
    <definedName name="KAZ_17_C">#REF!</definedName>
    <definedName name="KAZ_17_D">#REF!</definedName>
    <definedName name="KAZ_17_E">#REF!</definedName>
    <definedName name="KAZ_17_M">#REF!</definedName>
    <definedName name="KAZ_17_P">#REF!</definedName>
    <definedName name="KAZ_18">#REF!</definedName>
    <definedName name="KAZ_18_A">#REF!</definedName>
    <definedName name="KAZ_18_B">#REF!</definedName>
    <definedName name="KAZ_18_C">#REF!</definedName>
    <definedName name="KAZ_18_D">#REF!</definedName>
    <definedName name="KAZ_18_E">#REF!</definedName>
    <definedName name="KAZ_18_M">#REF!</definedName>
    <definedName name="KAZ_18_P">#REF!</definedName>
    <definedName name="KAZ_19">#REF!</definedName>
    <definedName name="KAZ_19_A">#REF!</definedName>
    <definedName name="KAZ_19_B">#REF!</definedName>
    <definedName name="KAZ_19_C">#REF!</definedName>
    <definedName name="KAZ_19_D">#REF!</definedName>
    <definedName name="KAZ_19_E">#REF!</definedName>
    <definedName name="KAZ_19_M">#REF!</definedName>
    <definedName name="KAZ_19_P">#REF!</definedName>
    <definedName name="KAZ_2">#REF!</definedName>
    <definedName name="KAZ_2_A">#REF!</definedName>
    <definedName name="KAZ_2_B">#REF!</definedName>
    <definedName name="KAZ_2_C">#REF!</definedName>
    <definedName name="KAZ_2_D">#REF!</definedName>
    <definedName name="KAZ_2_E">#REF!</definedName>
    <definedName name="KAZ_2_M">#REF!</definedName>
    <definedName name="KAZ_2_P">#REF!</definedName>
    <definedName name="KAZ_20">#REF!</definedName>
    <definedName name="KAZ_20_A">#REF!</definedName>
    <definedName name="KAZ_20_B">#REF!</definedName>
    <definedName name="KAZ_20_C">#REF!</definedName>
    <definedName name="KAZ_20_D">#REF!</definedName>
    <definedName name="KAZ_20_E">#REF!</definedName>
    <definedName name="KAZ_20_M">#REF!</definedName>
    <definedName name="KAZ_20_P">#REF!</definedName>
    <definedName name="KAZ_21">#REF!</definedName>
    <definedName name="KAZ_21_A">#REF!</definedName>
    <definedName name="KAZ_21_B">#REF!</definedName>
    <definedName name="KAZ_21_C">#REF!</definedName>
    <definedName name="KAZ_21_D">#REF!</definedName>
    <definedName name="KAZ_21_E">#REF!</definedName>
    <definedName name="KAZ_21_M">#REF!</definedName>
    <definedName name="KAZ_21_P">#REF!</definedName>
    <definedName name="KAZ_22">#REF!</definedName>
    <definedName name="KAZ_22_A">#REF!</definedName>
    <definedName name="KAZ_22_B">#REF!</definedName>
    <definedName name="KAZ_22_C">#REF!</definedName>
    <definedName name="KAZ_22_D">#REF!</definedName>
    <definedName name="KAZ_22_E">#REF!</definedName>
    <definedName name="KAZ_22_M">#REF!</definedName>
    <definedName name="KAZ_22_P">#REF!</definedName>
    <definedName name="KAZ_3">#REF!</definedName>
    <definedName name="KAZ_3_A">#REF!</definedName>
    <definedName name="KAZ_3_B">#REF!</definedName>
    <definedName name="KAZ_3_C">#REF!</definedName>
    <definedName name="KAZ_3_D">#REF!</definedName>
    <definedName name="KAZ_3_E">#REF!</definedName>
    <definedName name="KAZ_3_M">#REF!</definedName>
    <definedName name="KAZ_3_P">#REF!</definedName>
    <definedName name="KAZ_4">#REF!</definedName>
    <definedName name="KAZ_4_A">#REF!</definedName>
    <definedName name="KAZ_4_B">#REF!</definedName>
    <definedName name="KAZ_4_C">#REF!</definedName>
    <definedName name="KAZ_4_D">#REF!</definedName>
    <definedName name="KAZ_4_E">#REF!</definedName>
    <definedName name="KAZ_4_M">#REF!</definedName>
    <definedName name="KAZ_4_P">#REF!</definedName>
    <definedName name="KAZ_5">#REF!</definedName>
    <definedName name="KAZ_5_A">#REF!</definedName>
    <definedName name="KAZ_5_B">#REF!</definedName>
    <definedName name="KAZ_5_C">#REF!</definedName>
    <definedName name="KAZ_5_D">#REF!</definedName>
    <definedName name="KAZ_5_E">#REF!</definedName>
    <definedName name="KAZ_5_M">#REF!</definedName>
    <definedName name="KAZ_5_P">#REF!</definedName>
    <definedName name="KAZ_6">#REF!</definedName>
    <definedName name="KAZ_6_A">#REF!</definedName>
    <definedName name="KAZ_6_B">#REF!</definedName>
    <definedName name="KAZ_6_C">#REF!</definedName>
    <definedName name="KAZ_6_D">#REF!</definedName>
    <definedName name="KAZ_6_E">#REF!</definedName>
    <definedName name="KAZ_6_M">#REF!</definedName>
    <definedName name="KAZ_6_P">#REF!</definedName>
    <definedName name="KAZ_7">#REF!</definedName>
    <definedName name="KAZ_7_A">#REF!</definedName>
    <definedName name="KAZ_7_B">#REF!</definedName>
    <definedName name="KAZ_7_C">#REF!</definedName>
    <definedName name="KAZ_7_D">#REF!</definedName>
    <definedName name="KAZ_7_E">#REF!</definedName>
    <definedName name="KAZ_7_M">#REF!</definedName>
    <definedName name="KAZ_7_P">#REF!</definedName>
    <definedName name="KAZ_8">#REF!</definedName>
    <definedName name="KAZ_8_A">#REF!</definedName>
    <definedName name="KAZ_8_B">#REF!</definedName>
    <definedName name="KAZ_8_C">#REF!</definedName>
    <definedName name="KAZ_8_D">#REF!</definedName>
    <definedName name="KAZ_8_E">#REF!</definedName>
    <definedName name="KAZ_8_M">#REF!</definedName>
    <definedName name="KAZ_8_P">#REF!</definedName>
    <definedName name="KAZ_9">#REF!</definedName>
    <definedName name="KAZ_9_A">#REF!</definedName>
    <definedName name="KAZ_9_B">#REF!</definedName>
    <definedName name="KAZ_9_C">#REF!</definedName>
    <definedName name="KAZ_9_D">#REF!</definedName>
    <definedName name="KAZ_9_E">#REF!</definedName>
    <definedName name="KAZ_9_M">#REF!</definedName>
    <definedName name="KAZ_9_P">#REF!</definedName>
    <definedName name="KM">[22]dodav!$E$7</definedName>
    <definedName name="kmn">[23]dodav!$E$6</definedName>
    <definedName name="KMVIMPERK1">[24]mont!$E$5</definedName>
    <definedName name="Kod" localSheetId="11">#REF!</definedName>
    <definedName name="Kod" localSheetId="12">#REF!</definedName>
    <definedName name="Kod">#REF!</definedName>
    <definedName name="Kod_1">0</definedName>
    <definedName name="Kod_2">#REF!</definedName>
    <definedName name="KoefDopr">[25]Rozp!#REF!</definedName>
    <definedName name="Komunikace">'[8]SO 11.1A Výkaz výměr'!#REF!</definedName>
    <definedName name="konec">#REF!</definedName>
    <definedName name="Konstrukce_klempířské">'[8]SO 11.1A Výkaz výměr'!#REF!</definedName>
    <definedName name="Konstrukce_tesařské">'[26]SO 51.4 Výkaz výměr'!#REF!</definedName>
    <definedName name="Konstrukce_truhlářské">'[8]SO 11.1A Výkaz výměr'!#REF!</definedName>
    <definedName name="KONSTRUKCEPROBATERIE" localSheetId="11">#REF!</definedName>
    <definedName name="KONSTRUKCEPROBATERIE" localSheetId="12">#REF!</definedName>
    <definedName name="KONSTRUKCEPROBATERIE">#REF!</definedName>
    <definedName name="KONSTRUKCEPROBATERIE_A" localSheetId="11">#REF!</definedName>
    <definedName name="KONSTRUKCEPROBATERIE_A" localSheetId="12">#REF!</definedName>
    <definedName name="KONSTRUKCEPROBATERIE_A">#REF!</definedName>
    <definedName name="KONSTRUKCEPROBATERIE_B" localSheetId="11">#REF!</definedName>
    <definedName name="KONSTRUKCEPROBATERIE_B" localSheetId="12">#REF!</definedName>
    <definedName name="KONSTRUKCEPROBATERIE_B">#REF!</definedName>
    <definedName name="KONSTRUKCEPROBATERIE_C">#REF!</definedName>
    <definedName name="KONSTRUKCEPROBATERIE_D">#REF!</definedName>
    <definedName name="KONSTRUKCEPROBATERIE_E">#REF!</definedName>
    <definedName name="KONSTRUKCEPROBIDET">#REF!</definedName>
    <definedName name="KONSTRUKCEPROBIDET_A">#REF!</definedName>
    <definedName name="KONSTRUKCEPROBIDET_B">#REF!</definedName>
    <definedName name="KONSTRUKCEPROBIDET_C">#REF!</definedName>
    <definedName name="KONSTRUKCEPROBIDET_D">#REF!</definedName>
    <definedName name="KONSTRUKCEPROBIDET_E">#REF!</definedName>
    <definedName name="KONSTRUKCEPROPISOARY">#REF!</definedName>
    <definedName name="KONSTRUKCEPROPISOARY_A">#REF!</definedName>
    <definedName name="KONSTRUKCEPROPISOARY_B">#REF!</definedName>
    <definedName name="KONSTRUKCEPROPISOARY_C">#REF!</definedName>
    <definedName name="KONSTRUKCEPROPISOARY_D">#REF!</definedName>
    <definedName name="KONSTRUKCEPROPISOARY_E">#REF!</definedName>
    <definedName name="KONSTRUKCEPROPOTRUBI">#REF!</definedName>
    <definedName name="KONSTRUKCEPROPOTRUBI_A">#REF!</definedName>
    <definedName name="KONSTRUKCEPROPOTRUBI_B">#REF!</definedName>
    <definedName name="KONSTRUKCEPROPOTRUBI_C">#REF!</definedName>
    <definedName name="KONSTRUKCEPROPOTRUBI_D">#REF!</definedName>
    <definedName name="KONSTRUKCEPROPOTRUBI_E">#REF!</definedName>
    <definedName name="KONSTRUKCEPROUMYVADLA">#REF!</definedName>
    <definedName name="KONSTRUKCEPROUMYVADLA_A">#REF!</definedName>
    <definedName name="KONSTRUKCEPROUMYVADLA_B">#REF!</definedName>
    <definedName name="KONSTRUKCEPROUMYVADLA_C">#REF!</definedName>
    <definedName name="KONSTRUKCEPROUMYVADLA_D">#REF!</definedName>
    <definedName name="KONSTRUKCEPROUMYVADLA_E">#REF!</definedName>
    <definedName name="KONSTRUKCEPROWC">#REF!</definedName>
    <definedName name="KONSTRUKCEPROWC_A">#REF!</definedName>
    <definedName name="KONSTRUKCEPROWC_B">#REF!</definedName>
    <definedName name="KONSTRUKCEPROWC_C">#REF!</definedName>
    <definedName name="KONSTRUKCEPROWC_D">#REF!</definedName>
    <definedName name="KONSTRUKCEPROWC_E">#REF!</definedName>
    <definedName name="Kovové_stavební_doplňkové_konstrukce">'[8]SO 11.1A Výkaz výměr'!#REF!</definedName>
    <definedName name="kr_15">#REF!</definedName>
    <definedName name="kr_15_ła">#REF!</definedName>
    <definedName name="KRIZOVASPOJKA" localSheetId="11">#REF!</definedName>
    <definedName name="KRIZOVASPOJKA" localSheetId="12">#REF!</definedName>
    <definedName name="KRIZOVASPOJKA">#REF!</definedName>
    <definedName name="KRIZOVASPOJKA_A">#REF!</definedName>
    <definedName name="KRIZOVASPOJKA_B">#REF!</definedName>
    <definedName name="KRIZOVASPOJKA_C">#REF!</definedName>
    <definedName name="KRIZOVASPOJKA_D">#REF!</definedName>
    <definedName name="KRIZOVASPOJKA_E">#REF!</definedName>
    <definedName name="KRYCIPROFILPVC33X12">#REF!</definedName>
    <definedName name="KRYCIPROFILPVC33X12_A">#REF!</definedName>
    <definedName name="KRYCIPROFILPVC33X12_B">#REF!</definedName>
    <definedName name="KRYCIPROFILPVC33X12_C">#REF!</definedName>
    <definedName name="KRYCIPROFILPVC33X12_D">#REF!</definedName>
    <definedName name="KRYCIPROFILPVC33X12_E">#REF!</definedName>
    <definedName name="ks">#REF!</definedName>
    <definedName name="KSDK">'[26]SO 51.4 Výkaz výměr'!#REF!</definedName>
    <definedName name="kuchyně">[4]Budova!$A$1947:$A$2081</definedName>
    <definedName name="L">#REF!</definedName>
    <definedName name="la">#REF!</definedName>
    <definedName name="LAGUNA_B" localSheetId="11">#REF!</definedName>
    <definedName name="LAGUNA_B" localSheetId="12">#REF!</definedName>
    <definedName name="LAGUNA_B">#REF!</definedName>
    <definedName name="LAGUNA_C" localSheetId="11">#REF!</definedName>
    <definedName name="LAGUNA_C" localSheetId="12">#REF!</definedName>
    <definedName name="LAGUNA_C">#REF!</definedName>
    <definedName name="LAGUNA_D" localSheetId="11">#REF!</definedName>
    <definedName name="LAGUNA_D" localSheetId="12">#REF!</definedName>
    <definedName name="LAGUNA_D">#REF!</definedName>
    <definedName name="LAGUNA_E">#REF!</definedName>
    <definedName name="LAMELABASE_A">#REF!</definedName>
    <definedName name="LAMELABASE_B">#REF!</definedName>
    <definedName name="LAMELABASE_C">#REF!</definedName>
    <definedName name="LAMELABASE_D">#REF!</definedName>
    <definedName name="LAMELABASE_E">#REF!</definedName>
    <definedName name="LAMELALINE8_A">#REF!</definedName>
    <definedName name="LAMELALINE8_B">#REF!</definedName>
    <definedName name="LAMELALINE8_C">#REF!</definedName>
    <definedName name="LAMELALINE8_D">#REF!</definedName>
    <definedName name="LAMELALINE8_E">#REF!</definedName>
    <definedName name="LAMELAPOINT15_A">#REF!</definedName>
    <definedName name="LAMELAPOINT15_B">#REF!</definedName>
    <definedName name="LAMELAPOINT15_C">#REF!</definedName>
    <definedName name="LAMELAPOINT15_D">#REF!</definedName>
    <definedName name="LAMELAPOINT15_E">#REF!</definedName>
    <definedName name="LEPICITMEL">#REF!</definedName>
    <definedName name="LEPICITMEL_A">#REF!</definedName>
    <definedName name="LEPICITMEL_B">#REF!</definedName>
    <definedName name="LEPICITMEL_C">#REF!</definedName>
    <definedName name="LEPICITMEL_D">#REF!</definedName>
    <definedName name="LEPICITMEL_E">#REF!</definedName>
    <definedName name="LEPICITMEL40KG_A">#REF!</definedName>
    <definedName name="LEPICITMEL40KG_B">#REF!</definedName>
    <definedName name="LEPICITMEL40KG_C">#REF!</definedName>
    <definedName name="LEPICITMEL40KG_D">#REF!</definedName>
    <definedName name="LEPICITMEL40KG_E">#REF!</definedName>
    <definedName name="LIAPOR">#REF!</definedName>
    <definedName name="LIAPOR_A">#REF!</definedName>
    <definedName name="LIAPOR_B">#REF!</definedName>
    <definedName name="LIAPOR_C">#REF!</definedName>
    <definedName name="LIAPOR_D">#REF!</definedName>
    <definedName name="LIAPOR_E">#REF!</definedName>
    <definedName name="M">#REF!</definedName>
    <definedName name="Malby__tapety__nátěry__nástřiky">'[8]SO 11.1A Výkaz výměr'!#REF!</definedName>
    <definedName name="mar">[4]Budova!$A$2084:$A$2332</definedName>
    <definedName name="Marka">#REF!</definedName>
    <definedName name="Mena">[19]Stavba!$J$29</definedName>
    <definedName name="MICROE24" localSheetId="11">#REF!</definedName>
    <definedName name="MICROE24" localSheetId="12">#REF!</definedName>
    <definedName name="MICROE24">#REF!</definedName>
    <definedName name="MICROE24_A" localSheetId="11">#REF!</definedName>
    <definedName name="MICROE24_A" localSheetId="12">#REF!</definedName>
    <definedName name="MICROE24_A">#REF!</definedName>
    <definedName name="MICROE24_B" localSheetId="11">#REF!</definedName>
    <definedName name="MICROE24_B" localSheetId="12">#REF!</definedName>
    <definedName name="MICROE24_B">#REF!</definedName>
    <definedName name="MICROE24_C">#REF!</definedName>
    <definedName name="MICROE24_D">#REF!</definedName>
    <definedName name="MICROE24_E">#REF!</definedName>
    <definedName name="MJ">#REF!</definedName>
    <definedName name="MJ_12">#REF!</definedName>
    <definedName name="MJ_34">#REF!</definedName>
    <definedName name="MJ_50">#REF!</definedName>
    <definedName name="ml§guofziůfzuů">#REF!</definedName>
    <definedName name="mn">[27]Rozp!$I$22</definedName>
    <definedName name="MO">#REF!</definedName>
    <definedName name="MO_12">#REF!</definedName>
    <definedName name="MO_34">#REF!</definedName>
    <definedName name="MO_50">#REF!</definedName>
    <definedName name="MOLLYKOTVY4LM4_A">#REF!</definedName>
    <definedName name="MOLLYKOTVY4LM4_B">#REF!</definedName>
    <definedName name="MOLLYKOTVY4LM4_C">#REF!</definedName>
    <definedName name="MOLLYKOTVY4LM4_D">#REF!</definedName>
    <definedName name="MOLLYKOTVY4LM4_E">#REF!</definedName>
    <definedName name="MOLLYKOTVY4SM4">#REF!</definedName>
    <definedName name="MOLLYKOTVY4SM4_A">#REF!</definedName>
    <definedName name="MOLLYKOTVY4SM4_B">#REF!</definedName>
    <definedName name="MOLLYKOTVY4SM4_C">#REF!</definedName>
    <definedName name="MOLLYKOTVY4SM4_D">#REF!</definedName>
    <definedName name="MOLLYKOTVY4SM4_E">#REF!</definedName>
    <definedName name="MOLLYKOTVY6LM5_A">#REF!</definedName>
    <definedName name="MOLLYKOTVY6LM5_B">#REF!</definedName>
    <definedName name="MOLLYKOTVY6LM5_C">#REF!</definedName>
    <definedName name="MOLLYKOTVY6LM5_D">#REF!</definedName>
    <definedName name="MOLLYKOTVY6LM5_E">#REF!</definedName>
    <definedName name="MOLLYKOTVY6SM5">#REF!</definedName>
    <definedName name="MOLLYKOTVY6SM5_A">#REF!</definedName>
    <definedName name="MOLLYKOTVY6SM5_B">#REF!</definedName>
    <definedName name="MOLLYKOTVY6SM5_C">#REF!</definedName>
    <definedName name="MOLLYKOTVY6SM5_D">#REF!</definedName>
    <definedName name="MOLLYKOTVY6SM5_E">#REF!</definedName>
    <definedName name="MOLLYKOTVY8LM6">#REF!</definedName>
    <definedName name="MOLLYKOTVY8LM6_A">#REF!</definedName>
    <definedName name="MOLLYKOTVY8LM6_B">#REF!</definedName>
    <definedName name="MOLLYKOTVY8LM6_C">#REF!</definedName>
    <definedName name="MOLLYKOTVY8LM6_D">#REF!</definedName>
    <definedName name="MOLLYKOTVY8LM6_E">#REF!</definedName>
    <definedName name="MOLLYKOTVY8SM6">#REF!</definedName>
    <definedName name="MOLLYKOTVY8SM6_A">#REF!</definedName>
    <definedName name="MOLLYKOTVY8SM6_B">#REF!</definedName>
    <definedName name="MOLLYKOTVY8SM6_C">#REF!</definedName>
    <definedName name="MOLLYKOTVY8SM6_D">#REF!</definedName>
    <definedName name="MOLLYKOTVY8SM6_E">#REF!</definedName>
    <definedName name="Mont">[18]Rekapitulace!$H$9</definedName>
    <definedName name="MONT_12">#REF!</definedName>
    <definedName name="MONT_34">#REF!</definedName>
    <definedName name="MONT_50">#REF!</definedName>
    <definedName name="Montaz0">[18]Položky!#REF!</definedName>
    <definedName name="MONTAZNIPENA" localSheetId="11">#REF!</definedName>
    <definedName name="MONTAZNIPENA" localSheetId="12">#REF!</definedName>
    <definedName name="MONTAZNIPENA">#REF!</definedName>
    <definedName name="MONTAZNIPENA_A" localSheetId="11">#REF!</definedName>
    <definedName name="MONTAZNIPENA_A" localSheetId="12">#REF!</definedName>
    <definedName name="MONTAZNIPENA_A">#REF!</definedName>
    <definedName name="MONTAZNIPENA_B" localSheetId="11">#REF!</definedName>
    <definedName name="MONTAZNIPENA_B" localSheetId="12">#REF!</definedName>
    <definedName name="MONTAZNIPENA_B">#REF!</definedName>
    <definedName name="MONTAZNIPENA_C">#REF!</definedName>
    <definedName name="MONTAZNIPENA_D">#REF!</definedName>
    <definedName name="MONTAZNIPENA_E">#REF!</definedName>
    <definedName name="MTG">'[5]SO 01 - 06 ELEKTROINSTALACE'!$B$9644</definedName>
    <definedName name="mts">#REF!</definedName>
    <definedName name="MZDY_1" localSheetId="11">#REF!</definedName>
    <definedName name="MZDY_1" localSheetId="12">#REF!</definedName>
    <definedName name="MZDY_1">#REF!</definedName>
    <definedName name="MZDY_10" localSheetId="11">#REF!</definedName>
    <definedName name="MZDY_10" localSheetId="12">#REF!</definedName>
    <definedName name="MZDY_10">#REF!</definedName>
    <definedName name="MZDY_11">#REF!</definedName>
    <definedName name="MZDY_12">#REF!</definedName>
    <definedName name="MZDY_13">#REF!</definedName>
    <definedName name="MZDY_14">#REF!</definedName>
    <definedName name="MZDY_15">#REF!</definedName>
    <definedName name="MZDY_16">#REF!</definedName>
    <definedName name="MZDY_17">#REF!</definedName>
    <definedName name="MZDY_18">#REF!</definedName>
    <definedName name="MZDY_19">#REF!</definedName>
    <definedName name="MZDY_2">#REF!</definedName>
    <definedName name="MZDY_20">#REF!</definedName>
    <definedName name="MZDY_21">#REF!</definedName>
    <definedName name="MZDY_22">#REF!</definedName>
    <definedName name="MZDY_23">#REF!</definedName>
    <definedName name="MZDY_24">#REF!</definedName>
    <definedName name="MZDY_25">#REF!</definedName>
    <definedName name="MZDY_26">#REF!</definedName>
    <definedName name="MZDY_27">#REF!</definedName>
    <definedName name="MZDY_28">#REF!</definedName>
    <definedName name="MZDY_29">#REF!</definedName>
    <definedName name="MZDY_3">#REF!</definedName>
    <definedName name="MZDY_4">#REF!</definedName>
    <definedName name="MZDY_5">#REF!</definedName>
    <definedName name="MZDY_6">#REF!</definedName>
    <definedName name="MZDY_7">#REF!</definedName>
    <definedName name="MZDY_8">#REF!</definedName>
    <definedName name="MZDY_9">#REF!</definedName>
    <definedName name="MZDY_A">#REF!</definedName>
    <definedName name="MZDY_B">#REF!</definedName>
    <definedName name="MZDY_C">#REF!</definedName>
    <definedName name="MZDY_DS_A">#REF!</definedName>
    <definedName name="NabCeny">#REF!</definedName>
    <definedName name="NabHlav1">#REF!</definedName>
    <definedName name="NabHlav2">#REF!</definedName>
    <definedName name="NabHlPříZač">#REF!</definedName>
    <definedName name="NabHRoz1">[25]Lbc!#REF!</definedName>
    <definedName name="NabHRoz2">[25]Lbc!#REF!</definedName>
    <definedName name="NabHRoz3">[25]Lbc!#REF!</definedName>
    <definedName name="NabProjekt">#REF!</definedName>
    <definedName name="NabPřehledCen">#REF!</definedName>
    <definedName name="NabSpecifikace">#REF!</definedName>
    <definedName name="nad">#REF!</definedName>
    <definedName name="NákladyProjekt">[25]Nákl!#REF!</definedName>
    <definedName name="NATLOUKACIHMOZDINKA635" localSheetId="11">#REF!</definedName>
    <definedName name="NATLOUKACIHMOZDINKA635" localSheetId="12">#REF!</definedName>
    <definedName name="NATLOUKACIHMOZDINKA635">#REF!</definedName>
    <definedName name="NATLOUKACIHMOZDINKA635_A" localSheetId="11">#REF!</definedName>
    <definedName name="NATLOUKACIHMOZDINKA635_A" localSheetId="12">#REF!</definedName>
    <definedName name="NATLOUKACIHMOZDINKA635_A">#REF!</definedName>
    <definedName name="NATLOUKACIHMOZDINKA635_B" localSheetId="11">#REF!</definedName>
    <definedName name="NATLOUKACIHMOZDINKA635_B" localSheetId="12">#REF!</definedName>
    <definedName name="NATLOUKACIHMOZDINKA635_B">#REF!</definedName>
    <definedName name="NATLOUKACIHMOZDINKA635_C">#REF!</definedName>
    <definedName name="NATLOUKACIHMOZDINKA635_D">#REF!</definedName>
    <definedName name="NATLOUKACIHMOZDINKA635_E">#REF!</definedName>
    <definedName name="NATLOUKACIHMOZDINKA645">#REF!</definedName>
    <definedName name="NATLOUKACIHMOZDINKA645_A">#REF!</definedName>
    <definedName name="NATLOUKACIHMOZDINKA645_B">#REF!</definedName>
    <definedName name="NATLOUKACIHMOZDINKA645_C">#REF!</definedName>
    <definedName name="NATLOUKACIHMOZDINKA645_D">#REF!</definedName>
    <definedName name="NATLOUKACIHMOZDINKA645_E">#REF!</definedName>
    <definedName name="NATLOUKACIHMOZDINKA660_A">#REF!</definedName>
    <definedName name="NATLOUKACIHMOZDINKA660_B">#REF!</definedName>
    <definedName name="NATLOUKACIHMOZDINKA660_C">#REF!</definedName>
    <definedName name="NATLOUKACIHMOZDINKA660_D">#REF!</definedName>
    <definedName name="NATLOUKACIHMOZDINKA660_E">#REF!</definedName>
    <definedName name="NATLOUKACIHMOZDINKA670">#REF!</definedName>
    <definedName name="NATLOUKACIHMOZDINKA670_A">#REF!</definedName>
    <definedName name="NATLOUKACIHMOZDINKA670_B">#REF!</definedName>
    <definedName name="NATLOUKACIHMOZDINKA670_C">#REF!</definedName>
    <definedName name="NATLOUKACIHMOZDINKA670_D">#REF!</definedName>
    <definedName name="NATLOUKACIHMOZDINKA670_E">#REF!</definedName>
    <definedName name="NATLOUKACIHMOZDINKYKDM_A">#REF!</definedName>
    <definedName name="NATLOUKACIHMOZDINKYKDM_B">#REF!</definedName>
    <definedName name="NATLOUKACIHMOZDINKYKDM_C">#REF!</definedName>
    <definedName name="NATLOUKACIHMOZDINKYKDM_D">#REF!</definedName>
    <definedName name="NATLOUKACIHMOZDINKYKDM_E">#REF!</definedName>
    <definedName name="NazevDilu">#REF!</definedName>
    <definedName name="nazevobjektu">#REF!</definedName>
    <definedName name="NazevRozpoctu">'[10]Krycí list'!$D$2</definedName>
    <definedName name="nazevstavby">#REF!</definedName>
    <definedName name="_xlnm.Print_Titles" localSheetId="1">'bourání a demolice ROZ'!$115:$115</definedName>
    <definedName name="_xlnm.Print_Titles" localSheetId="0">Rekapitulace!$87:$87</definedName>
    <definedName name="_xlnm.Print_Titles" localSheetId="2">'sanace ROZ'!$122:$122</definedName>
    <definedName name="_xlnm.Print_Titles" localSheetId="3">'stavební úpravy ROZ'!$151:$151</definedName>
    <definedName name="_xlnm.Print_Titles" localSheetId="4">'venkovní plochy a nové objekty'!$97:$97</definedName>
    <definedName name="_xlnm.Print_Titles" localSheetId="5">'výrobky a specifikace'!$123:$123</definedName>
    <definedName name="_xlnm.Print_Titles" localSheetId="7">'ZTI kanalizace'!$10:$10</definedName>
    <definedName name="_xlnm.Print_Titles" localSheetId="8">'ZTI plynovod'!$10:$10</definedName>
    <definedName name="_xlnm.Print_Titles" localSheetId="6">'ZTI vodovod'!$10:$10</definedName>
    <definedName name="_xlnm.Print_Titles">"$#REF!.$A$1:$IV$2"</definedName>
    <definedName name="nbvc">#REF!</definedName>
    <definedName name="NIC">#REF!</definedName>
    <definedName name="NICOTA">#REF!</definedName>
    <definedName name="NONIUSCDCTYRBODOVYSPODNI">#REF!</definedName>
    <definedName name="NONIUSCDCTYRBODOVYSPODNI_A">#REF!</definedName>
    <definedName name="NONIUSCDCTYRBODOVYSPODNI_B">#REF!</definedName>
    <definedName name="NONIUSCDCTYRBODOVYSPODNI_C">#REF!</definedName>
    <definedName name="NONIUSCDCTYRBODOVYSPODNI_D">#REF!</definedName>
    <definedName name="NONIUSCDCTYRBODOVYSPODNI_E">#REF!</definedName>
    <definedName name="NONIUSHORNI240">#REF!</definedName>
    <definedName name="NONIUSHORNI240_A">#REF!</definedName>
    <definedName name="NONIUSHORNI240_B">#REF!</definedName>
    <definedName name="NONIUSHORNI240_C">#REF!</definedName>
    <definedName name="NONIUSHORNI240_D">#REF!</definedName>
    <definedName name="NONIUSHORNI240_E">#REF!</definedName>
    <definedName name="NONIUSHORNI340">#REF!</definedName>
    <definedName name="NONIUSHORNI340_A">#REF!</definedName>
    <definedName name="NONIUSHORNI340_B">#REF!</definedName>
    <definedName name="NONIUSHORNI340_C">#REF!</definedName>
    <definedName name="NONIUSHORNI340_D">#REF!</definedName>
    <definedName name="NONIUSHORNI340_E">#REF!</definedName>
    <definedName name="NONIUSHORNI640">#REF!</definedName>
    <definedName name="NONIUSHORNI640_A">#REF!</definedName>
    <definedName name="NONIUSHORNI640_B">#REF!</definedName>
    <definedName name="NONIUSHORNI640_C">#REF!</definedName>
    <definedName name="NONIUSHORNI640_D">#REF!</definedName>
    <definedName name="NONIUSHORNI640_E">#REF!</definedName>
    <definedName name="NONIUSHORNI840">#REF!</definedName>
    <definedName name="NONIUSHORNI840_A">#REF!</definedName>
    <definedName name="NONIUSHORNI840_B">#REF!</definedName>
    <definedName name="NONIUSHORNI840_C">#REF!</definedName>
    <definedName name="NONIUSHORNI840_D">#REF!</definedName>
    <definedName name="NONIUSHORNI840_E">#REF!</definedName>
    <definedName name="NONIUSSPODNIDIL">#REF!</definedName>
    <definedName name="NONIUSSPODNIDIL_A">#REF!</definedName>
    <definedName name="NONIUSSPODNIDIL_B">#REF!</definedName>
    <definedName name="NONIUSSPODNIDIL_C">#REF!</definedName>
    <definedName name="NONIUSSPODNIDIL_D">#REF!</definedName>
    <definedName name="NONIUSSPODNIDIL_E">#REF!</definedName>
    <definedName name="NONIUSZAVLACKA">#REF!</definedName>
    <definedName name="NONIUSZAVLACKA_A">#REF!</definedName>
    <definedName name="NONIUSZAVLACKA_B">#REF!</definedName>
    <definedName name="NONIUSZAVLACKA_C">#REF!</definedName>
    <definedName name="NONIUSZAVLACKA_D">#REF!</definedName>
    <definedName name="NONIUSZAVLACKA_E">#REF!</definedName>
    <definedName name="NOVATONEFISURED">[28]MATERIAL!$B$87</definedName>
    <definedName name="NOVATONEOLYMPIA" localSheetId="11">#REF!</definedName>
    <definedName name="NOVATONEOLYMPIA" localSheetId="12">#REF!</definedName>
    <definedName name="NOVATONEOLYMPIA">#REF!</definedName>
    <definedName name="NOVATONEOLYMPIA_A" localSheetId="11">#REF!</definedName>
    <definedName name="NOVATONEOLYMPIA_A" localSheetId="12">#REF!</definedName>
    <definedName name="NOVATONEOLYMPIA_A">#REF!</definedName>
    <definedName name="NOVATONEOLYMPIA_B" localSheetId="11">#REF!</definedName>
    <definedName name="NOVATONEOLYMPIA_B" localSheetId="12">#REF!</definedName>
    <definedName name="NOVATONEOLYMPIA_B">#REF!</definedName>
    <definedName name="NOVATONEOLYMPIA_C">#REF!</definedName>
    <definedName name="NOVATONEOLYMPIA_D">#REF!</definedName>
    <definedName name="NOVATONEOLYMPIA_E">#REF!</definedName>
    <definedName name="ob_8_30">#REF!</definedName>
    <definedName name="obch_sleva">#REF!</definedName>
    <definedName name="Objednatel">#REF!</definedName>
    <definedName name="Obklady_keramické">'[8]SO 11.1A Výkaz výměr'!#REF!</definedName>
    <definedName name="_xlnm.Print_Area" localSheetId="1">'bourání a demolice ROZ'!$C$2:$Q$69,'bourání a demolice ROZ'!$C$75:$Q$98,'bourání a demolice ROZ'!$C$103:$Q$282</definedName>
    <definedName name="_xlnm.Print_Area" localSheetId="11">'elektro SIL+SLA'!$A$1:$I$227</definedName>
    <definedName name="_xlnm.Print_Area" localSheetId="12">'EZS+CCTV'!$A$1:$I$41</definedName>
    <definedName name="_xlnm.Print_Area" localSheetId="0">Rekapitulace!$C$2:$AP$72,Rekapitulace!$C$78:$AP$148</definedName>
    <definedName name="_xlnm.Print_Area" localSheetId="2">'sanace ROZ'!$C$2:$Q$69,'sanace ROZ'!$C$75:$Q$105,'sanace ROZ'!$C$110:$Q$595</definedName>
    <definedName name="_xlnm.Print_Area" localSheetId="3">'stavební úpravy ROZ'!$C$2:$Q$69,'stavební úpravy ROZ'!$C$75:$Q$134,'stavební úpravy ROZ'!$C$139:$Q$1030</definedName>
    <definedName name="_xlnm.Print_Area" localSheetId="10">'Ústřední vytápění'!$A$1:$I$198</definedName>
    <definedName name="_xlnm.Print_Area" localSheetId="4">'venkovní plochy a nové objekty'!$C$2:$Q$70,'venkovní plochy a nové objekty'!$C$74:$Q$94,'venkovní plochy a nové objekty'!$C$98:$Q$227</definedName>
    <definedName name="_xlnm.Print_Area" localSheetId="5">'výrobky a specifikace'!$C$2:$S$69,'výrobky a specifikace'!$C$75:$S$105,'výrobky a specifikace'!$C$111:$S$282</definedName>
    <definedName name="_xlnm.Print_Area" localSheetId="9">VZT!$A$1:$P$388</definedName>
    <definedName name="_xlnm.Print_Area" localSheetId="7">'ZTI kanalizace'!$A$1:$I$156</definedName>
    <definedName name="_xlnm.Print_Area" localSheetId="8">'ZTI plynovod'!$A$1:$I$57</definedName>
    <definedName name="_xlnm.Print_Area" localSheetId="6">'ZTI vodovod'!$A$1:$I$118</definedName>
    <definedName name="_xlnm.Print_Area">"$#REF!.$A$1:$L$260"</definedName>
    <definedName name="obvod_suteren">[29]Hrubá!$G$11</definedName>
    <definedName name="OBVODOVYPROFILF" localSheetId="11">#REF!</definedName>
    <definedName name="OBVODOVYPROFILF" localSheetId="12">#REF!</definedName>
    <definedName name="OBVODOVYPROFILF">#REF!</definedName>
    <definedName name="OBVODOVYPROFILF_A" localSheetId="11">#REF!</definedName>
    <definedName name="OBVODOVYPROFILF_A" localSheetId="12">#REF!</definedName>
    <definedName name="OBVODOVYPROFILF_A">#REF!</definedName>
    <definedName name="OBVODOVYPROFILF_B" localSheetId="11">#REF!</definedName>
    <definedName name="OBVODOVYPROFILF_B" localSheetId="12">#REF!</definedName>
    <definedName name="OBVODOVYPROFILF_B">#REF!</definedName>
    <definedName name="OBVODOVYPROFILF_C">#REF!</definedName>
    <definedName name="OBVODOVYPROFILF_D">#REF!</definedName>
    <definedName name="OBVODOVYPROFILF_E">#REF!</definedName>
    <definedName name="OBVODOVYPROFILF13">#REF!</definedName>
    <definedName name="OBVODOVYPROFILF13_A">#REF!</definedName>
    <definedName name="OBVODOVYPROFILF13_B">#REF!</definedName>
    <definedName name="OBVODOVYPROFILF13_C">#REF!</definedName>
    <definedName name="OBVODOVYPROFILF13_D">#REF!</definedName>
    <definedName name="OBVODOVYPROFILF13_E">#REF!</definedName>
    <definedName name="OBVODOVYPROFILF16_A">#REF!</definedName>
    <definedName name="OBVODOVYPROFILF16_B">#REF!</definedName>
    <definedName name="OBVODOVYPROFILF16_C">#REF!</definedName>
    <definedName name="OBVODOVYPROFILF16_D">#REF!</definedName>
    <definedName name="OBVODOVYPROFILF16_E">#REF!</definedName>
    <definedName name="OBVODOVYPROFILL">#REF!</definedName>
    <definedName name="OBVODOVYPROFILL_A">#REF!</definedName>
    <definedName name="OBVODOVYPROFILL_B">#REF!</definedName>
    <definedName name="OBVODOVYPROFILL_C">#REF!</definedName>
    <definedName name="OBVODOVYPROFILL_D">#REF!</definedName>
    <definedName name="OBVODOVYPROFILL_E">#REF!</definedName>
    <definedName name="OHEBNAHRANA30X34">#REF!</definedName>
    <definedName name="OHEBNAHRANA30X34_A">#REF!</definedName>
    <definedName name="OHEBNAHRANA30X34_B">#REF!</definedName>
    <definedName name="OHEBNAHRANA30X34_C">#REF!</definedName>
    <definedName name="OHEBNAHRANA30X34_D">#REF!</definedName>
    <definedName name="OHEBNAHRANA30X34_E">#REF!</definedName>
    <definedName name="OHEBNYPROFIL59X7">#REF!</definedName>
    <definedName name="OHEBNYPROFIL59X7_A">#REF!</definedName>
    <definedName name="OHEBNYPROFIL59X7_B">#REF!</definedName>
    <definedName name="OHEBNYPROFIL59X7_C">#REF!</definedName>
    <definedName name="OHEBNYPROFIL59X7_D">#REF!</definedName>
    <definedName name="OHEBNYPROFIL59X7_E">#REF!</definedName>
    <definedName name="okno">#REF!</definedName>
    <definedName name="okno_1">0</definedName>
    <definedName name="OKRAJOVAPASKATRS80">#REF!</definedName>
    <definedName name="OKRAJOVAPASKATRS80_A">#REF!</definedName>
    <definedName name="OKRAJOVAPASKATRS80_B">#REF!</definedName>
    <definedName name="OKRAJOVAPASKATRS80_C">#REF!</definedName>
    <definedName name="OKRAJOVAPASKATRS80_D">#REF!</definedName>
    <definedName name="OKRAJOVAPASKATRS80_E">#REF!</definedName>
    <definedName name="OP">#REF!</definedName>
    <definedName name="OP_12">#REF!</definedName>
    <definedName name="OP_34">#REF!</definedName>
    <definedName name="OP_50">#REF!</definedName>
    <definedName name="ORCAL_CLIP_IN">#REF!</definedName>
    <definedName name="ORCALCLIPIN_A">#REF!</definedName>
    <definedName name="ORCALCLIPIN_B">#REF!</definedName>
    <definedName name="ORCALCLIPIN_C">#REF!</definedName>
    <definedName name="ORCALCLIPIN_D">#REF!</definedName>
    <definedName name="ORCALCLIPIN_E">#REF!</definedName>
    <definedName name="ORSIL40KG40MM">#REF!</definedName>
    <definedName name="ORSIL40KG40MM_A">#REF!</definedName>
    <definedName name="ORSIL40KG40MM_B">#REF!</definedName>
    <definedName name="ORSIL40KG40MM_C">#REF!</definedName>
    <definedName name="ORSIL40KG40MM_D">#REF!</definedName>
    <definedName name="ORSIL40KG40MM_E">#REF!</definedName>
    <definedName name="ORSIL45KG50MM">#REF!</definedName>
    <definedName name="ORSIL45KG50MM_A">#REF!</definedName>
    <definedName name="ORSIL45KG50MM_B">#REF!</definedName>
    <definedName name="ORSIL45KG50MM_C">#REF!</definedName>
    <definedName name="ORSIL45KG50MM_D">#REF!</definedName>
    <definedName name="ORSIL45KG50MM_E">#REF!</definedName>
    <definedName name="ORSIL65KG50MM">#REF!</definedName>
    <definedName name="ORSIL65KG50MM_A">#REF!</definedName>
    <definedName name="ORSIL65KG50MM_B">#REF!</definedName>
    <definedName name="ORSIL65KG50MM_C">#REF!</definedName>
    <definedName name="ORSIL65KG50MM_D">#REF!</definedName>
    <definedName name="ORSIL65KG50MM_E">#REF!</definedName>
    <definedName name="Ostatní_výrobky">'[26]SO 51.4 Výkaz výměr'!#REF!</definedName>
    <definedName name="P">#REF!</definedName>
    <definedName name="PAPIROVAPASKA" localSheetId="11">#REF!</definedName>
    <definedName name="PAPIROVAPASKA" localSheetId="12">#REF!</definedName>
    <definedName name="PAPIROVAPASKA">#REF!</definedName>
    <definedName name="PAPIROVAPASKA_A" localSheetId="11">#REF!</definedName>
    <definedName name="PAPIROVAPASKA_A" localSheetId="12">#REF!</definedName>
    <definedName name="PAPIROVAPASKA_A">#REF!</definedName>
    <definedName name="PAPIROVAPASKA_B">#REF!</definedName>
    <definedName name="PAPIROVAPASKA_C">#REF!</definedName>
    <definedName name="PAPIROVAPASKA_D">#REF!</definedName>
    <definedName name="PAPIROVAPASKA_E">#REF!</definedName>
    <definedName name="Parametry">#REF!</definedName>
    <definedName name="PASEKKZAVESU_A">#REF!</definedName>
    <definedName name="PASEKKZAVESU_B">#REF!</definedName>
    <definedName name="PASEKKZAVESU_C">#REF!</definedName>
    <definedName name="PASEKKZAVESU_D">#REF!</definedName>
    <definedName name="PASEKKZAVESU_E">#REF!</definedName>
    <definedName name="PASKALEPICI">#REF!</definedName>
    <definedName name="PASKALEPICI_A">#REF!</definedName>
    <definedName name="PASKALEPICI_B">#REF!</definedName>
    <definedName name="PASKALEPICI_C">#REF!</definedName>
    <definedName name="PASKALEPICI_D">#REF!</definedName>
    <definedName name="PASKALEPICI_E">#REF!</definedName>
    <definedName name="PASKAOBOUSTRANNA">#REF!</definedName>
    <definedName name="PASKAOBOUSTRANNA_A">#REF!</definedName>
    <definedName name="PASKAOBOUSTRANNA_B">#REF!</definedName>
    <definedName name="PASKAOBOUSTRANNA_C">#REF!</definedName>
    <definedName name="PASKAOBOUSTRANNA_D">#REF!</definedName>
    <definedName name="PASKAOBOUSTRANNA_E">#REF!</definedName>
    <definedName name="PASKAPAROFOL">#REF!</definedName>
    <definedName name="PASKAPAROFOL_A">#REF!</definedName>
    <definedName name="PASKAPAROFOL_B">#REF!</definedName>
    <definedName name="PASKAPAROFOL_C">#REF!</definedName>
    <definedName name="PASKAPAROFOL_D">#REF!</definedName>
    <definedName name="PASKAPAROFOL_E">#REF!</definedName>
    <definedName name="PEFOLIE01">#REF!</definedName>
    <definedName name="PEFOLIE01_A">#REF!</definedName>
    <definedName name="PEFOLIE01_B">#REF!</definedName>
    <definedName name="PEFOLIE01_C">#REF!</definedName>
    <definedName name="PEFOLIE01_D">#REF!</definedName>
    <definedName name="PEFOLIE01_E">#REF!</definedName>
    <definedName name="PEFOLIE02">#REF!</definedName>
    <definedName name="PEFOLIE02_A">#REF!</definedName>
    <definedName name="PEFOLIE02_B">#REF!</definedName>
    <definedName name="PEFOLIE02_C">#REF!</definedName>
    <definedName name="PEFOLIE02_D">#REF!</definedName>
    <definedName name="PEFOLIE02_E">#REF!</definedName>
    <definedName name="Periferie">#REF!</definedName>
    <definedName name="PH">#REF!</definedName>
    <definedName name="pia">#REF!</definedName>
    <definedName name="PJ">#REF!</definedName>
    <definedName name="PJ_12">#REF!</definedName>
    <definedName name="PJ_34">#REF!</definedName>
    <definedName name="PJ_50">#REF!</definedName>
    <definedName name="PLECHPOZINK">#REF!</definedName>
    <definedName name="PLECHPOZINK_A">#REF!</definedName>
    <definedName name="PLECHPOZINK_B">#REF!</definedName>
    <definedName name="PLECHPOZINK_C">#REF!</definedName>
    <definedName name="PLECHPOZINK_D">#REF!</definedName>
    <definedName name="PLECHPOZINK_E">#REF!</definedName>
    <definedName name="pln">#REF!</definedName>
    <definedName name="plyn">[4]Budova!$A$917:$A$947</definedName>
    <definedName name="PN">#REF!</definedName>
    <definedName name="PN_12">#REF!</definedName>
    <definedName name="PN_34">#REF!</definedName>
    <definedName name="PN_50">#REF!</definedName>
    <definedName name="PO">#REF!</definedName>
    <definedName name="PO_12">#REF!</definedName>
    <definedName name="PO_34">#REF!</definedName>
    <definedName name="PO_50">#REF!</definedName>
    <definedName name="PocetMJ">#REF!</definedName>
    <definedName name="Podhl">'[26]SO 51.4 Výkaz výměr'!#REF!</definedName>
    <definedName name="Podhledy">'[8]SO 11.1A Výkaz výměr'!#REF!</definedName>
    <definedName name="PODHLEDY_1" localSheetId="11">#REF!</definedName>
    <definedName name="PODHLEDY_1" localSheetId="12">#REF!</definedName>
    <definedName name="PODHLEDY_1">#REF!</definedName>
    <definedName name="PODHLEDY_1_A" localSheetId="11">#REF!</definedName>
    <definedName name="PODHLEDY_1_A" localSheetId="12">#REF!</definedName>
    <definedName name="PODHLEDY_1_A">#REF!</definedName>
    <definedName name="PODHLEDY_1_B" localSheetId="11">#REF!</definedName>
    <definedName name="PODHLEDY_1_B" localSheetId="12">#REF!</definedName>
    <definedName name="PODHLEDY_1_B">#REF!</definedName>
    <definedName name="PODHLEDY_1_C">#REF!</definedName>
    <definedName name="PODHLEDY_1_D">#REF!</definedName>
    <definedName name="PODHLEDY_1_E">#REF!</definedName>
    <definedName name="PODHLEDY_1_M">#REF!</definedName>
    <definedName name="PODHLEDY_1_P">#REF!</definedName>
    <definedName name="PODHLEDY_10">#REF!</definedName>
    <definedName name="PODHLEDY_10_A">#REF!</definedName>
    <definedName name="PODHLEDY_10_B">#REF!</definedName>
    <definedName name="PODHLEDY_10_C">#REF!</definedName>
    <definedName name="PODHLEDY_10_D">#REF!</definedName>
    <definedName name="PODHLEDY_10_E">#REF!</definedName>
    <definedName name="PODHLEDY_10_M">#REF!</definedName>
    <definedName name="PODHLEDY_10_P">#REF!</definedName>
    <definedName name="PODHLEDY_11">#REF!</definedName>
    <definedName name="PODHLEDY_11_A">#REF!</definedName>
    <definedName name="PODHLEDY_11_B">#REF!</definedName>
    <definedName name="PODHLEDY_11_C">#REF!</definedName>
    <definedName name="PODHLEDY_11_D">#REF!</definedName>
    <definedName name="PODHLEDY_11_E">#REF!</definedName>
    <definedName name="PODHLEDY_11_M">#REF!</definedName>
    <definedName name="PODHLEDY_11_P">#REF!</definedName>
    <definedName name="PODHLEDY_12">#REF!</definedName>
    <definedName name="PODHLEDY_12_A">#REF!</definedName>
    <definedName name="PODHLEDY_12_B">#REF!</definedName>
    <definedName name="PODHLEDY_12_C">#REF!</definedName>
    <definedName name="PODHLEDY_12_D">#REF!</definedName>
    <definedName name="PODHLEDY_12_E">#REF!</definedName>
    <definedName name="PODHLEDY_12_M">#REF!</definedName>
    <definedName name="PODHLEDY_12_P">#REF!</definedName>
    <definedName name="PODHLEDY_13">#REF!</definedName>
    <definedName name="PODHLEDY_13_A">#REF!</definedName>
    <definedName name="PODHLEDY_13_B">#REF!</definedName>
    <definedName name="PODHLEDY_13_C">#REF!</definedName>
    <definedName name="PODHLEDY_13_D">#REF!</definedName>
    <definedName name="PODHLEDY_13_E">#REF!</definedName>
    <definedName name="PODHLEDY_13_M">#REF!</definedName>
    <definedName name="PODHLEDY_13_P">#REF!</definedName>
    <definedName name="PODHLEDY_14">#REF!</definedName>
    <definedName name="PODHLEDY_14_A">#REF!</definedName>
    <definedName name="PODHLEDY_14_B">#REF!</definedName>
    <definedName name="PODHLEDY_14_C">#REF!</definedName>
    <definedName name="PODHLEDY_14_D">#REF!</definedName>
    <definedName name="PODHLEDY_14_E">#REF!</definedName>
    <definedName name="PODHLEDY_14_M">#REF!</definedName>
    <definedName name="PODHLEDY_14_P">#REF!</definedName>
    <definedName name="PODHLEDY_15">#REF!</definedName>
    <definedName name="PODHLEDY_15_A">#REF!</definedName>
    <definedName name="PODHLEDY_15_B">#REF!</definedName>
    <definedName name="PODHLEDY_15_C">#REF!</definedName>
    <definedName name="PODHLEDY_15_D">#REF!</definedName>
    <definedName name="PODHLEDY_15_E">#REF!</definedName>
    <definedName name="PODHLEDY_15_M">#REF!</definedName>
    <definedName name="PODHLEDY_15_P">#REF!</definedName>
    <definedName name="PODHLEDY_16">#REF!</definedName>
    <definedName name="PODHLEDY_16_A">#REF!</definedName>
    <definedName name="PODHLEDY_16_B">#REF!</definedName>
    <definedName name="PODHLEDY_16_C">#REF!</definedName>
    <definedName name="PODHLEDY_16_D">#REF!</definedName>
    <definedName name="PODHLEDY_16_E">#REF!</definedName>
    <definedName name="PODHLEDY_16_M">#REF!</definedName>
    <definedName name="PODHLEDY_16_P">#REF!</definedName>
    <definedName name="PODHLEDY_17">#REF!</definedName>
    <definedName name="PODHLEDY_17_A">#REF!</definedName>
    <definedName name="PODHLEDY_17_B">#REF!</definedName>
    <definedName name="PODHLEDY_17_C">#REF!</definedName>
    <definedName name="PODHLEDY_17_D">#REF!</definedName>
    <definedName name="PODHLEDY_17_E">#REF!</definedName>
    <definedName name="PODHLEDY_17_M">#REF!</definedName>
    <definedName name="PODHLEDY_17_P">#REF!</definedName>
    <definedName name="PODHLEDY_18">#REF!</definedName>
    <definedName name="PODHLEDY_18_A">#REF!</definedName>
    <definedName name="PODHLEDY_18_B">#REF!</definedName>
    <definedName name="PODHLEDY_18_C">#REF!</definedName>
    <definedName name="PODHLEDY_18_D">#REF!</definedName>
    <definedName name="PODHLEDY_18_E">#REF!</definedName>
    <definedName name="PODHLEDY_18_M">#REF!</definedName>
    <definedName name="PODHLEDY_18_P">#REF!</definedName>
    <definedName name="PODHLEDY_19">#REF!</definedName>
    <definedName name="PODHLEDY_19_A">#REF!</definedName>
    <definedName name="PODHLEDY_19_B">#REF!</definedName>
    <definedName name="PODHLEDY_19_C">#REF!</definedName>
    <definedName name="PODHLEDY_19_D">#REF!</definedName>
    <definedName name="PODHLEDY_19_E">#REF!</definedName>
    <definedName name="PODHLEDY_19_M">#REF!</definedName>
    <definedName name="PODHLEDY_19_P">#REF!</definedName>
    <definedName name="PODHLEDY_2">#REF!</definedName>
    <definedName name="PODHLEDY_2_A">#REF!</definedName>
    <definedName name="PODHLEDY_2_B">#REF!</definedName>
    <definedName name="PODHLEDY_2_C">#REF!</definedName>
    <definedName name="PODHLEDY_2_D">#REF!</definedName>
    <definedName name="PODHLEDY_2_E">#REF!</definedName>
    <definedName name="PODHLEDY_2_M">#REF!</definedName>
    <definedName name="PODHLEDY_2_P">#REF!</definedName>
    <definedName name="PODHLEDY_20">#REF!</definedName>
    <definedName name="PODHLEDY_20_A">#REF!</definedName>
    <definedName name="PODHLEDY_20_B">#REF!</definedName>
    <definedName name="PODHLEDY_20_C">#REF!</definedName>
    <definedName name="PODHLEDY_20_D">#REF!</definedName>
    <definedName name="PODHLEDY_20_E">#REF!</definedName>
    <definedName name="PODHLEDY_20_M">#REF!</definedName>
    <definedName name="PODHLEDY_20_P">#REF!</definedName>
    <definedName name="PODHLEDY_21">#REF!</definedName>
    <definedName name="PODHLEDY_21_A">#REF!</definedName>
    <definedName name="PODHLEDY_21_B">#REF!</definedName>
    <definedName name="PODHLEDY_21_C">#REF!</definedName>
    <definedName name="PODHLEDY_21_D">#REF!</definedName>
    <definedName name="PODHLEDY_21_E">#REF!</definedName>
    <definedName name="PODHLEDY_21_M">#REF!</definedName>
    <definedName name="PODHLEDY_21_P">#REF!</definedName>
    <definedName name="PODHLEDY_22">#REF!</definedName>
    <definedName name="PODHLEDY_22_A">#REF!</definedName>
    <definedName name="PODHLEDY_22_B">#REF!</definedName>
    <definedName name="PODHLEDY_22_C">#REF!</definedName>
    <definedName name="PODHLEDY_22_D">#REF!</definedName>
    <definedName name="PODHLEDY_22_E">#REF!</definedName>
    <definedName name="PODHLEDY_22_M">#REF!</definedName>
    <definedName name="PODHLEDY_22_P">#REF!</definedName>
    <definedName name="PODHLEDY_23">#REF!</definedName>
    <definedName name="PODHLEDY_23_A">#REF!</definedName>
    <definedName name="PODHLEDY_23_B">#REF!</definedName>
    <definedName name="PODHLEDY_23_C">#REF!</definedName>
    <definedName name="PODHLEDY_23_D">#REF!</definedName>
    <definedName name="PODHLEDY_23_E">#REF!</definedName>
    <definedName name="PODHLEDY_23_M">#REF!</definedName>
    <definedName name="PODHLEDY_23_P">#REF!</definedName>
    <definedName name="PODHLEDY_24">#REF!</definedName>
    <definedName name="PODHLEDY_24_A">#REF!</definedName>
    <definedName name="PODHLEDY_24_B">#REF!</definedName>
    <definedName name="PODHLEDY_24_C">#REF!</definedName>
    <definedName name="PODHLEDY_24_D">#REF!</definedName>
    <definedName name="PODHLEDY_24_E">#REF!</definedName>
    <definedName name="PODHLEDY_24_M">#REF!</definedName>
    <definedName name="PODHLEDY_24_P">#REF!</definedName>
    <definedName name="PODHLEDY_25">#REF!</definedName>
    <definedName name="PODHLEDY_25_A">#REF!</definedName>
    <definedName name="PODHLEDY_25_B">#REF!</definedName>
    <definedName name="PODHLEDY_25_C">#REF!</definedName>
    <definedName name="PODHLEDY_25_D">#REF!</definedName>
    <definedName name="PODHLEDY_25_E">#REF!</definedName>
    <definedName name="PODHLEDY_25_M">#REF!</definedName>
    <definedName name="PODHLEDY_25_P">#REF!</definedName>
    <definedName name="PODHLEDY_26">#REF!</definedName>
    <definedName name="PODHLEDY_26_A">#REF!</definedName>
    <definedName name="PODHLEDY_26_B">#REF!</definedName>
    <definedName name="PODHLEDY_26_C">#REF!</definedName>
    <definedName name="PODHLEDY_26_D">#REF!</definedName>
    <definedName name="PODHLEDY_26_E">#REF!</definedName>
    <definedName name="PODHLEDY_26_M">#REF!</definedName>
    <definedName name="PODHLEDY_26_P">#REF!</definedName>
    <definedName name="PODHLEDY_3">#REF!</definedName>
    <definedName name="PODHLEDY_3_A">#REF!</definedName>
    <definedName name="PODHLEDY_3_B">#REF!</definedName>
    <definedName name="PODHLEDY_3_C">#REF!</definedName>
    <definedName name="PODHLEDY_3_D">#REF!</definedName>
    <definedName name="PODHLEDY_3_E">#REF!</definedName>
    <definedName name="PODHLEDY_3_M">#REF!</definedName>
    <definedName name="PODHLEDY_3_P">#REF!</definedName>
    <definedName name="PODHLEDY_4">#REF!</definedName>
    <definedName name="PODHLEDY_4_A">#REF!</definedName>
    <definedName name="PODHLEDY_4_B">#REF!</definedName>
    <definedName name="PODHLEDY_4_C">#REF!</definedName>
    <definedName name="PODHLEDY_4_D">#REF!</definedName>
    <definedName name="PODHLEDY_4_E">#REF!</definedName>
    <definedName name="PODHLEDY_4_M">#REF!</definedName>
    <definedName name="PODHLEDY_4_P">#REF!</definedName>
    <definedName name="PODHLEDY_5">#REF!</definedName>
    <definedName name="PODHLEDY_5_A">#REF!</definedName>
    <definedName name="PODHLEDY_5_B">#REF!</definedName>
    <definedName name="PODHLEDY_5_C">#REF!</definedName>
    <definedName name="PODHLEDY_5_D">#REF!</definedName>
    <definedName name="PODHLEDY_5_E">#REF!</definedName>
    <definedName name="PODHLEDY_5_M">#REF!</definedName>
    <definedName name="PODHLEDY_5_P">#REF!</definedName>
    <definedName name="PODHLEDY_6">#REF!</definedName>
    <definedName name="PODHLEDY_6_A">#REF!</definedName>
    <definedName name="PODHLEDY_6_B">#REF!</definedName>
    <definedName name="PODHLEDY_6_C">#REF!</definedName>
    <definedName name="PODHLEDY_6_D">#REF!</definedName>
    <definedName name="PODHLEDY_6_E">#REF!</definedName>
    <definedName name="PODHLEDY_6_M">#REF!</definedName>
    <definedName name="PODHLEDY_6_P">#REF!</definedName>
    <definedName name="PODHLEDY_7">#REF!</definedName>
    <definedName name="PODHLEDY_7_A">#REF!</definedName>
    <definedName name="PODHLEDY_7_B">#REF!</definedName>
    <definedName name="PODHLEDY_7_C">#REF!</definedName>
    <definedName name="PODHLEDY_7_D">#REF!</definedName>
    <definedName name="PODHLEDY_7_E">#REF!</definedName>
    <definedName name="PODHLEDY_7_M">#REF!</definedName>
    <definedName name="PODHLEDY_7_P">#REF!</definedName>
    <definedName name="PODHLEDY_8">#REF!</definedName>
    <definedName name="PODHLEDY_8_A">#REF!</definedName>
    <definedName name="PODHLEDY_8_B">#REF!</definedName>
    <definedName name="PODHLEDY_8_C">#REF!</definedName>
    <definedName name="PODHLEDY_8_D">#REF!</definedName>
    <definedName name="PODHLEDY_8_E">#REF!</definedName>
    <definedName name="PODHLEDY_8_M">#REF!</definedName>
    <definedName name="PODHLEDY_8_P">#REF!</definedName>
    <definedName name="PODHLEDY_9">#REF!</definedName>
    <definedName name="PODHLEDY_9_A">#REF!</definedName>
    <definedName name="PODHLEDY_9_B">#REF!</definedName>
    <definedName name="PODHLEDY_9_C">#REF!</definedName>
    <definedName name="PODHLEDY_9_D">#REF!</definedName>
    <definedName name="PODHLEDY_9_E">#REF!</definedName>
    <definedName name="PODHLEDY_9_M">#REF!</definedName>
    <definedName name="PODHLEDY_9_P">#REF!</definedName>
    <definedName name="PODKR_1">#REF!</definedName>
    <definedName name="PODKR_1_A">#REF!</definedName>
    <definedName name="PODKR_1_B">#REF!</definedName>
    <definedName name="PODKR_1_C">#REF!</definedName>
    <definedName name="PODKR_1_D">#REF!</definedName>
    <definedName name="PODKR_1_E">#REF!</definedName>
    <definedName name="PODKR_1_M">#REF!</definedName>
    <definedName name="PODKR_1_P">#REF!</definedName>
    <definedName name="PODKR_10">#REF!</definedName>
    <definedName name="PODKR_10_A">#REF!</definedName>
    <definedName name="PODKR_10_B">#REF!</definedName>
    <definedName name="PODKR_10_C">#REF!</definedName>
    <definedName name="PODKR_10_D">#REF!</definedName>
    <definedName name="PODKR_10_E">#REF!</definedName>
    <definedName name="PODKR_10_M">#REF!</definedName>
    <definedName name="PODKR_10_P">#REF!</definedName>
    <definedName name="PODKR_2">#REF!</definedName>
    <definedName name="PODKR_2_A">#REF!</definedName>
    <definedName name="PODKR_2_B">#REF!</definedName>
    <definedName name="PODKR_2_C">#REF!</definedName>
    <definedName name="PODKR_2_D">#REF!</definedName>
    <definedName name="PODKR_2_E">#REF!</definedName>
    <definedName name="PODKR_2_M">#REF!</definedName>
    <definedName name="PODKR_2_P">#REF!</definedName>
    <definedName name="PODKR_3">#REF!</definedName>
    <definedName name="PODKR_3_A">#REF!</definedName>
    <definedName name="PODKR_3_B">#REF!</definedName>
    <definedName name="PODKR_3_C">#REF!</definedName>
    <definedName name="PODKR_3_D">#REF!</definedName>
    <definedName name="PODKR_3_E">#REF!</definedName>
    <definedName name="PODKR_3_M">#REF!</definedName>
    <definedName name="PODKR_3_P">#REF!</definedName>
    <definedName name="PODKR_4">#REF!</definedName>
    <definedName name="PODKR_4_A">#REF!</definedName>
    <definedName name="PODKR_4_B">#REF!</definedName>
    <definedName name="PODKR_4_C">#REF!</definedName>
    <definedName name="PODKR_4_D">#REF!</definedName>
    <definedName name="PODKR_4_E">#REF!</definedName>
    <definedName name="PODKR_4_M">#REF!</definedName>
    <definedName name="PODKR_4_P">#REF!</definedName>
    <definedName name="PODKR_5">#REF!</definedName>
    <definedName name="PODKR_5_A">#REF!</definedName>
    <definedName name="PODKR_5_B">#REF!</definedName>
    <definedName name="PODKR_5_C">#REF!</definedName>
    <definedName name="PODKR_5_D">#REF!</definedName>
    <definedName name="PODKR_5_E">#REF!</definedName>
    <definedName name="PODKR_5_M">#REF!</definedName>
    <definedName name="PODKR_5_P">#REF!</definedName>
    <definedName name="PODKR_6">#REF!</definedName>
    <definedName name="PODKR_6_A">#REF!</definedName>
    <definedName name="PODKR_6_B">#REF!</definedName>
    <definedName name="PODKR_6_C">#REF!</definedName>
    <definedName name="PODKR_6_D">#REF!</definedName>
    <definedName name="PODKR_6_E">#REF!</definedName>
    <definedName name="PODKR_6_M">#REF!</definedName>
    <definedName name="PODKR_6_P">#REF!</definedName>
    <definedName name="PODKR_7">#REF!</definedName>
    <definedName name="PODKR_7_A">#REF!</definedName>
    <definedName name="PODKR_7_B">#REF!</definedName>
    <definedName name="PODKR_7_C">#REF!</definedName>
    <definedName name="PODKR_7_D">#REF!</definedName>
    <definedName name="PODKR_7_E">#REF!</definedName>
    <definedName name="PODKR_7_M">#REF!</definedName>
    <definedName name="PODKR_7_P">#REF!</definedName>
    <definedName name="PODKR_8">#REF!</definedName>
    <definedName name="PODKR_8_A">#REF!</definedName>
    <definedName name="PODKR_8_B">#REF!</definedName>
    <definedName name="PODKR_8_C">#REF!</definedName>
    <definedName name="PODKR_8_D">#REF!</definedName>
    <definedName name="PODKR_8_E">#REF!</definedName>
    <definedName name="PODKR_8_M">#REF!</definedName>
    <definedName name="PODKR_8_P">#REF!</definedName>
    <definedName name="PODKR_9">#REF!</definedName>
    <definedName name="PODKR_9_A">#REF!</definedName>
    <definedName name="PODKR_9_B">#REF!</definedName>
    <definedName name="PODKR_9_C">#REF!</definedName>
    <definedName name="PODKR_9_D">#REF!</definedName>
    <definedName name="PODKR_9_E">#REF!</definedName>
    <definedName name="PODKR_9_M">#REF!</definedName>
    <definedName name="PODKR_9_P">#REF!</definedName>
    <definedName name="PODLAHY_1">#REF!</definedName>
    <definedName name="PODLAHY_1_A">#REF!</definedName>
    <definedName name="PODLAHY_1_B">#REF!</definedName>
    <definedName name="PODLAHY_1_C">#REF!</definedName>
    <definedName name="PODLAHY_1_D">#REF!</definedName>
    <definedName name="PODLAHY_1_E">#REF!</definedName>
    <definedName name="PODLAHY_1_M">#REF!</definedName>
    <definedName name="PODLAHY_1_P">#REF!</definedName>
    <definedName name="PODLAHY_2">#REF!</definedName>
    <definedName name="PODLAHY_2_A">#REF!</definedName>
    <definedName name="PODLAHY_2_B">#REF!</definedName>
    <definedName name="PODLAHY_2_C">#REF!</definedName>
    <definedName name="PODLAHY_2_D">#REF!</definedName>
    <definedName name="PODLAHY_2_E">#REF!</definedName>
    <definedName name="PODLAHY_2_M">#REF!</definedName>
    <definedName name="PODLAHY_2_P">#REF!</definedName>
    <definedName name="PODLAHY_3">#REF!</definedName>
    <definedName name="PODLAHY_3_A">#REF!</definedName>
    <definedName name="PODLAHY_3_B">#REF!</definedName>
    <definedName name="PODLAHY_3_C">#REF!</definedName>
    <definedName name="PODLAHY_3_D">#REF!</definedName>
    <definedName name="PODLAHY_3_E">#REF!</definedName>
    <definedName name="PODLAHY_3_M">#REF!</definedName>
    <definedName name="PODLAHY_3_P">#REF!</definedName>
    <definedName name="PODLAHY_4">#REF!</definedName>
    <definedName name="PODLAHY_4_A">#REF!</definedName>
    <definedName name="PODLAHY_4_B">#REF!</definedName>
    <definedName name="PODLAHY_4_C">#REF!</definedName>
    <definedName name="PODLAHY_4_D">#REF!</definedName>
    <definedName name="PODLAHY_4_E">#REF!</definedName>
    <definedName name="PODLAHY_4_M">#REF!</definedName>
    <definedName name="PODLAHY_4_P">#REF!</definedName>
    <definedName name="PODLAHY_5">#REF!</definedName>
    <definedName name="PODLAHY_5_A">#REF!</definedName>
    <definedName name="PODLAHY_5_B">#REF!</definedName>
    <definedName name="PODLAHY_5_C">#REF!</definedName>
    <definedName name="PODLAHY_5_D">#REF!</definedName>
    <definedName name="PODLAHY_5_E">#REF!</definedName>
    <definedName name="PODLAHY_5_M">#REF!</definedName>
    <definedName name="PODLAHY_5_P">#REF!</definedName>
    <definedName name="PODLAHY_6">#REF!</definedName>
    <definedName name="PODLAHY_6_A">#REF!</definedName>
    <definedName name="PODLAHY_6_B">#REF!</definedName>
    <definedName name="PODLAHY_6_C">#REF!</definedName>
    <definedName name="PODLAHY_6_D">#REF!</definedName>
    <definedName name="PODLAHY_6_E">#REF!</definedName>
    <definedName name="PODLAHY_6_M">#REF!</definedName>
    <definedName name="PODLAHY_6_P">#REF!</definedName>
    <definedName name="podpoložky">'[30]Rekap.  SO 02'!$A$9:$E$20,'[30]Rekap.  SO 02'!$A$22:$E$23,'[30]Rekap.  SO 02'!$A$30:$E$31,'[30]Rekap.  SO 02'!$A$34:$E$35,'[30]Rekap.  SO 02'!$A$37:$E$39,'[30]Rekap.  SO 02'!$A$41:$E$42</definedName>
    <definedName name="podw">'[31]Rob. elektr.'!#REF!</definedName>
    <definedName name="poiui">#REF!</definedName>
    <definedName name="pokus" localSheetId="11">#REF!,#REF!</definedName>
    <definedName name="pokus" localSheetId="12">#REF!,#REF!</definedName>
    <definedName name="pokus">#REF!,#REF!</definedName>
    <definedName name="pokusAAAA" localSheetId="11">#REF!</definedName>
    <definedName name="pokusAAAA" localSheetId="12">#REF!</definedName>
    <definedName name="pokusAAAA">#REF!</definedName>
    <definedName name="pokusadres">#REF!</definedName>
    <definedName name="položka_A1" localSheetId="11">[7]Rozpočet!#REF!</definedName>
    <definedName name="položka_A1" localSheetId="12">[7]Rozpočet!#REF!</definedName>
    <definedName name="položka_A1">#REF!</definedName>
    <definedName name="pom_výp_zač">#REF!</definedName>
    <definedName name="pom_výpočty">#REF!</definedName>
    <definedName name="Popis">#REF!</definedName>
    <definedName name="Popisky1">#REF!</definedName>
    <definedName name="Popisky2">#REF!</definedName>
    <definedName name="poslední">#REF!</definedName>
    <definedName name="POSUVNYZAVESCDCTYRBODOVY" localSheetId="11">#REF!</definedName>
    <definedName name="POSUVNYZAVESCDCTYRBODOVY" localSheetId="12">#REF!</definedName>
    <definedName name="POSUVNYZAVESCDCTYRBODOVY">#REF!</definedName>
    <definedName name="POSUVNYZAVESCDCTYRBODOVY_A" localSheetId="11">#REF!</definedName>
    <definedName name="POSUVNYZAVESCDCTYRBODOVY_A" localSheetId="12">#REF!</definedName>
    <definedName name="POSUVNYZAVESCDCTYRBODOVY_A">#REF!</definedName>
    <definedName name="POSUVNYZAVESCDCTYRBODOVY_B" localSheetId="11">#REF!</definedName>
    <definedName name="POSUVNYZAVESCDCTYRBODOVY_B" localSheetId="12">#REF!</definedName>
    <definedName name="POSUVNYZAVESCDCTYRBODOVY_B">#REF!</definedName>
    <definedName name="POSUVNYZAVESCDCTYRBODOVY_C">#REF!</definedName>
    <definedName name="POSUVNYZAVESCDCTYRBODOVY_D">#REF!</definedName>
    <definedName name="POSUVNYZAVESCDCTYRBODOVY_E">#REF!</definedName>
    <definedName name="POSUVNYZAVESCDPLOCHY_A">#REF!</definedName>
    <definedName name="POSUVNYZAVESCDPLOCHY_B">#REF!</definedName>
    <definedName name="POSUVNYZAVESCDPLOCHY_C">#REF!</definedName>
    <definedName name="POSUVNYZAVESCDPLOCHY_D">#REF!</definedName>
    <definedName name="POSUVNYZAVESCDPLOCHY_E">#REF!</definedName>
    <definedName name="Poznamka">#REF!</definedName>
    <definedName name="pp">#REF!</definedName>
    <definedName name="ppppp">#REF!</definedName>
    <definedName name="PREDS_1">#REF!</definedName>
    <definedName name="PREDS_1_A">#REF!</definedName>
    <definedName name="PREDS_1_B">#REF!</definedName>
    <definedName name="PREDS_1_C">#REF!</definedName>
    <definedName name="PREDS_1_D">#REF!</definedName>
    <definedName name="PREDS_1_E">#REF!</definedName>
    <definedName name="PREDS_1_M">#REF!</definedName>
    <definedName name="PREDS_1_P">#REF!</definedName>
    <definedName name="PREDS_10">#REF!</definedName>
    <definedName name="PREDS_10_A">#REF!</definedName>
    <definedName name="PREDS_10_B">#REF!</definedName>
    <definedName name="PREDS_10_C">#REF!</definedName>
    <definedName name="PREDS_10_D">#REF!</definedName>
    <definedName name="PREDS_10_E">#REF!</definedName>
    <definedName name="PREDS_10_M">#REF!</definedName>
    <definedName name="PREDS_10_P">#REF!</definedName>
    <definedName name="PREDS_11">#REF!</definedName>
    <definedName name="PREDS_11_A">#REF!</definedName>
    <definedName name="PREDS_11_B">#REF!</definedName>
    <definedName name="PREDS_11_C">#REF!</definedName>
    <definedName name="PREDS_11_D">#REF!</definedName>
    <definedName name="PREDS_11_E">#REF!</definedName>
    <definedName name="PREDS_11_M">#REF!</definedName>
    <definedName name="PREDS_11_P">#REF!</definedName>
    <definedName name="PREDS_12">#REF!</definedName>
    <definedName name="PREDS_12_A">#REF!</definedName>
    <definedName name="PREDS_12_B">#REF!</definedName>
    <definedName name="PREDS_12_C">#REF!</definedName>
    <definedName name="PREDS_12_D">#REF!</definedName>
    <definedName name="PREDS_12_E">#REF!</definedName>
    <definedName name="PREDS_12_M">#REF!</definedName>
    <definedName name="PREDS_12_P">#REF!</definedName>
    <definedName name="PREDS_13">#REF!</definedName>
    <definedName name="PREDS_13_A">#REF!</definedName>
    <definedName name="PREDS_13_B">#REF!</definedName>
    <definedName name="PREDS_13_C">#REF!</definedName>
    <definedName name="PREDS_13_D">#REF!</definedName>
    <definedName name="PREDS_13_E">#REF!</definedName>
    <definedName name="PREDS_13_M">#REF!</definedName>
    <definedName name="PREDS_13_P">#REF!</definedName>
    <definedName name="PREDS_14">#REF!</definedName>
    <definedName name="PREDS_14_A">#REF!</definedName>
    <definedName name="PREDS_14_B">#REF!</definedName>
    <definedName name="PREDS_14_C">#REF!</definedName>
    <definedName name="PREDS_14_D">#REF!</definedName>
    <definedName name="PREDS_14_E">#REF!</definedName>
    <definedName name="PREDS_14_M">#REF!</definedName>
    <definedName name="PREDS_14_P">#REF!</definedName>
    <definedName name="PREDS_15">#REF!</definedName>
    <definedName name="PREDS_15_A">#REF!</definedName>
    <definedName name="PREDS_15_B">#REF!</definedName>
    <definedName name="PREDS_15_C">#REF!</definedName>
    <definedName name="PREDS_15_D">#REF!</definedName>
    <definedName name="PREDS_15_E">#REF!</definedName>
    <definedName name="PREDS_15_M">#REF!</definedName>
    <definedName name="PREDS_15_P">#REF!</definedName>
    <definedName name="PREDS_16">#REF!</definedName>
    <definedName name="PREDS_16_A">#REF!</definedName>
    <definedName name="PREDS_16_B">#REF!</definedName>
    <definedName name="PREDS_16_C">#REF!</definedName>
    <definedName name="PREDS_16_D">#REF!</definedName>
    <definedName name="PREDS_16_E">#REF!</definedName>
    <definedName name="PREDS_16_M">#REF!</definedName>
    <definedName name="PREDS_16_P">#REF!</definedName>
    <definedName name="PREDS_17">#REF!</definedName>
    <definedName name="PREDS_17_A">#REF!</definedName>
    <definedName name="PREDS_17_B">#REF!</definedName>
    <definedName name="PREDS_17_C">#REF!</definedName>
    <definedName name="PREDS_17_D">#REF!</definedName>
    <definedName name="PREDS_17_E">#REF!</definedName>
    <definedName name="PREDS_17_M">#REF!</definedName>
    <definedName name="PREDS_17_P">#REF!</definedName>
    <definedName name="PREDS_18">#REF!</definedName>
    <definedName name="PREDS_18_A">#REF!</definedName>
    <definedName name="PREDS_18_B">#REF!</definedName>
    <definedName name="PREDS_18_D">#REF!</definedName>
    <definedName name="PREDS_18_E">#REF!</definedName>
    <definedName name="PREDS_18_M">#REF!</definedName>
    <definedName name="PREDS_18_P">#REF!</definedName>
    <definedName name="PREDS_19">#REF!</definedName>
    <definedName name="PREDS_19_A">#REF!</definedName>
    <definedName name="PREDS_19_B">#REF!</definedName>
    <definedName name="PREDS_19_C">#REF!</definedName>
    <definedName name="PREDS_19_D">#REF!</definedName>
    <definedName name="PREDS_19_E">#REF!</definedName>
    <definedName name="PREDS_19_M">#REF!</definedName>
    <definedName name="PREDS_19_P">#REF!</definedName>
    <definedName name="PREDS_2">#REF!</definedName>
    <definedName name="PREDS_2_A">#REF!</definedName>
    <definedName name="PREDS_2_B">#REF!</definedName>
    <definedName name="PREDS_2_C">#REF!</definedName>
    <definedName name="PREDS_2_D">#REF!</definedName>
    <definedName name="PREDS_2_E">#REF!</definedName>
    <definedName name="PREDS_2_M">#REF!</definedName>
    <definedName name="PREDS_2_P">#REF!</definedName>
    <definedName name="PREDS_3">#REF!</definedName>
    <definedName name="PREDS_3_A">#REF!</definedName>
    <definedName name="PREDS_3_B">#REF!</definedName>
    <definedName name="PREDS_3_C">#REF!</definedName>
    <definedName name="PREDS_3_D">#REF!</definedName>
    <definedName name="PREDS_3_E">#REF!</definedName>
    <definedName name="PREDS_3_M">#REF!</definedName>
    <definedName name="PREDS_3_P">#REF!</definedName>
    <definedName name="PREDS_4">#REF!</definedName>
    <definedName name="PREDS_4_A">#REF!</definedName>
    <definedName name="PREDS_4_B">#REF!</definedName>
    <definedName name="PREDS_4_C">#REF!</definedName>
    <definedName name="PREDS_4_D">#REF!</definedName>
    <definedName name="PREDS_4_E">#REF!</definedName>
    <definedName name="PREDS_4_M">#REF!</definedName>
    <definedName name="PREDS_4_P">#REF!</definedName>
    <definedName name="PREDS_5">#REF!</definedName>
    <definedName name="PREDS_5_A">#REF!</definedName>
    <definedName name="PREDS_5_B">#REF!</definedName>
    <definedName name="PREDS_5_C">#REF!</definedName>
    <definedName name="PREDS_5_D">#REF!</definedName>
    <definedName name="PREDS_5_E">#REF!</definedName>
    <definedName name="PREDS_5_M">#REF!</definedName>
    <definedName name="PREDS_5_P">#REF!</definedName>
    <definedName name="PREDS_6">#REF!</definedName>
    <definedName name="PREDS_6_A">#REF!</definedName>
    <definedName name="PREDS_6_B">#REF!</definedName>
    <definedName name="PREDS_6_C">#REF!</definedName>
    <definedName name="PREDS_6_D">#REF!</definedName>
    <definedName name="PREDS_6_E">#REF!</definedName>
    <definedName name="PREDS_6_M">#REF!</definedName>
    <definedName name="PREDS_6_P">#REF!</definedName>
    <definedName name="PREDS_7">#REF!</definedName>
    <definedName name="PREDS_7_A">#REF!</definedName>
    <definedName name="PREDS_7_B">#REF!</definedName>
    <definedName name="PREDS_7_C">#REF!</definedName>
    <definedName name="PREDS_7_D">#REF!</definedName>
    <definedName name="PREDS_7_E">#REF!</definedName>
    <definedName name="PREDS_7_M">#REF!</definedName>
    <definedName name="PREDS_7_P">#REF!</definedName>
    <definedName name="PREDS_8">#REF!</definedName>
    <definedName name="PREDS_8_A">#REF!</definedName>
    <definedName name="PREDS_8_B">#REF!</definedName>
    <definedName name="PREDS_8_C">#REF!</definedName>
    <definedName name="PREDS_8_D">#REF!</definedName>
    <definedName name="PREDS_8_E">#REF!</definedName>
    <definedName name="PREDS_8_M">#REF!</definedName>
    <definedName name="PREDS_8_P">#REF!</definedName>
    <definedName name="PREDS_9">#REF!</definedName>
    <definedName name="PREDS_9_A">#REF!</definedName>
    <definedName name="PREDS_9_B">#REF!</definedName>
    <definedName name="PREDS_9_C">#REF!</definedName>
    <definedName name="PREDS_9_D">#REF!</definedName>
    <definedName name="PREDS_9_E">#REF!</definedName>
    <definedName name="PREDS_9_M">#REF!</definedName>
    <definedName name="PREDS_9_P">#REF!</definedName>
    <definedName name="PREDSAZ_14">#REF!</definedName>
    <definedName name="prep_rekap">#REF!</definedName>
    <definedName name="prep_schem">#REF!</definedName>
    <definedName name="PRICNYPROFILT151200">#REF!</definedName>
    <definedName name="PRICNYPROFILT151200_A">#REF!</definedName>
    <definedName name="PRICNYPROFILT151200_B">#REF!</definedName>
    <definedName name="PRICNYPROFILT151200_C">#REF!</definedName>
    <definedName name="PRICNYPROFILT151200_D">#REF!</definedName>
    <definedName name="PRICNYPROFILT151200_E">#REF!</definedName>
    <definedName name="PRICNYPROFILT15600">#REF!</definedName>
    <definedName name="PRICNYPROFILT15600_A">#REF!</definedName>
    <definedName name="PRICNYPROFILT15600_B">#REF!</definedName>
    <definedName name="PRICNYPROFILT15600_C">#REF!</definedName>
    <definedName name="PRICNYPROFILT15600_D">#REF!</definedName>
    <definedName name="PRICNYPROFILT15600_E">#REF!</definedName>
    <definedName name="PRICNYPROFILT241200">#REF!</definedName>
    <definedName name="PRICNYPROFILT241200_A">#REF!</definedName>
    <definedName name="PRICNYPROFILT241200_B">#REF!</definedName>
    <definedName name="PRICNYPROFILT241200_C">#REF!</definedName>
    <definedName name="PRICNYPROFILT241200_D">#REF!</definedName>
    <definedName name="PRICNYPROFILT241200_E">#REF!</definedName>
    <definedName name="PRICNYPROFILT24600">#REF!</definedName>
    <definedName name="PRICNYPROFILT24600_A">#REF!</definedName>
    <definedName name="PRICNYPROFILT24600_B">#REF!</definedName>
    <definedName name="PRICNYPROFILT24600_C">#REF!</definedName>
    <definedName name="PRICNYPROFILT24600_D">#REF!</definedName>
    <definedName name="PRICNYPROFILT24600_E">#REF!</definedName>
    <definedName name="PRICHYTKAPENDEX">#REF!</definedName>
    <definedName name="PRICHYTKAPENDEX_A">#REF!</definedName>
    <definedName name="PRICHYTKAPENDEX_B">#REF!</definedName>
    <definedName name="PRICHYTKAPENDEX_C">#REF!</definedName>
    <definedName name="PRICHYTKAPENDEX_D">#REF!</definedName>
    <definedName name="PRICHYTKAPENDEX_E">#REF!</definedName>
    <definedName name="PRICHYTNASVORKA32">#REF!</definedName>
    <definedName name="PRICHYTNASVORKA32_A">#REF!</definedName>
    <definedName name="PRICHYTNASVORKA32_B">#REF!</definedName>
    <definedName name="PRICHYTNASVORKA32_C">#REF!</definedName>
    <definedName name="PRICHYTNASVORKA32_D">#REF!</definedName>
    <definedName name="PRICHYTNASVORKA32_E">#REF!</definedName>
    <definedName name="PRICHYTNASVORKA50">#REF!</definedName>
    <definedName name="PRICHYTNASVORKA50_A">#REF!</definedName>
    <definedName name="PRICHYTNASVORKA50_B">#REF!</definedName>
    <definedName name="PRICHYTNASVORKA50_C">#REF!</definedName>
    <definedName name="PRICHYTNASVORKA50_D">#REF!</definedName>
    <definedName name="PRICHYTNASVORKA50_E">#REF!</definedName>
    <definedName name="PRIMA_DUNAPLUSMICROLOOK">#REF!</definedName>
    <definedName name="PRIMA_PLAIN_MICROLOOK">#REF!</definedName>
    <definedName name="PRIMAADRIA">#REF!</definedName>
    <definedName name="PRIMAADRIA_A">#REF!</definedName>
    <definedName name="PRIMAADRIA_B">#REF!</definedName>
    <definedName name="PRIMAADRIA_C">#REF!</definedName>
    <definedName name="PRIMAADRIA_D">#REF!</definedName>
    <definedName name="PRIMAADRIA_E">#REF!</definedName>
    <definedName name="PRIMAADRIAT">#REF!</definedName>
    <definedName name="PRIMAADRIAT_A">#REF!</definedName>
    <definedName name="PRIMAADRIAT_B">#REF!</definedName>
    <definedName name="PRIMAADRIAT_C">#REF!</definedName>
    <definedName name="PRIMAADRIAT_D">#REF!</definedName>
    <definedName name="PRIMAADRIAT_E">#REF!</definedName>
    <definedName name="PRIMACASA">#REF!</definedName>
    <definedName name="PRIMACASA_">#REF!</definedName>
    <definedName name="PRIMACASA_A">#REF!</definedName>
    <definedName name="PRIMACASA_B">#REF!</definedName>
    <definedName name="PRIMACASA_C">#REF!</definedName>
    <definedName name="PRIMACASA_D">#REF!</definedName>
    <definedName name="PRIMACASA_E">#REF!</definedName>
    <definedName name="PRIMADUNAPLUSMICROLOOK_A">#REF!</definedName>
    <definedName name="PRIMADUNAPLUSMICROLOOK_B">#REF!</definedName>
    <definedName name="PRIMADUNAPLUSMICROLOOK_C">#REF!</definedName>
    <definedName name="PRIMADUNAPLUSMICROLOOK_D">#REF!</definedName>
    <definedName name="PRIMADUNAPLUSMICROLOOK_E">#REF!</definedName>
    <definedName name="PRIMADUNEPLUS">#REF!</definedName>
    <definedName name="PRIMADUNEPLUS_A">#REF!</definedName>
    <definedName name="PRIMADUNEPLUS_B">#REF!</definedName>
    <definedName name="PRIMADUNEPLUS_C">#REF!</definedName>
    <definedName name="PRIMADUNEPLUS_D">#REF!</definedName>
    <definedName name="PRIMADUNEPLUS_E">#REF!</definedName>
    <definedName name="PRIMADUNEPLUST">#REF!</definedName>
    <definedName name="PRIMADUNEPLUST_A">#REF!</definedName>
    <definedName name="PRIMADUNEPLUST_B">#REF!</definedName>
    <definedName name="PRIMADUNEPLUST_C">#REF!</definedName>
    <definedName name="PRIMADUNEPLUST_D">#REF!</definedName>
    <definedName name="PRIMADUNEPLUST_E">#REF!</definedName>
    <definedName name="PRIMAFISSUREDT">#REF!</definedName>
    <definedName name="PRIMAFISSUREDT_A">#REF!</definedName>
    <definedName name="PRIMAFISSUREDT_B">#REF!</definedName>
    <definedName name="PRIMAFISSUREDT_C">#REF!</definedName>
    <definedName name="PRIMAFISSUREDT_D">#REF!</definedName>
    <definedName name="PRIMAFISSUREDT_E">#REF!</definedName>
    <definedName name="PRIMAFISURED">#REF!</definedName>
    <definedName name="PRIMAFISURED_A">#REF!</definedName>
    <definedName name="PRIMAFISURED_B">#REF!</definedName>
    <definedName name="PRIMAFISURED_C">#REF!</definedName>
    <definedName name="PRIMAFISURED_D">#REF!</definedName>
    <definedName name="PRIMAFISURED_E">#REF!</definedName>
    <definedName name="PRIMAPLAIN">#REF!</definedName>
    <definedName name="PRIMAPLAIN_A">#REF!</definedName>
    <definedName name="PRIMAPLAIN_B">#REF!</definedName>
    <definedName name="PRIMAPLAIN_C">#REF!</definedName>
    <definedName name="PRIMAPLAIN_D">#REF!</definedName>
    <definedName name="PRIMAPLAIN_E">#REF!</definedName>
    <definedName name="PRIMAPLAINMICROLOOK_A">#REF!</definedName>
    <definedName name="PRIMAPLAINMICROLOOK_B">#REF!</definedName>
    <definedName name="PRIMAPLAINMICROLOOK_C">#REF!</definedName>
    <definedName name="PRIMAPLAINMICROLOOK_D">#REF!</definedName>
    <definedName name="PRIMAPLAINMICROLOOK_E">#REF!</definedName>
    <definedName name="PRIMYZAVES125">#REF!</definedName>
    <definedName name="PRIMYZAVES125_A">#REF!</definedName>
    <definedName name="PRIMYZAVES125_B">#REF!</definedName>
    <definedName name="PRIMYZAVES125_C">#REF!</definedName>
    <definedName name="PRIMYZAVES125_D">#REF!</definedName>
    <definedName name="PRIMYZAVES125_E">#REF!</definedName>
    <definedName name="PRIMYZAVES60">#REF!</definedName>
    <definedName name="PRIMYZAVES60_A">#REF!</definedName>
    <definedName name="PRIMYZAVES60_B">#REF!</definedName>
    <definedName name="PRIMYZAVES60_C">#REF!</definedName>
    <definedName name="PRIMYZAVES60_D">#REF!</definedName>
    <definedName name="PRIMYZAVES60_E">#REF!</definedName>
    <definedName name="PRIMYZAVESRIGISTIL125">#REF!</definedName>
    <definedName name="PRIMYZAVESRIGISTIL125_A">#REF!</definedName>
    <definedName name="PRIMYZAVESRIGISTIL125_B">#REF!</definedName>
    <definedName name="PRIMYZAVESRIGISTIL125_C">#REF!</definedName>
    <definedName name="PRIMYZAVESRIGISTIL125_D">#REF!</definedName>
    <definedName name="PRIMYZAVESRIGISTIL125_E">#REF!</definedName>
    <definedName name="PRIMYZAVESRIGISTIL75">#REF!</definedName>
    <definedName name="PRIMYZAVESRIGISTIL75_A">#REF!</definedName>
    <definedName name="PRIMYZAVESRIGISTIL75_B">#REF!</definedName>
    <definedName name="PRIMYZAVESRIGISTIL75_C">#REF!</definedName>
    <definedName name="PRIMYZAVESRIGISTIL75_D">#REF!</definedName>
    <definedName name="PRIMYZAVESRIGISTIL75_E">#REF!</definedName>
    <definedName name="Print_Area">#REF!</definedName>
    <definedName name="Print_Titles">#REF!</definedName>
    <definedName name="PRIPOJUHELNIKUA50">#REF!</definedName>
    <definedName name="PRIPOJUHELNIKUA50_A">#REF!</definedName>
    <definedName name="PRIPOJUHELNIKUA50_B">#REF!</definedName>
    <definedName name="PRIPOJUHELNIKUA50_C">#REF!</definedName>
    <definedName name="PRIPOJUHELNIKUA50_D">#REF!</definedName>
    <definedName name="PRIPOJUHELNIKUA50_E">#REF!</definedName>
    <definedName name="PRIPOJUHELNIKUA75100">#REF!</definedName>
    <definedName name="PRIPOJUHELNIKUA75100_A">#REF!</definedName>
    <definedName name="PRIPOJUHELNIKUA75100_B">#REF!</definedName>
    <definedName name="PRIPOJUHELNIKUA75100_C">#REF!</definedName>
    <definedName name="PRIPOJUHELNIKUA75100_D">#REF!</definedName>
    <definedName name="PRIPOJUHELNIKUA75100_E">#REF!</definedName>
    <definedName name="Procenta">#REF!</definedName>
    <definedName name="PROFILC146S50">#REF!</definedName>
    <definedName name="PROFILC146S50_A">#REF!</definedName>
    <definedName name="PROFILC146S50_B">#REF!</definedName>
    <definedName name="PROFILC146S50_C">#REF!</definedName>
    <definedName name="PROFILC146S50_D">#REF!</definedName>
    <definedName name="PROFILC146S50_E">#REF!</definedName>
    <definedName name="PROFILC95S12">#REF!</definedName>
    <definedName name="PROFILC95S12_A">#REF!</definedName>
    <definedName name="PROFILC95S12_B">#REF!</definedName>
    <definedName name="PROFILC95S12_C">#REF!</definedName>
    <definedName name="PROFILC95S12_D">#REF!</definedName>
    <definedName name="PROFILC95S12_E">#REF!</definedName>
    <definedName name="PROFILSPAROVY13X27">#REF!</definedName>
    <definedName name="PROFILSPAROVY13X27_A">#REF!</definedName>
    <definedName name="PROFILSPAROVY13X27_B">#REF!</definedName>
    <definedName name="PROFILSPAROVY13X27_C">#REF!</definedName>
    <definedName name="PROFILSPAROVY13X27_D">#REF!</definedName>
    <definedName name="PROFILSPAROVY13X27_E">#REF!</definedName>
    <definedName name="PROFILSPAROVY13X27MM">#REF!</definedName>
    <definedName name="PROFINMIX">#REF!</definedName>
    <definedName name="PROFINMIX_A">#REF!</definedName>
    <definedName name="PROFINMIX_B">#REF!</definedName>
    <definedName name="PROFINMIX_C">#REF!</definedName>
    <definedName name="PROFINMIX_D">#REF!</definedName>
    <definedName name="PROFINMIX_E">#REF!</definedName>
    <definedName name="Projektant">#REF!</definedName>
    <definedName name="prva">#REF!</definedName>
    <definedName name="Přehled">#REF!</definedName>
    <definedName name="Přehled_1">0</definedName>
    <definedName name="Přehled_2">#REF!</definedName>
    <definedName name="PřehledCen">#REF!</definedName>
    <definedName name="Přirážka">#REF!</definedName>
    <definedName name="PřirážkaLippok">[32]LON!#REF!</definedName>
    <definedName name="PSV">[18]Rekapitulace!$F$9</definedName>
    <definedName name="PSV0">[18]Položky!#REF!</definedName>
    <definedName name="PT">#REF!</definedName>
    <definedName name="Q">#REF!</definedName>
    <definedName name="QQ">#REF!</definedName>
    <definedName name="QQQ">#REF!</definedName>
    <definedName name="qqqqqq">#REF!</definedName>
    <definedName name="qwe">#REF!</definedName>
    <definedName name="qwefgerg">#REF!</definedName>
    <definedName name="r_zie_dop">#REF!</definedName>
    <definedName name="r_zie_m">#REF!</definedName>
    <definedName name="r_zie_r">#REF!</definedName>
    <definedName name="Rabat">#REF!</definedName>
    <definedName name="Rabat_skupina">#REF!</definedName>
    <definedName name="Rabatová_skupina">#REF!</definedName>
    <definedName name="RB12.5">#REF!</definedName>
    <definedName name="RB12.5_A">#REF!</definedName>
    <definedName name="RB12.5_B">#REF!</definedName>
    <definedName name="RB12.5_C">#REF!</definedName>
    <definedName name="RB12.5_D">#REF!</definedName>
    <definedName name="RB12.5_E">#REF!</definedName>
    <definedName name="RB15_A">#REF!</definedName>
    <definedName name="RB15_B">#REF!</definedName>
    <definedName name="RB15_C">#REF!</definedName>
    <definedName name="RB15_D">#REF!</definedName>
    <definedName name="RB15_E">#REF!</definedName>
    <definedName name="RB9.5">#REF!</definedName>
    <definedName name="RB9.5_A">#REF!</definedName>
    <definedName name="RB9.5_B">#REF!</definedName>
    <definedName name="RB9.5_C">#REF!</definedName>
    <definedName name="RB9.5_D">#REF!</definedName>
    <definedName name="RB9.5_E">#REF!</definedName>
    <definedName name="RBI12.5">#REF!</definedName>
    <definedName name="RBI12.5_A">#REF!</definedName>
    <definedName name="RBI12.5_B">#REF!</definedName>
    <definedName name="RBI12.5_C">#REF!</definedName>
    <definedName name="RBI12.5_D">#REF!</definedName>
    <definedName name="RBI12.5_E">#REF!</definedName>
    <definedName name="RBI15_A">#REF!</definedName>
    <definedName name="RBI15_B">#REF!</definedName>
    <definedName name="RBI15_C">#REF!</definedName>
    <definedName name="RBI15_D">#REF!</definedName>
    <definedName name="RBI15_E">#REF!</definedName>
    <definedName name="re">#REF!</definedName>
    <definedName name="Reference">#REF!</definedName>
    <definedName name="REKAPITULACE">'[8]SO 11.1A Výkaz výměr'!#REF!</definedName>
    <definedName name="REKAPITULACE_2">'[8]SO 11.1A Výkaz výměr'!#REF!</definedName>
    <definedName name="rergerg">#REF!</definedName>
    <definedName name="ret">#REF!</definedName>
    <definedName name="rez" localSheetId="11">#REF!</definedName>
    <definedName name="rez" localSheetId="12">#REF!</definedName>
    <definedName name="rez">#REF!</definedName>
    <definedName name="RF12.5">#REF!</definedName>
    <definedName name="RF12.5_A">#REF!</definedName>
    <definedName name="RF12.5_B">#REF!</definedName>
    <definedName name="RF12.5_C">#REF!</definedName>
    <definedName name="RF12.5_D">#REF!</definedName>
    <definedName name="RF12.5_E">#REF!</definedName>
    <definedName name="RF15_A">#REF!</definedName>
    <definedName name="RF15_B">#REF!</definedName>
    <definedName name="RF15_C">#REF!</definedName>
    <definedName name="RF15_D">#REF!</definedName>
    <definedName name="RF15_E">#REF!</definedName>
    <definedName name="RF18_A">#REF!</definedName>
    <definedName name="RF18_B">#REF!</definedName>
    <definedName name="RF18_C">#REF!</definedName>
    <definedName name="RF18_D">#REF!</definedName>
    <definedName name="RF18_E">#REF!</definedName>
    <definedName name="RF20_A">#REF!</definedName>
    <definedName name="RF20_B">#REF!</definedName>
    <definedName name="RF20_C">#REF!</definedName>
    <definedName name="RF20_D">#REF!</definedName>
    <definedName name="RF20_E">#REF!</definedName>
    <definedName name="RF25_A">#REF!</definedName>
    <definedName name="RF25_B">#REF!</definedName>
    <definedName name="RF25_C">#REF!</definedName>
    <definedName name="RF25_D">#REF!</definedName>
    <definedName name="RF25_E">#REF!</definedName>
    <definedName name="RFI12.5">#REF!</definedName>
    <definedName name="RFI12.5_A">#REF!</definedName>
    <definedName name="RFI12.5_B">#REF!</definedName>
    <definedName name="RFI12.5_C">#REF!</definedName>
    <definedName name="RFI12.5_D">#REF!</definedName>
    <definedName name="RFI12.5_E">#REF!</definedName>
    <definedName name="RFI15_A">#REF!</definedName>
    <definedName name="RFI15_B">#REF!</definedName>
    <definedName name="RFI15_C">#REF!</definedName>
    <definedName name="RFI15_D">#REF!</definedName>
    <definedName name="RFI15_E">#REF!</definedName>
    <definedName name="rg">#REF!</definedName>
    <definedName name="Rídící_systém">#REF!</definedName>
    <definedName name="RIDURIT15">#REF!</definedName>
    <definedName name="RIDURIT15_A">#REF!</definedName>
    <definedName name="RIDURIT15_B">#REF!</definedName>
    <definedName name="RIDURIT15_C">#REF!</definedName>
    <definedName name="RIDURIT15_D">#REF!</definedName>
    <definedName name="RIDURIT15_E">#REF!</definedName>
    <definedName name="RIDURIT20">#REF!</definedName>
    <definedName name="RIDURIT20_A">#REF!</definedName>
    <definedName name="RIDURIT20_B">#REF!</definedName>
    <definedName name="RIDURIT20_C">#REF!</definedName>
    <definedName name="RIDURIT20_D">#REF!</definedName>
    <definedName name="RIDURIT20_E">#REF!</definedName>
    <definedName name="RIDURIT25">#REF!</definedName>
    <definedName name="RIDURIT25_A">#REF!</definedName>
    <definedName name="RIDURIT25_B">#REF!</definedName>
    <definedName name="RIDURIT25_C">#REF!</definedName>
    <definedName name="RIDURIT25_D">#REF!</definedName>
    <definedName name="RIDURIT25_E">#REF!</definedName>
    <definedName name="RIFLEX10">#REF!</definedName>
    <definedName name="RIFLEX10_A">#REF!</definedName>
    <definedName name="RIFLEX10_B">#REF!</definedName>
    <definedName name="RIFLEX10_C">#REF!</definedName>
    <definedName name="RIFLEX10_D">#REF!</definedName>
    <definedName name="RIFLEX10_E">#REF!</definedName>
    <definedName name="RIFLEX12.5">#REF!</definedName>
    <definedName name="RIFLEX12.5_A">#REF!</definedName>
    <definedName name="RIFLEX12.5_B">#REF!</definedName>
    <definedName name="RIFLEX12.5_C">#REF!</definedName>
    <definedName name="RIFLEX12.5_D">#REF!</definedName>
    <definedName name="RIFLEX12.5_E">#REF!</definedName>
    <definedName name="RIFLEX6">#REF!</definedName>
    <definedName name="RIFLEX6_A">#REF!</definedName>
    <definedName name="RIFLEX6_B">#REF!</definedName>
    <definedName name="RIFLEX6_C">#REF!</definedName>
    <definedName name="RIFLEX6_D">#REF!</definedName>
    <definedName name="RIFLEX6_E">#REF!</definedName>
    <definedName name="RIGIDUR">#REF!</definedName>
    <definedName name="RIGIDUR_A">#REF!</definedName>
    <definedName name="RIGIDUR_B">#REF!</definedName>
    <definedName name="RIGIDUR_C">#REF!</definedName>
    <definedName name="RIGIDUR_D">#REF!</definedName>
    <definedName name="RIGIDUR_E">#REF!</definedName>
    <definedName name="RIGIDUR10MF">#REF!</definedName>
    <definedName name="RIGIDUR10MF_A">#REF!</definedName>
    <definedName name="RIGIDUR10MF_B">#REF!</definedName>
    <definedName name="RIGIDUR10MF_C">#REF!</definedName>
    <definedName name="RIGIDUR10MF_D">#REF!</definedName>
    <definedName name="RIGIDUR10MF_E">#REF!</definedName>
    <definedName name="RIGIDUR10MM">#REF!</definedName>
    <definedName name="RIGIDUR10MM_A">#REF!</definedName>
    <definedName name="RIGIDUR10MM_B">#REF!</definedName>
    <definedName name="RIGIDUR10MM_C">#REF!</definedName>
    <definedName name="RIGIDUR10MM_D">#REF!</definedName>
    <definedName name="RIGIDUR10MM_E">#REF!</definedName>
    <definedName name="RIGIDUR12.5MM">#REF!</definedName>
    <definedName name="RIGIDUR12.5MM_A">#REF!</definedName>
    <definedName name="RIGIDUR12.5MM_B">#REF!</definedName>
    <definedName name="RIGIDUR12.5MM_C">#REF!</definedName>
    <definedName name="RIGIDUR12.5MM_D">#REF!</definedName>
    <definedName name="RIGIDUR12.5MM_E">#REF!</definedName>
    <definedName name="RIGIDUR20PS">#REF!</definedName>
    <definedName name="RIGIDUR20PS_A">#REF!</definedName>
    <definedName name="RIGIDUR20PS_B">#REF!</definedName>
    <definedName name="RIGIDUR20PS_C">#REF!</definedName>
    <definedName name="RIGIDUR20PS_D">#REF!</definedName>
    <definedName name="RIGIDUR20PS_E">#REF!</definedName>
    <definedName name="RIGIDUR30PS">#REF!</definedName>
    <definedName name="RIGIDUR30PS_A">#REF!</definedName>
    <definedName name="RIGIDUR30PS_B">#REF!</definedName>
    <definedName name="RIGIDUR30PS_C">#REF!</definedName>
    <definedName name="RIGIDUR30PS_D">#REF!</definedName>
    <definedName name="RIGIDUR30PS_E">#REF!</definedName>
    <definedName name="RIGIPLAN">#REF!</definedName>
    <definedName name="RIGIPLAN_A">#REF!</definedName>
    <definedName name="RIGIPLAN_B">#REF!</definedName>
    <definedName name="RIGIPLAN_C">#REF!</definedName>
    <definedName name="RIGIPLAN_D">#REF!</definedName>
    <definedName name="RIGIPLAN_E">#REF!</definedName>
    <definedName name="RIGIPLAN10MF">#REF!</definedName>
    <definedName name="RIGIPLAN10MF_A">#REF!</definedName>
    <definedName name="RIGIPLAN10MF_B">#REF!</definedName>
    <definedName name="RIGIPLAN10MF_C">#REF!</definedName>
    <definedName name="RIGIPLAN10MF_D">#REF!</definedName>
    <definedName name="RIGIPLAN10MF_E">#REF!</definedName>
    <definedName name="RIGIPLAN125">#REF!</definedName>
    <definedName name="RIGIPLAN125_A">#REF!</definedName>
    <definedName name="RIGIPLAN125_B">#REF!</definedName>
    <definedName name="RIGIPLAN125_C">#REF!</definedName>
    <definedName name="RIGIPLAN125_D">#REF!</definedName>
    <definedName name="RIGIPLAN125_E">#REF!</definedName>
    <definedName name="RIGIPLAN20PS">#REF!</definedName>
    <definedName name="RIGIPLAN20PS_A">#REF!</definedName>
    <definedName name="RIGIPLAN20PS_B">#REF!</definedName>
    <definedName name="RIGIPLAN20PS_C">#REF!</definedName>
    <definedName name="RIGIPLAN20PS_D">#REF!</definedName>
    <definedName name="RIGIPLAN20PS_E">#REF!</definedName>
    <definedName name="RIGIPLANLEPIDLO_A">#REF!</definedName>
    <definedName name="RIGIPLANLEPIDLO_B">#REF!</definedName>
    <definedName name="RIGIPLANLEPIDLO_C">#REF!</definedName>
    <definedName name="RIGIPLANLEPIDLO_D">#REF!</definedName>
    <definedName name="RIGIPLANLEPIDLO_E">#REF!</definedName>
    <definedName name="RIGIPLANSTERKA">#REF!</definedName>
    <definedName name="RIGIPLANSTERKA_A">#REF!</definedName>
    <definedName name="RIGIPLANSTERKA_B">#REF!</definedName>
    <definedName name="RIGIPLANSTERKA_C">#REF!</definedName>
    <definedName name="RIGIPLANSTERKA_D">#REF!</definedName>
    <definedName name="RIGIPLANSTERKA_E">#REF!</definedName>
    <definedName name="RIGISTILCD">#REF!</definedName>
    <definedName name="RIGISTILCD_A">#REF!</definedName>
    <definedName name="RIGISTILCD_B">#REF!</definedName>
    <definedName name="RIGISTILCD_C">#REF!</definedName>
    <definedName name="RIGISTILCD_D">#REF!</definedName>
    <definedName name="RIGISTILCD_E">#REF!</definedName>
    <definedName name="RIGISTILUD">#REF!</definedName>
    <definedName name="RIGISTILUD_A">#REF!</definedName>
    <definedName name="RIGISTILUD_B">#REF!</definedName>
    <definedName name="RIGISTILUD_C">#REF!</definedName>
    <definedName name="RIGISTILUD_D">#REF!</definedName>
    <definedName name="RIGISTILUD_E">#REF!</definedName>
    <definedName name="RIGITHERM20NF_A">#REF!</definedName>
    <definedName name="RIGITHERM20NF_B">#REF!</definedName>
    <definedName name="RIGITHERM20NF_C">#REF!</definedName>
    <definedName name="RIGITHERM20NF_D">#REF!</definedName>
    <definedName name="RIGITHERM20NF_E">#REF!</definedName>
    <definedName name="RIGITHERM20PS">#REF!</definedName>
    <definedName name="RIGITHERM20PS_A">#REF!</definedName>
    <definedName name="RIGITHERM20PS_B">#REF!</definedName>
    <definedName name="RIGITHERM20PS_C">#REF!</definedName>
    <definedName name="RIGITHERM20PS_D">#REF!</definedName>
    <definedName name="RIGITHERM20PS_E">#REF!</definedName>
    <definedName name="RIGITHERM30PS">#REF!</definedName>
    <definedName name="RIGITHERM30PS_A">#REF!</definedName>
    <definedName name="RIGITHERM30PS_B">#REF!</definedName>
    <definedName name="RIGITHERM30PS_C">#REF!</definedName>
    <definedName name="RIGITHERM30PS_D">#REF!</definedName>
    <definedName name="RIGITHERM30PS_E">#REF!</definedName>
    <definedName name="RIGITHERM40PS">#REF!</definedName>
    <definedName name="RIGITHERM40PS_A">#REF!</definedName>
    <definedName name="RIGITHERM40PS_B">#REF!</definedName>
    <definedName name="RIGITHERM40PS_C">#REF!</definedName>
    <definedName name="RIGITHERM40PS_D">#REF!</definedName>
    <definedName name="RIGITHERM40PS_E">#REF!</definedName>
    <definedName name="RIGITHERM50PS">#REF!</definedName>
    <definedName name="RIGITHERM50PS_A">#REF!</definedName>
    <definedName name="RIGITHERM50PS_B">#REF!</definedName>
    <definedName name="RIGITHERM50PS_C">#REF!</definedName>
    <definedName name="RIGITHERM50PS_D">#REF!</definedName>
    <definedName name="RIGITHERM50PS_E">#REF!</definedName>
    <definedName name="RIGITHERM60PS">#REF!</definedName>
    <definedName name="RIGITHERM60PS_A">#REF!</definedName>
    <definedName name="RIGITHERM60PS_B">#REF!</definedName>
    <definedName name="RIGITHERM60PS_C">#REF!</definedName>
    <definedName name="RIGITHERM60PS_D">#REF!</definedName>
    <definedName name="RIGITHERM60PS_E">#REF!</definedName>
    <definedName name="RIGITHERM70PS">#REF!</definedName>
    <definedName name="RIGITHERM70PS_A">#REF!</definedName>
    <definedName name="RIGITHERM70PS_B">#REF!</definedName>
    <definedName name="RIGITHERM70PS_C">#REF!</definedName>
    <definedName name="RIGITHERM70PS_D">#REF!</definedName>
    <definedName name="RIGITHERM70PS_E">#REF!</definedName>
    <definedName name="RM">[22]dodav!$B:$D</definedName>
    <definedName name="rmn">[23]dodav!$B:$D</definedName>
    <definedName name="RMVIMPERK">[24]mont!$B:$D</definedName>
    <definedName name="Rok_nabídky" localSheetId="11">#REF!</definedName>
    <definedName name="Rok_nabídky" localSheetId="12">#REF!</definedName>
    <definedName name="Rok_nabídky">#REF!</definedName>
    <definedName name="Rok_nabídky_1">0</definedName>
    <definedName name="Rok_nabídky_2">#REF!</definedName>
    <definedName name="rozp_X" localSheetId="11">#REF!,#REF!,#REF!,#REF!,#REF!,#REF!,#REF!,#REF!,#REF!,#REF!,#REF!,#REF!,#REF!,#REF!,#REF!,#REF!,#REF!,#REF!,#REF!,#REF!</definedName>
    <definedName name="rozp_X" localSheetId="12">#REF!,#REF!,#REF!,#REF!,#REF!,#REF!,#REF!,#REF!,#REF!,#REF!,#REF!,#REF!,#REF!,#REF!,#REF!,#REF!,#REF!,#REF!,#REF!,#REF!</definedName>
    <definedName name="rozp_X">#REF!,#REF!,#REF!,#REF!,#REF!,#REF!,#REF!,#REF!,#REF!,#REF!,#REF!,#REF!,#REF!,#REF!,#REF!,#REF!,#REF!,#REF!,#REF!,#REF!</definedName>
    <definedName name="Rozpočet">#REF!</definedName>
    <definedName name="rozvržení_rozp">#REF!</definedName>
    <definedName name="RV">#REF!</definedName>
    <definedName name="RYCHLOSROUB2123525" localSheetId="11">#REF!</definedName>
    <definedName name="RYCHLOSROUB2123525" localSheetId="12">#REF!</definedName>
    <definedName name="RYCHLOSROUB2123525">#REF!</definedName>
    <definedName name="RYCHLOSROUB2123525_A" localSheetId="11">#REF!</definedName>
    <definedName name="RYCHLOSROUB2123525_A" localSheetId="12">#REF!</definedName>
    <definedName name="RYCHLOSROUB2123525_A">#REF!</definedName>
    <definedName name="RYCHLOSROUB2123525_B" localSheetId="11">#REF!</definedName>
    <definedName name="RYCHLOSROUB2123525_B" localSheetId="12">#REF!</definedName>
    <definedName name="RYCHLOSROUB2123525_B">#REF!</definedName>
    <definedName name="RYCHLOSROUB2123525_C">#REF!</definedName>
    <definedName name="RYCHLOSROUB2123525_D">#REF!</definedName>
    <definedName name="RYCHLOSROUB2123525_E">#REF!</definedName>
    <definedName name="RYCHLOSROUB2123535">#REF!</definedName>
    <definedName name="RYCHLOSROUB2123535_A">#REF!</definedName>
    <definedName name="RYCHLOSROUB2123535_B">#REF!</definedName>
    <definedName name="RYCHLOSROUB2123535_C">#REF!</definedName>
    <definedName name="RYCHLOSROUB2123535_D">#REF!</definedName>
    <definedName name="RYCHLOSROUB2123535_E">#REF!</definedName>
    <definedName name="RYCHLOSROUB2123545">#REF!</definedName>
    <definedName name="RYCHLOSROUB2123545_A">#REF!</definedName>
    <definedName name="RYCHLOSROUB2123545_B">#REF!</definedName>
    <definedName name="RYCHLOSROUB2123545_C">#REF!</definedName>
    <definedName name="RYCHLOSROUB2123545_D">#REF!</definedName>
    <definedName name="RYCHLOSROUB2123545_E">#REF!</definedName>
    <definedName name="RYCHLOSROUB2123555">#REF!</definedName>
    <definedName name="RYCHLOSROUB2123555_A">#REF!</definedName>
    <definedName name="RYCHLOSROUB2123555_B">#REF!</definedName>
    <definedName name="RYCHLOSROUB2123555_C">#REF!</definedName>
    <definedName name="RYCHLOSROUB2123555_D">#REF!</definedName>
    <definedName name="RYCHLOSROUB2123555_E">#REF!</definedName>
    <definedName name="RYCHLOZAVESKAZETOVY">#REF!</definedName>
    <definedName name="RYCHLOZAVESKAZETOVY_A">#REF!</definedName>
    <definedName name="RYCHLOZAVESKAZETOVY_B">#REF!</definedName>
    <definedName name="RYCHLOZAVESKAZETOVY_C">#REF!</definedName>
    <definedName name="RYCHLOZAVESKAZETOVY_D">#REF!</definedName>
    <definedName name="RYCHLOZAVESKAZETOVY_E">#REF!</definedName>
    <definedName name="RYCHLOZAVESPEROVY">#REF!</definedName>
    <definedName name="RYCHLOZAVESPEROVY_A">#REF!</definedName>
    <definedName name="RYCHLOZAVESPEROVY_B">#REF!</definedName>
    <definedName name="RYCHLOZAVESPEROVY_C">#REF!</definedName>
    <definedName name="RYCHLOZAVESPEROVY_D">#REF!</definedName>
    <definedName name="RYCHLOZAVESPEROVY_E">#REF!</definedName>
    <definedName name="RYCHLOZAVESPEROVYCTYRBODOVY">#REF!</definedName>
    <definedName name="RYCHLOZAVESPEROVYCTYRBODOVY_A">#REF!</definedName>
    <definedName name="RYCHLOZAVESPEROVYCTYRBODOVY_B">#REF!</definedName>
    <definedName name="RYCHLOZAVESPEROVYCTYRBODOVY_C">#REF!</definedName>
    <definedName name="RYCHLOZAVESPEROVYCTYRBODOVY_D">#REF!</definedName>
    <definedName name="RYCHLOZAVESPEROVYCTYRBODOVY_E">#REF!</definedName>
    <definedName name="RYCHLOZAVESPEROVYDREVO">#REF!</definedName>
    <definedName name="RYCHLOZAVESPEROVYDREVO_A">#REF!</definedName>
    <definedName name="RYCHLOZAVESPEROVYDREVO_B">#REF!</definedName>
    <definedName name="RYCHLOZAVESPEROVYDREVO_C">#REF!</definedName>
    <definedName name="RYCHLOZAVESPEROVYDREVO_D">#REF!</definedName>
    <definedName name="RYCHLOZAVESPEROVYDREVO_E">#REF!</definedName>
    <definedName name="S">#REF!</definedName>
    <definedName name="Sádrokartonové_konstrukce">'[8]SO 11.1A Výkaz výměr'!#REF!</definedName>
    <definedName name="SAMOLEPICIPASKA" localSheetId="11">#REF!</definedName>
    <definedName name="SAMOLEPICIPASKA" localSheetId="12">#REF!</definedName>
    <definedName name="SAMOLEPICIPASKA">#REF!</definedName>
    <definedName name="SAMOLEPICIPASKA_A" localSheetId="11">#REF!</definedName>
    <definedName name="SAMOLEPICIPASKA_A" localSheetId="12">#REF!</definedName>
    <definedName name="SAMOLEPICIPASKA_A">#REF!</definedName>
    <definedName name="SAMOLEPICIPASKA_B" localSheetId="11">#REF!</definedName>
    <definedName name="SAMOLEPICIPASKA_B" localSheetId="12">#REF!</definedName>
    <definedName name="SAMOLEPICIPASKA_B">#REF!</definedName>
    <definedName name="SAMOLEPICIPASKA_C">#REF!</definedName>
    <definedName name="SAMOLEPICIPASKA_D">#REF!</definedName>
    <definedName name="SAMOLEPICIPASKA_E">#REF!</definedName>
    <definedName name="SazbaDPH1">'[10]Krycí list'!$C$30</definedName>
    <definedName name="SazbaDPH2">'[10]Krycí list'!$C$32</definedName>
    <definedName name="SC">#REF!</definedName>
    <definedName name="SC_12">#REF!</definedName>
    <definedName name="SC_34">#REF!</definedName>
    <definedName name="SC_50">#REF!</definedName>
    <definedName name="sd">[12]MaR!#REF!</definedName>
    <definedName name="sdf">#REF!</definedName>
    <definedName name="sfasdfa" localSheetId="11">#REF!</definedName>
    <definedName name="sfasdfa" localSheetId="12">#REF!</definedName>
    <definedName name="sfasdfa">#REF!</definedName>
    <definedName name="SILIKON" localSheetId="11">#REF!</definedName>
    <definedName name="SILIKON" localSheetId="12">#REF!</definedName>
    <definedName name="SILIKON">#REF!</definedName>
    <definedName name="SILIKON_A" localSheetId="11">#REF!</definedName>
    <definedName name="SILIKON_A" localSheetId="12">#REF!</definedName>
    <definedName name="SILIKON_A">#REF!</definedName>
    <definedName name="SILIKON_B">#REF!</definedName>
    <definedName name="SILIKON_C">#REF!</definedName>
    <definedName name="SILIKON_D">#REF!</definedName>
    <definedName name="SILIKON_E">#REF!</definedName>
    <definedName name="SILIKONSANITARNI">#REF!</definedName>
    <definedName name="SILIKONSANITARNI_A">#REF!</definedName>
    <definedName name="SILIKONSANITARNI_B">#REF!</definedName>
    <definedName name="SILIKONSANITARNI_C">#REF!</definedName>
    <definedName name="SILIKONSANITARNI_D">#REF!</definedName>
    <definedName name="SILIKONSANITARNI_E">#REF!</definedName>
    <definedName name="silnoproud">[4]Budova!$A$950:$A$1397</definedName>
    <definedName name="SKELNAPASKA" localSheetId="11">#REF!</definedName>
    <definedName name="SKELNAPASKA" localSheetId="12">#REF!</definedName>
    <definedName name="SKELNAPASKA">#REF!</definedName>
    <definedName name="SKELNAPASKA_A" localSheetId="11">#REF!</definedName>
    <definedName name="SKELNAPASKA_A" localSheetId="12">#REF!</definedName>
    <definedName name="SKELNAPASKA_A">#REF!</definedName>
    <definedName name="SKELNAPASKA_B" localSheetId="11">#REF!</definedName>
    <definedName name="SKELNAPASKA_B" localSheetId="12">#REF!</definedName>
    <definedName name="SKELNAPASKA_B">#REF!</definedName>
    <definedName name="SKELNAPASKA_C">#REF!</definedName>
    <definedName name="SKELNAPASKA_D">#REF!</definedName>
    <definedName name="SKELNAPASKA_E">#REF!</definedName>
    <definedName name="Sklad">#REF!</definedName>
    <definedName name="skuska">#N/A</definedName>
    <definedName name="Sl_sk_1">#REF!</definedName>
    <definedName name="Sl_sk_2">#REF!</definedName>
    <definedName name="slaboproud">[4]Budova!$A$1696:$A$1918</definedName>
    <definedName name="Sleva">#REF!</definedName>
    <definedName name="SlevaEnbra">[25]Ost!#REF!</definedName>
    <definedName name="SlevaLDMGiac">[25]VentPoh!#REF!</definedName>
    <definedName name="SlevaRittal">[25]Silno!#REF!</definedName>
    <definedName name="SlevaSCA">[25]VentPoh!#REF!</definedName>
    <definedName name="SlevaSchrackrele">[25]Silno!#REF!</definedName>
    <definedName name="SlevaSontex">[25]Ost!#REF!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sn">#REF!</definedName>
    <definedName name="SO_01_01__Příprava_území">#REF!</definedName>
    <definedName name="SO_01_02_Vjezdy_a_výjezdy_na_staveniště">#REF!</definedName>
    <definedName name="SO_01_03_Vodovodní_přípojka_na_staveniště">#REF!</definedName>
    <definedName name="SO_01_04_Kanalizační_přípojka_na_staveniště">#REF!</definedName>
    <definedName name="SO_01_06_El._přípojka_pro_zařízení_staveniště">#REF!</definedName>
    <definedName name="SO_01_07_Telefonní_přípojka_staveniště">#REF!</definedName>
    <definedName name="SO_01_08_Ochrana_pěšího_provozu">#REF!</definedName>
    <definedName name="SO_01_12_Ochrana_inž.sítí">#REF!</definedName>
    <definedName name="SO_01_20_Rekonstrukce_v_odstavných_kolejích">#REF!</definedName>
    <definedName name="SO_01_21_Hloubené_tunely">#REF!</definedName>
    <definedName name="SO_04_22_Hloubené_tunely_v_ul._Trojská">#REF!</definedName>
    <definedName name="SO_05_21__Stanice_Kobylisy">#REF!</definedName>
    <definedName name="SO_06_21_Jednokolejné_tunely_před_st._Kobylisy">#REF!</definedName>
    <definedName name="SO_06_26_Ražená_HGB_v_km_14_960_L.K.">#REF!</definedName>
    <definedName name="SO_07_91_Větrací_objekty">#REF!</definedName>
    <definedName name="SO01_06___STAVEBNÍ_OBJEKT">#REF!</definedName>
    <definedName name="SOKLOVALISTAPVC_A" localSheetId="11">#REF!</definedName>
    <definedName name="SOKLOVALISTAPVC_A" localSheetId="12">#REF!</definedName>
    <definedName name="SOKLOVALISTAPVC_A">#REF!</definedName>
    <definedName name="SOKLOVALISTAPVC_B" localSheetId="11">#REF!</definedName>
    <definedName name="SOKLOVALISTAPVC_B" localSheetId="12">#REF!</definedName>
    <definedName name="SOKLOVALISTAPVC_B">#REF!</definedName>
    <definedName name="SOKLOVALISTAPVC_C" localSheetId="11">#REF!</definedName>
    <definedName name="SOKLOVALISTAPVC_C" localSheetId="12">#REF!</definedName>
    <definedName name="SOKLOVALISTAPVC_C">#REF!</definedName>
    <definedName name="SOKLOVALISTAPVC_D">#REF!</definedName>
    <definedName name="SOKLOVALISTAPVC_E">#REF!</definedName>
    <definedName name="Specifikace">#REF!</definedName>
    <definedName name="Specifikace_1">0</definedName>
    <definedName name="Specifikace_2">#REF!</definedName>
    <definedName name="Spodek">#REF!</definedName>
    <definedName name="SPOJKACDRIGISTIL">#REF!</definedName>
    <definedName name="SPOJKACDRIGISTIL_A">#REF!</definedName>
    <definedName name="SPOJKACDRIGISTIL_B">#REF!</definedName>
    <definedName name="SPOJKACDRIGISTIL_C">#REF!</definedName>
    <definedName name="SPOJKACDRIGISTIL_D">#REF!</definedName>
    <definedName name="SPOJKACDRIGISTIL_E">#REF!</definedName>
    <definedName name="SPOJKACDUROVNOVA">#REF!</definedName>
    <definedName name="SPOJKACDUROVNOVA_A">#REF!</definedName>
    <definedName name="SPOJKACDUROVNOVA_B">#REF!</definedName>
    <definedName name="SPOJKACDUROVNOVA_C">#REF!</definedName>
    <definedName name="SPOJKACDUROVNOVA_D">#REF!</definedName>
    <definedName name="SPOJKACDUROVNOVA_E">#REF!</definedName>
    <definedName name="SPOJOVACIKUSCD">#REF!</definedName>
    <definedName name="SPOJOVACIKUSCD_A">#REF!</definedName>
    <definedName name="SPOJOVACIKUSCD_B">#REF!</definedName>
    <definedName name="SPOJOVACIKUSCD_C">#REF!</definedName>
    <definedName name="SPOJOVACIKUSCD_D">#REF!</definedName>
    <definedName name="SPOJOVACIKUSCD_E">#REF!</definedName>
    <definedName name="SROUBKPATKAM">#REF!</definedName>
    <definedName name="SROUBKPATKAM_A">#REF!</definedName>
    <definedName name="SROUBKPATKAM_B">#REF!</definedName>
    <definedName name="SROUBKPATKAM_C">#REF!</definedName>
    <definedName name="SROUBKPATKAM_D">#REF!</definedName>
    <definedName name="SROUBKPATKAM_E">#REF!</definedName>
    <definedName name="SROUBRIDURIT3535">#REF!</definedName>
    <definedName name="SROUBRIDURIT3535_A">#REF!</definedName>
    <definedName name="SROUBRIDURIT3535_B">#REF!</definedName>
    <definedName name="SROUBRIDURIT3535_C">#REF!</definedName>
    <definedName name="SROUBRIDURIT3535_D">#REF!</definedName>
    <definedName name="SROUBRIDURIT3535_E">#REF!</definedName>
    <definedName name="SROUBRIDURIT3545">#REF!</definedName>
    <definedName name="SROUBRIDURIT3545_A">#REF!</definedName>
    <definedName name="SROUBRIDURIT3545_B">#REF!</definedName>
    <definedName name="SROUBRIDURIT3545_C">#REF!</definedName>
    <definedName name="SROUBRIDURIT3545_D">#REF!</definedName>
    <definedName name="SROUBRIDURIT3545_E">#REF!</definedName>
    <definedName name="SROUBRIDURIT3555_A">#REF!</definedName>
    <definedName name="SROUBRIDURIT3555_B">#REF!</definedName>
    <definedName name="SROUBRIDURIT3555_C">#REF!</definedName>
    <definedName name="SROUBRIDURIT3555_D">#REF!</definedName>
    <definedName name="SROUBRIDURIT3555_E">#REF!</definedName>
    <definedName name="SROUBSHROTEM2213525">#REF!</definedName>
    <definedName name="SROUBSHROTEM2213525_A">#REF!</definedName>
    <definedName name="SROUBSHROTEM2213525_B">#REF!</definedName>
    <definedName name="SROUBSHROTEM2213525_C">#REF!</definedName>
    <definedName name="SROUBSHROTEM2213525_D">#REF!</definedName>
    <definedName name="SROUBSHROTEM2213525_E">#REF!</definedName>
    <definedName name="SROUBSHROTEM2213535">#REF!</definedName>
    <definedName name="SROUBSHROTEM2213535_A">#REF!</definedName>
    <definedName name="SROUBSHROTEM2213535_B">#REF!</definedName>
    <definedName name="SROUBSHROTEM2213535_C">#REF!</definedName>
    <definedName name="SROUBSHROTEM2213535_D">#REF!</definedName>
    <definedName name="SROUBSHROTEM2213535_E">#REF!</definedName>
    <definedName name="SROUBSHROTEM2213545">#REF!</definedName>
    <definedName name="SROUBSHROTEM2213545_A">#REF!</definedName>
    <definedName name="SROUBSHROTEM2213545_B">#REF!</definedName>
    <definedName name="SROUBSHROTEM2213545_C">#REF!</definedName>
    <definedName name="SROUBSHROTEM2213545_D">#REF!</definedName>
    <definedName name="SROUBSHROTEM2213545_E">#REF!</definedName>
    <definedName name="SROUBSHROTEM2213560">#REF!</definedName>
    <definedName name="SROUBSHROTEM2213560_A">#REF!</definedName>
    <definedName name="SROUBSHROTEM2213560_B">#REF!</definedName>
    <definedName name="SROUBSHROTEM2213560_C">#REF!</definedName>
    <definedName name="SROUBSHROTEM2213560_D">#REF!</definedName>
    <definedName name="SROUBSHROTEM2213560_E">#REF!</definedName>
    <definedName name="SROUBSHROTEM2213570_A">#REF!</definedName>
    <definedName name="SROUBSHROTEM2213570_B">#REF!</definedName>
    <definedName name="SROUBSHROTEM2213570_C">#REF!</definedName>
    <definedName name="SROUBSHROTEM2213570_D">#REF!</definedName>
    <definedName name="SROUBSHROTEM2213570_E">#REF!</definedName>
    <definedName name="SROUBSPLOCHOUHLAVOU4214">#REF!</definedName>
    <definedName name="SROUBSPLOCHOUHLAVOU4214_A">#REF!</definedName>
    <definedName name="SROUBSPLOCHOUHLAVOU4214_B">#REF!</definedName>
    <definedName name="SROUBSPLOCHOUHLAVOU4214_C">#REF!</definedName>
    <definedName name="SROUBSPLOCHOUHLAVOU4214_D">#REF!</definedName>
    <definedName name="SROUBSPLOCHOUHLAVOU4214_E">#REF!</definedName>
    <definedName name="SROUBTEXY4213595">#REF!</definedName>
    <definedName name="SROUBTEXY4213595_A">#REF!</definedName>
    <definedName name="SROUBTEXY4213595_B">#REF!</definedName>
    <definedName name="SROUBTEXY4213595_C">#REF!</definedName>
    <definedName name="SROUBTEXY4213595_D">#REF!</definedName>
    <definedName name="SROUBTEXY4213595_E">#REF!</definedName>
    <definedName name="SROUBTEXYDLOUHY4213919">#REF!</definedName>
    <definedName name="SROUBTEXYDLOUHY4213919_A">#REF!</definedName>
    <definedName name="SROUBTEXYDLOUHY4213919_B">#REF!</definedName>
    <definedName name="SROUBTEXYDLOUHY4213919_C">#REF!</definedName>
    <definedName name="SROUBTEXYDLOUHY4213919_D">#REF!</definedName>
    <definedName name="SROUBTEXYDLOUHY4213919_E">#REF!</definedName>
    <definedName name="SROUBTEXYSTREDNI4214213">#REF!</definedName>
    <definedName name="SROUBTEXYSTREDNI4214213_A">#REF!</definedName>
    <definedName name="SROUBTEXYSTREDNI4214213_B">#REF!</definedName>
    <definedName name="SROUBTEXYSTREDNI4214213_C">#REF!</definedName>
    <definedName name="SROUBTEXYSTREDNI4214213_D">#REF!</definedName>
    <definedName name="SROUBTEXYSTREDNI4214213_E">#REF!</definedName>
    <definedName name="ssss">#REF!</definedName>
    <definedName name="SSSSS">'[6]01'!$A$8:$A$10,'[6]01'!$A$14:$A$16,'[6]01'!$A$20:$A$22,'[6]01'!$A$26:$A$28,'[6]01'!$A$32:$A$34,'[6]01'!$A$38:$A$40,'[6]01'!$A$44:$A$46,'[6]01'!$A$50:$A$52,'[6]01'!$A$56:$A$58,'[6]01'!$A$62:$A$64,'[6]01'!$A$68:$A$70,'[6]01'!$A$74:$A$76,'[6]01'!$A$80:$A$82,'[6]01'!$A$86:$A$88,'[6]01'!$A$92:$A$94,'[6]01'!$A$98:$A$100,'[6]01'!$A$104:$A$106,'[6]01'!$A$110:$A$112,'[6]01'!$A$116:$A$118,'[6]01'!$A$122:$A$124</definedName>
    <definedName name="ssssss" localSheetId="11">#REF!</definedName>
    <definedName name="ssssss" localSheetId="12">#REF!</definedName>
    <definedName name="ssssss">#REF!</definedName>
    <definedName name="STANDARD" localSheetId="11">#REF!</definedName>
    <definedName name="STANDARD" localSheetId="12">#REF!</definedName>
    <definedName name="STANDARD">#REF!</definedName>
    <definedName name="STANDARD_A">#REF!</definedName>
    <definedName name="STANDARD_B">#REF!</definedName>
    <definedName name="STANDARD_C">#REF!</definedName>
    <definedName name="STANDARD_D">#REF!</definedName>
    <definedName name="STANDARD_E">#REF!</definedName>
    <definedName name="statika">[4]Budova!$A$787:$A$825</definedName>
    <definedName name="staveb">[4]Budova!$A$10:$A$688</definedName>
    <definedName name="STAVECITRMEN35" localSheetId="11">#REF!</definedName>
    <definedName name="STAVECITRMEN35" localSheetId="12">#REF!</definedName>
    <definedName name="STAVECITRMEN35">#REF!</definedName>
    <definedName name="STAVECITRMEN35_A" localSheetId="11">#REF!</definedName>
    <definedName name="STAVECITRMEN35_A" localSheetId="12">#REF!</definedName>
    <definedName name="STAVECITRMEN35_A">#REF!</definedName>
    <definedName name="STAVECITRMEN35_B" localSheetId="11">#REF!</definedName>
    <definedName name="STAVECITRMEN35_B" localSheetId="12">#REF!</definedName>
    <definedName name="STAVECITRMEN35_B">#REF!</definedName>
    <definedName name="STAVECITRMEN35_C">#REF!</definedName>
    <definedName name="STAVECITRMEN35_D">#REF!</definedName>
    <definedName name="STAVECITRMEN35_E">#REF!</definedName>
    <definedName name="STAVECITRMEN65">#REF!</definedName>
    <definedName name="STAVECITRMEN65_A">#REF!</definedName>
    <definedName name="STAVECITRMEN65_B">#REF!</definedName>
    <definedName name="STAVECITRMEN65_C">#REF!</definedName>
    <definedName name="STAVECITRMEN65_D">#REF!</definedName>
    <definedName name="STAVECITRMEN65_E">#REF!</definedName>
    <definedName name="STAVECITRMEN95">#REF!</definedName>
    <definedName name="STAVECITRMEN95_A">#REF!</definedName>
    <definedName name="STAVECITRMEN95_B">#REF!</definedName>
    <definedName name="STAVECITRMEN95_C">#REF!</definedName>
    <definedName name="STAVECITRMEN95_D">#REF!</definedName>
    <definedName name="STAVECITRMEN95_E">#REF!</definedName>
    <definedName name="STROPNIHREBDN6">#REF!</definedName>
    <definedName name="STROPNIHREBDN6_A">#REF!</definedName>
    <definedName name="STROPNIHREBDN6_B">#REF!</definedName>
    <definedName name="STROPNIHREBDN6_C">#REF!</definedName>
    <definedName name="STROPNIHREBDN6_D">#REF!</definedName>
    <definedName name="STROPNIHREBDN6_E">#REF!</definedName>
    <definedName name="subslevy">#REF!</definedName>
    <definedName name="sum_memrekapdph">#REF!</definedName>
    <definedName name="sum_prekap">#REF!</definedName>
    <definedName name="sumpok" localSheetId="11">[7]Rozpočet!#REF!</definedName>
    <definedName name="sumpok" localSheetId="12">[7]Rozpočet!#REF!</definedName>
    <definedName name="sumpok">#REF!</definedName>
    <definedName name="SUPER" localSheetId="11">#REF!</definedName>
    <definedName name="SUPER" localSheetId="12">#REF!</definedName>
    <definedName name="SUPER">#REF!</definedName>
    <definedName name="SUPER_A" localSheetId="11">#REF!</definedName>
    <definedName name="SUPER_A" localSheetId="12">#REF!</definedName>
    <definedName name="SUPER_A">#REF!</definedName>
    <definedName name="SUPER_B" localSheetId="11">#REF!</definedName>
    <definedName name="SUPER_B" localSheetId="12">#REF!</definedName>
    <definedName name="SUPER_B">#REF!</definedName>
    <definedName name="SUPER_C">#REF!</definedName>
    <definedName name="SUPER_D">#REF!</definedName>
    <definedName name="SUPER_E">#REF!</definedName>
    <definedName name="SVORKANOSNIKU130210">#REF!</definedName>
    <definedName name="SVORKANOSNIKU130210_A">#REF!</definedName>
    <definedName name="SVORKANOSNIKU130210_B">#REF!</definedName>
    <definedName name="SVORKANOSNIKU130210_C">#REF!</definedName>
    <definedName name="SVORKANOSNIKU130210_D">#REF!</definedName>
    <definedName name="SVORKANOSNIKU130210_E">#REF!</definedName>
    <definedName name="SVORKANOSNIKU5085">#REF!</definedName>
    <definedName name="SVORKANOSNIKU5085_A">#REF!</definedName>
    <definedName name="SVORKANOSNIKU5085_B">#REF!</definedName>
    <definedName name="SVORKANOSNIKU5085_C">#REF!</definedName>
    <definedName name="SVORKANOSNIKU5085_D">#REF!</definedName>
    <definedName name="SVORKANOSNIKU5085_E">#REF!</definedName>
    <definedName name="SVORKANOSNIKU85130">#REF!</definedName>
    <definedName name="SVORKANOSNIKU85130_A">#REF!</definedName>
    <definedName name="SVORKANOSNIKU85130_B">#REF!</definedName>
    <definedName name="SVORKANOSNIKU85130_C">#REF!</definedName>
    <definedName name="SVORKANOSNIKU85130_D">#REF!</definedName>
    <definedName name="SVORKANOSNIKU85130_E">#REF!</definedName>
    <definedName name="SWnákup">#REF!</definedName>
    <definedName name="SWprodej">#REF!</definedName>
    <definedName name="Systém">[25]Rozp!#REF!</definedName>
    <definedName name="sz_be">#REF!</definedName>
    <definedName name="sz_ma">#REF!</definedName>
    <definedName name="sz_pf">#REF!</definedName>
    <definedName name="sz_sc">#REF!</definedName>
    <definedName name="sz_sch">#REF!</definedName>
    <definedName name="sz_so">#REF!</definedName>
    <definedName name="sz_sp">#REF!</definedName>
    <definedName name="sz_st">#REF!</definedName>
    <definedName name="T">#REF!</definedName>
    <definedName name="T1_12">#REF!</definedName>
    <definedName name="T1_34">#REF!</definedName>
    <definedName name="T1_50">#REF!</definedName>
    <definedName name="TABLE_1">"$xx.$#REF!$#REF!:$#REF!$#REF!"</definedName>
    <definedName name="TABLE_10_1">"$xx.$#REF!$#REF!:$#REF!$#REF!"</definedName>
    <definedName name="TABLE_11_1">"$xx.$#REF!$#REF!:$#REF!$#REF!"</definedName>
    <definedName name="TABLE_12_1">"$xx.$#REF!$#REF!:$#REF!$#REF!"</definedName>
    <definedName name="TABLE_13_1">"$xx.$#REF!$#REF!:$#REF!$#REF!"</definedName>
    <definedName name="TABLE_2_1">"$xx.$#REF!$#REF!:$#REF!$#REF!"</definedName>
    <definedName name="TABLE_3_1">"$xx.$#REF!$#REF!:$#REF!$#REF!"</definedName>
    <definedName name="TABLE_4_1">"$xx.$#REF!$#REF!:$#REF!$#REF!"</definedName>
    <definedName name="TABLE_5_1">"$xx.$#REF!$#REF!:$#REF!$#REF!"</definedName>
    <definedName name="TABLE_6_1">"$xx.$#REF!$#REF!:$#REF!$#REF!"</definedName>
    <definedName name="TABLE_7_1">"$xx.$#REF!$#REF!:$#REF!$#REF!"</definedName>
    <definedName name="TABLE_8_1">"$xx.$#REF!$#REF!:$#REF!$#REF!"</definedName>
    <definedName name="TABLE_9_1">"$xx.$#REF!$#REF!:$#REF!$#REF!"</definedName>
    <definedName name="TAPETA_T1006" localSheetId="11">#REF!</definedName>
    <definedName name="TAPETA_T1006" localSheetId="12">#REF!</definedName>
    <definedName name="TAPETA_T1006">#REF!</definedName>
    <definedName name="TAPETA_T1006_A" localSheetId="11">#REF!</definedName>
    <definedName name="TAPETA_T1006_A" localSheetId="12">#REF!</definedName>
    <definedName name="TAPETA_T1006_A">#REF!</definedName>
    <definedName name="TAPETA_T1006_B" localSheetId="11">#REF!</definedName>
    <definedName name="TAPETA_T1006_B" localSheetId="12">#REF!</definedName>
    <definedName name="TAPETA_T1006_B">#REF!</definedName>
    <definedName name="TAPETA_T1006_C">#REF!</definedName>
    <definedName name="TAPETA_T1006_D">#REF!</definedName>
    <definedName name="TAPETA_T1006_E">#REF!</definedName>
    <definedName name="TECHROCK40MM">#REF!</definedName>
    <definedName name="TECHROCK40MM_A">#REF!</definedName>
    <definedName name="TECHROCK40MM_B">#REF!</definedName>
    <definedName name="TECHROCK40MM_C">#REF!</definedName>
    <definedName name="TECHROCK40MM_D">#REF!</definedName>
    <definedName name="TECHROCK40MM_E">#REF!</definedName>
    <definedName name="TECHROCK50MM">#REF!</definedName>
    <definedName name="TECHROCK50MM_A">#REF!</definedName>
    <definedName name="TECHROCK50MM_B">#REF!</definedName>
    <definedName name="TECHROCK50MM_C">#REF!</definedName>
    <definedName name="TECHROCK50MM_D">#REF!</definedName>
    <definedName name="TECHROCK50MM_E">#REF!</definedName>
    <definedName name="TECHROCK60KG50MM">#REF!</definedName>
    <definedName name="TECHROCK60KG50MM_A">#REF!</definedName>
    <definedName name="TECHROCK60KG50MM_B">#REF!</definedName>
    <definedName name="TECHROCK60KG50MM_C">#REF!</definedName>
    <definedName name="TECHROCK60KG50MM_D">#REF!</definedName>
    <definedName name="TECHROCK60KG50MM_E">#REF!</definedName>
    <definedName name="TESNENIPENOVE30">#REF!</definedName>
    <definedName name="TESNENIPENOVE30_A">#REF!</definedName>
    <definedName name="TESNENIPENOVE30_B">#REF!</definedName>
    <definedName name="TESNENIPENOVE30_C">#REF!</definedName>
    <definedName name="TESNENIPENOVE30_D">#REF!</definedName>
    <definedName name="TESNENIPENOVE30_E">#REF!</definedName>
    <definedName name="TESNENIPENOVE50">#REF!</definedName>
    <definedName name="TESNENIPENOVE50_A">#REF!</definedName>
    <definedName name="TESNENIPENOVE50_B">#REF!</definedName>
    <definedName name="TESNENIPENOVE50_C">#REF!</definedName>
    <definedName name="TESNENIPENOVE50_D">#REF!</definedName>
    <definedName name="TESNENIPENOVE50_E">#REF!</definedName>
    <definedName name="TESNENIPENOVE70">#REF!</definedName>
    <definedName name="TESNENIPENOVE70_A">#REF!</definedName>
    <definedName name="TESNENIPENOVE70_B">#REF!</definedName>
    <definedName name="TESNENIPENOVE70_C">#REF!</definedName>
    <definedName name="TESNENIPENOVE70_D">#REF!</definedName>
    <definedName name="TESNENIPENOVE70_E">#REF!</definedName>
    <definedName name="TESNENIPENOVE95">#REF!</definedName>
    <definedName name="TESNENIPENOVE95_A">#REF!</definedName>
    <definedName name="TESNENIPENOVE95_B">#REF!</definedName>
    <definedName name="TESNENIPENOVE95_C">#REF!</definedName>
    <definedName name="TESNENIPENOVE95_D">#REF!</definedName>
    <definedName name="TESNENIPENOVE95_E">#REF!</definedName>
    <definedName name="THERMATEX_FEINFRESKO_SK">#REF!</definedName>
    <definedName name="THERMATEX_FEINGELOCHT_SK">#REF!</definedName>
    <definedName name="THERMATEX_FENFRESKO_VT">#REF!</definedName>
    <definedName name="THERMATEX_LAGUNA">#REF!</definedName>
    <definedName name="Thermatex_Laguna_SK">#REF!</definedName>
    <definedName name="THERMATEXECOMIN">#REF!</definedName>
    <definedName name="THERMATEXECOMIN_A">#REF!</definedName>
    <definedName name="THERMATEXECOMIN_B">#REF!</definedName>
    <definedName name="THERMATEXECOMIN_C">#REF!</definedName>
    <definedName name="THERMATEXECOMIN_D">#REF!</definedName>
    <definedName name="THERMATEXECOMIN_E">#REF!</definedName>
    <definedName name="TK">#REF!</definedName>
    <definedName name="tłu">#REF!</definedName>
    <definedName name="TMELRIDURIT">#REF!</definedName>
    <definedName name="TMELRIDURIT_A">#REF!</definedName>
    <definedName name="TMELRIDURIT_B">#REF!</definedName>
    <definedName name="TMELRIDURIT_C">#REF!</definedName>
    <definedName name="TMELRIDURIT_D">#REF!</definedName>
    <definedName name="TMELRIDURIT_E">#REF!</definedName>
    <definedName name="top_memrekapdph">#REF!</definedName>
    <definedName name="top_phlavy">#REF!</definedName>
    <definedName name="top_rkap">#REF!</definedName>
    <definedName name="top_rozpocty">#REF!</definedName>
    <definedName name="top_rpolozky">#REF!</definedName>
    <definedName name="TP">#REF!</definedName>
    <definedName name="TRAMERE24">#REF!</definedName>
    <definedName name="TRAMERE24_A">#REF!</definedName>
    <definedName name="TRAMERE24_B">#REF!</definedName>
    <definedName name="TRAMERE24_C">#REF!</definedName>
    <definedName name="TRAMERE24_D">#REF!</definedName>
    <definedName name="TRAMERE24_E">#REF!</definedName>
    <definedName name="trew">#REF!</definedName>
    <definedName name="TRHACINYT">#REF!</definedName>
    <definedName name="TRHACINYT_A">#REF!</definedName>
    <definedName name="TRHACINYT_B">#REF!</definedName>
    <definedName name="TRHACINYT_C">#REF!</definedName>
    <definedName name="TRHACINYT_D">#REF!</definedName>
    <definedName name="TRHACINYT_E">#REF!</definedName>
    <definedName name="TWF14050_A">#REF!</definedName>
    <definedName name="TWF14050_B">#REF!</definedName>
    <definedName name="TWF14050_C">#REF!</definedName>
    <definedName name="TWF14050_D">#REF!</definedName>
    <definedName name="TWF14050_E">#REF!</definedName>
    <definedName name="TWF16075_A">#REF!</definedName>
    <definedName name="TWF16075_B">#REF!</definedName>
    <definedName name="TWF16075_C">#REF!</definedName>
    <definedName name="TWF16075_D">#REF!</definedName>
    <definedName name="TWF16075_E">#REF!</definedName>
    <definedName name="TWF180100_A">#REF!</definedName>
    <definedName name="TWF180100_B">#REF!</definedName>
    <definedName name="TWF180100_C">#REF!</definedName>
    <definedName name="TWF180100_D">#REF!</definedName>
    <definedName name="TWF180100_E">#REF!</definedName>
    <definedName name="TWP1100_A">#REF!</definedName>
    <definedName name="TWP1100_B">#REF!</definedName>
    <definedName name="TWP1100_C">#REF!</definedName>
    <definedName name="TWP1100_D">#REF!</definedName>
    <definedName name="TWP1100_E">#REF!</definedName>
    <definedName name="TWP1120_A">#REF!</definedName>
    <definedName name="TWP1120_B">#REF!</definedName>
    <definedName name="TWP1120_C">#REF!</definedName>
    <definedName name="TWP1120_D">#REF!</definedName>
    <definedName name="TWP1120_E">#REF!</definedName>
    <definedName name="TWP1140_A">#REF!</definedName>
    <definedName name="TWP1140_B">#REF!</definedName>
    <definedName name="TWP1140_C">#REF!</definedName>
    <definedName name="TWP1140_D">#REF!</definedName>
    <definedName name="TWP1140_E">#REF!</definedName>
    <definedName name="TWP140_A">#REF!</definedName>
    <definedName name="TWP140_B">#REF!</definedName>
    <definedName name="TWP140_C">#REF!</definedName>
    <definedName name="TWP140_D">#REF!</definedName>
    <definedName name="TWP140_E">#REF!</definedName>
    <definedName name="TWP150_A">#REF!</definedName>
    <definedName name="TWP150_B">#REF!</definedName>
    <definedName name="TWP150_C">#REF!</definedName>
    <definedName name="TWP150_D">#REF!</definedName>
    <definedName name="TWP150_E">#REF!</definedName>
    <definedName name="TWP160_A">#REF!</definedName>
    <definedName name="TWP160_B">#REF!</definedName>
    <definedName name="TWP160_C">#REF!</definedName>
    <definedName name="TWP160_D">#REF!</definedName>
    <definedName name="TWP160_E">#REF!</definedName>
    <definedName name="TWP180_A">#REF!</definedName>
    <definedName name="TWP180_B">#REF!</definedName>
    <definedName name="TWP180_C">#REF!</definedName>
    <definedName name="TWP180_D">#REF!</definedName>
    <definedName name="TWP180_E">#REF!</definedName>
    <definedName name="Typ" localSheetId="11">[12]MaR!$C$151:$C$161,[12]MaR!$C$44:$C$143</definedName>
    <definedName name="Typ" localSheetId="12">[12]MaR!$C$151:$C$161,[12]MaR!$C$44:$C$143</definedName>
    <definedName name="Typ">[18]Položky!#REF!</definedName>
    <definedName name="Typ_2">([14]MaR!$C$151:$C$161,[14]MaR!$C$44:$C$143)</definedName>
    <definedName name="u">'[33]Roboty sanitarne'!#REF!</definedName>
    <definedName name="UA100_A" localSheetId="11">#REF!</definedName>
    <definedName name="UA100_A" localSheetId="12">#REF!</definedName>
    <definedName name="UA100_A">#REF!</definedName>
    <definedName name="UA100_B" localSheetId="11">#REF!</definedName>
    <definedName name="UA100_B" localSheetId="12">#REF!</definedName>
    <definedName name="UA100_B">#REF!</definedName>
    <definedName name="UA100_C" localSheetId="11">#REF!</definedName>
    <definedName name="UA100_C" localSheetId="12">#REF!</definedName>
    <definedName name="UA100_C">#REF!</definedName>
    <definedName name="UA100_D">#REF!</definedName>
    <definedName name="UA100_E">#REF!</definedName>
    <definedName name="UA50_A">#REF!</definedName>
    <definedName name="UA50_B">#REF!</definedName>
    <definedName name="UA50_C">#REF!</definedName>
    <definedName name="UA50_D">#REF!</definedName>
    <definedName name="UA50_E">#REF!</definedName>
    <definedName name="UA75_A">#REF!</definedName>
    <definedName name="UA75_B">#REF!</definedName>
    <definedName name="UA75_C">#REF!</definedName>
    <definedName name="UA75_D">#REF!</definedName>
    <definedName name="UA75_E">#REF!</definedName>
    <definedName name="UD28_A">#REF!</definedName>
    <definedName name="UD28_B">#REF!</definedName>
    <definedName name="UD28_C">#REF!</definedName>
    <definedName name="UD28_D">#REF!</definedName>
    <definedName name="UD28_E">#REF!</definedName>
    <definedName name="UD30_A">#REF!</definedName>
    <definedName name="UD30_B">#REF!</definedName>
    <definedName name="UD30_C">#REF!</definedName>
    <definedName name="UD30_D">#REF!</definedName>
    <definedName name="UD30_E">#REF!</definedName>
    <definedName name="UHELNIKSUVNYUA100_A">#REF!</definedName>
    <definedName name="UHELNIKSUVNYUA100_B">#REF!</definedName>
    <definedName name="UHELNIKSUVNYUA100_C">#REF!</definedName>
    <definedName name="UHELNIKSUVNYUA100_D">#REF!</definedName>
    <definedName name="UHELNIKSUVNYUA100_E">#REF!</definedName>
    <definedName name="UHELNIKSUVNYUA50_A">#REF!</definedName>
    <definedName name="UHELNIKSUVNYUA50_B">#REF!</definedName>
    <definedName name="UHELNIKSUVNYUA50_C">#REF!</definedName>
    <definedName name="UHELNIKSUVNYUA50_D">#REF!</definedName>
    <definedName name="UHELNIKSUVNYUA50_E">#REF!</definedName>
    <definedName name="UHELNIKSUVNYUA75_A">#REF!</definedName>
    <definedName name="UHELNIKSUVNYUA75_B">#REF!</definedName>
    <definedName name="UHELNIKSUVNYUA75_C">#REF!</definedName>
    <definedName name="UHELNIKSUVNYUA75_D">#REF!</definedName>
    <definedName name="UHELNIKSUVNYUA75_E">#REF!</definedName>
    <definedName name="UHLOVAKOTVA">#REF!</definedName>
    <definedName name="UHLOVAKOTVA_A">#REF!</definedName>
    <definedName name="UHLOVAKOTVA_B">#REF!</definedName>
    <definedName name="UHLOVAKOTVA_C">#REF!</definedName>
    <definedName name="UHLOVAKOTVA_D">#REF!</definedName>
    <definedName name="UHLOVAKOTVA_E">#REF!</definedName>
    <definedName name="UKONCLISTAALU13X24_A">#REF!</definedName>
    <definedName name="UKONCLISTAALU13X24_B">#REF!</definedName>
    <definedName name="UKONCLISTAALU13X24_C">#REF!</definedName>
    <definedName name="UKONCLISTAALU13X24_D">#REF!</definedName>
    <definedName name="UKONCLISTAALU13X24_E">#REF!</definedName>
    <definedName name="UKONCPROFILPVC20X12.5">#REF!</definedName>
    <definedName name="UKONCPROFILPVC20X12.5_A">#REF!</definedName>
    <definedName name="UKONCPROFILPVC20X12.5_B">#REF!</definedName>
    <definedName name="UKONCPROFILPVC20X12.5_C">#REF!</definedName>
    <definedName name="UKONCPROFILPVC20X12.5_D">#REF!</definedName>
    <definedName name="UKONCPROFILPVC20X12.5_E">#REF!</definedName>
    <definedName name="UKONCPROFILPVC20X15_A">#REF!</definedName>
    <definedName name="UKONCPROFILPVC20X15_B">#REF!</definedName>
    <definedName name="UKONCPROFILPVC20X15_C">#REF!</definedName>
    <definedName name="UKONCPROFILPVC20X15_D">#REF!</definedName>
    <definedName name="UKONCPROFILPVC20X15_E">#REF!</definedName>
    <definedName name="UPROFIL_A">#REF!</definedName>
    <definedName name="UPROFIL_B">#REF!</definedName>
    <definedName name="UPROFIL_C">#REF!</definedName>
    <definedName name="UPROFIL_D">#REF!</definedName>
    <definedName name="UPROFIL_E">#REF!</definedName>
    <definedName name="UPROFILALTEKO">#REF!</definedName>
    <definedName name="usd">#REF!</definedName>
    <definedName name="UV">#REF!</definedName>
    <definedName name="UW100_A">#REF!</definedName>
    <definedName name="UW100_B">#REF!</definedName>
    <definedName name="UW100_C">#REF!</definedName>
    <definedName name="UW100_D">#REF!</definedName>
    <definedName name="UW100_E">#REF!</definedName>
    <definedName name="UW100HRANA100">#REF!</definedName>
    <definedName name="UW100HRANA100_A">#REF!</definedName>
    <definedName name="UW100HRANA100_B">#REF!</definedName>
    <definedName name="UW100HRANA100_C">#REF!</definedName>
    <definedName name="UW100HRANA100_D">#REF!</definedName>
    <definedName name="UW100HRANA100_E">#REF!</definedName>
    <definedName name="UW150_A">#REF!</definedName>
    <definedName name="UW150_B">#REF!</definedName>
    <definedName name="UW150_C">#REF!</definedName>
    <definedName name="UW150_D">#REF!</definedName>
    <definedName name="UW150_E">#REF!</definedName>
    <definedName name="UW50_A">#REF!</definedName>
    <definedName name="UW50_B">#REF!</definedName>
    <definedName name="UW50_C">#REF!</definedName>
    <definedName name="UW50_D">#REF!</definedName>
    <definedName name="UW50_E">#REF!</definedName>
    <definedName name="UW75_A">#REF!</definedName>
    <definedName name="UW75_B">#REF!</definedName>
    <definedName name="UW75_C">#REF!</definedName>
    <definedName name="UW75_D">#REF!</definedName>
    <definedName name="UW75_E">#REF!</definedName>
    <definedName name="V">#REF!</definedName>
    <definedName name="VARIO">#REF!</definedName>
    <definedName name="VARIO_A">#REF!</definedName>
    <definedName name="VARIO_B">#REF!</definedName>
    <definedName name="VARIO_C">#REF!</definedName>
    <definedName name="VARIO_D">#REF!</definedName>
    <definedName name="VARIO_E">#REF!</definedName>
    <definedName name="VIKOELEKTROKRABICE">#REF!</definedName>
    <definedName name="VIKOELEKTROKRABICE_A">#REF!</definedName>
    <definedName name="VIKOELEKTROKRABICE_B">#REF!</definedName>
    <definedName name="VIKOELEKTROKRABICE_C">#REF!</definedName>
    <definedName name="VIKOELEKTROKRABICE_D">#REF!</definedName>
    <definedName name="VIKOELEKTROKRABICE_E">#REF!</definedName>
    <definedName name="VIMPERK">[24]DATA_INSTR!$B:$F</definedName>
    <definedName name="VIMPERK1">[24]DATA_INSTR!$A:$F</definedName>
    <definedName name="vlevo" localSheetId="11">#REF!</definedName>
    <definedName name="vlevo" localSheetId="12">#REF!</definedName>
    <definedName name="vlevo">#REF!</definedName>
    <definedName name="VN">'[5]SO 01 - 06 ELEKTROINSTALACE'!$B$9644</definedName>
    <definedName name="Vodorovné_konstrukce">'[26]SO 51.4 Výkaz výměr'!#REF!</definedName>
    <definedName name="VRN">[18]Rekapitulace!$H$15</definedName>
    <definedName name="VRNKc">[2]rekapitulace!#REF!</definedName>
    <definedName name="VRNnazev">[2]rekapitulace!#REF!</definedName>
    <definedName name="VRNproc">[2]rekapitulace!#REF!</definedName>
    <definedName name="VRNzakl">[2]rekapitulace!#REF!</definedName>
    <definedName name="VRUTDOSVISLYCHZAVESU4835" localSheetId="11">#REF!</definedName>
    <definedName name="VRUTDOSVISLYCHZAVESU4835" localSheetId="12">#REF!</definedName>
    <definedName name="VRUTDOSVISLYCHZAVESU4835">#REF!</definedName>
    <definedName name="VRUTDOSVISLYCHZAVESU4835_A" localSheetId="11">#REF!</definedName>
    <definedName name="VRUTDOSVISLYCHZAVESU4835_A" localSheetId="12">#REF!</definedName>
    <definedName name="VRUTDOSVISLYCHZAVESU4835_A">#REF!</definedName>
    <definedName name="VRUTDOSVISLYCHZAVESU4835_B" localSheetId="11">#REF!</definedName>
    <definedName name="VRUTDOSVISLYCHZAVESU4835_B" localSheetId="12">#REF!</definedName>
    <definedName name="VRUTDOSVISLYCHZAVESU4835_B">#REF!</definedName>
    <definedName name="VRUTDOSVISLYCHZAVESU4835_C">#REF!</definedName>
    <definedName name="VRUTDOSVISLYCHZAVESU4835_D">#REF!</definedName>
    <definedName name="VRUTDOSVISLYCHZAVESU4835_E">#REF!</definedName>
    <definedName name="VRUTDOSVISLYCHZAVESU4850">#REF!</definedName>
    <definedName name="VRUTDOSVISLYCHZAVESU4850_A">#REF!</definedName>
    <definedName name="VRUTDOSVISLYCHZAVESU4850_B">#REF!</definedName>
    <definedName name="VRUTDOSVISLYCHZAVESU4850_C">#REF!</definedName>
    <definedName name="VRUTDOSVISLYCHZAVESU4850_D">#REF!</definedName>
    <definedName name="VRUTDOSVISLYCHZAVESU4850_E">#REF!</definedName>
    <definedName name="výpočty">#REF!</definedName>
    <definedName name="vystup">#REF!</definedName>
    <definedName name="výtahy">[4]Budova!$A$1921:$A$1944</definedName>
    <definedName name="vytápění">[4]Budova!$A$1400:$A$1505</definedName>
    <definedName name="vzduchotechnika">[4]Budova!$A$1508:$A$1693</definedName>
    <definedName name="VZT">#REF!</definedName>
    <definedName name="W">#REF!</definedName>
    <definedName name="wrn.Tisk." hidden="1">{#N/A,#N/A,FALSE,"Nabídka";#N/A,#N/A,FALSE,"Specifikace"}</definedName>
    <definedName name="WW">#REF!</definedName>
    <definedName name="WWW">#REF!</definedName>
    <definedName name="wwwwww" localSheetId="11">#REF!</definedName>
    <definedName name="wwwwww" localSheetId="12">#REF!</definedName>
    <definedName name="wwwwww">#REF!</definedName>
    <definedName name="WWWWWWWW">#REF!</definedName>
    <definedName name="X">#REF!</definedName>
    <definedName name="xxxx">#REF!</definedName>
    <definedName name="z">'[34]SO 51.4 Výkaz výměr'!#REF!</definedName>
    <definedName name="Z_0216E4A3_6182_11D6_9494_000102FA4DF4_.wvu.Cols" hidden="1">#REF!</definedName>
    <definedName name="Z_0216E4A3_6182_11D6_9494_000102FA4DF4_.wvu.PrintArea" hidden="1">#REF!</definedName>
    <definedName name="Z_0216E4A3_6182_11D6_9494_000102FA4DF4_.wvu.PrintTitles" hidden="1">#REF!</definedName>
    <definedName name="Z_1E8618C1_1B4D_11D4_B32D_0050046A422B_.wvu.PrintTitles">#REF!</definedName>
    <definedName name="Z_1E8618C1_1B4D_11D4_B32D_0050046A422B_.wvu.Rows">#REF!</definedName>
    <definedName name="Z_65AC2F60_1B4A_11D4_81C5_0050046A4233_.wvu.PrintTitles">#REF!</definedName>
    <definedName name="Z_65AC2F60_1B4A_11D4_81C5_0050046A4233_.wvu.Rows">#REF!</definedName>
    <definedName name="Z_A6D38DCC_6184_11D6_8FBA_000476959415_.wvu.Cols" hidden="1">#REF!</definedName>
    <definedName name="Z_A6D38DCC_6184_11D6_8FBA_000476959415_.wvu.PrintArea" hidden="1">#REF!</definedName>
    <definedName name="Z_A6D38DCC_6184_11D6_8FBA_000476959415_.wvu.PrintTitles" hidden="1">#REF!</definedName>
    <definedName name="zacatek">#REF!</definedName>
    <definedName name="zahrnsazby" localSheetId="11">#REF!</definedName>
    <definedName name="zahrnsazby" localSheetId="12">#REF!</definedName>
    <definedName name="zahrnsazby">#REF!</definedName>
    <definedName name="zahrnslevy" localSheetId="11">#REF!</definedName>
    <definedName name="zahrnslevy" localSheetId="12">#REF!</definedName>
    <definedName name="zahrnslevy">#REF!</definedName>
    <definedName name="Zakazka">#REF!</definedName>
    <definedName name="Zaklad22">#REF!</definedName>
    <definedName name="Zaklad5">#REF!</definedName>
    <definedName name="ZakladDPHSni">[19]Stavba!$G$23</definedName>
    <definedName name="ZakladDPHZakl">[19]Stavba!$G$25</definedName>
    <definedName name="Základy">'[26]SO 51.4 Výkaz výměr'!#REF!</definedName>
    <definedName name="založ">[4]Budova!$A$691:$A$784</definedName>
    <definedName name="Zaokrouhleni">[19]Stavba!$G$27</definedName>
    <definedName name="ZARUBEN800100" localSheetId="11">#REF!</definedName>
    <definedName name="ZARUBEN800100" localSheetId="12">#REF!</definedName>
    <definedName name="ZARUBEN800100">#REF!</definedName>
    <definedName name="ZARUBEN800100_A" localSheetId="11">#REF!</definedName>
    <definedName name="ZARUBEN800100_A" localSheetId="12">#REF!</definedName>
    <definedName name="ZARUBEN800100_A">#REF!</definedName>
    <definedName name="ZARUBEN800100_B" localSheetId="11">#REF!</definedName>
    <definedName name="ZARUBEN800100_B" localSheetId="12">#REF!</definedName>
    <definedName name="ZARUBEN800100_B">#REF!</definedName>
    <definedName name="ZARUBEN800100_C">#REF!</definedName>
    <definedName name="ZARUBEN800100_D">#REF!</definedName>
    <definedName name="ZARUBEN800100_E">#REF!</definedName>
    <definedName name="ZARUBEN800125">#REF!</definedName>
    <definedName name="ZARUBEN800125_A">#REF!</definedName>
    <definedName name="ZARUBEN800125_B">#REF!</definedName>
    <definedName name="ZARUBEN800125_C">#REF!</definedName>
    <definedName name="ZARUBEN800125_D">#REF!</definedName>
    <definedName name="ZARUBEN800125_E">#REF!</definedName>
    <definedName name="ZARUBEN800150">#REF!</definedName>
    <definedName name="ZARUBEN800150_A">#REF!</definedName>
    <definedName name="ZARUBEN800150_B">#REF!</definedName>
    <definedName name="ZARUBEN800150_C">#REF!</definedName>
    <definedName name="ZARUBEN800150_D">#REF!</definedName>
    <definedName name="ZARUBEN800150_E">#REF!</definedName>
    <definedName name="ZARUBEN80075">#REF!</definedName>
    <definedName name="ZARUBEN80075_A">#REF!</definedName>
    <definedName name="ZARUBEN80075_B">#REF!</definedName>
    <definedName name="ZARUBEN80075_C">#REF!</definedName>
    <definedName name="ZARUBEN80075_D">#REF!</definedName>
    <definedName name="ZARUBEN80075_E">#REF!</definedName>
    <definedName name="ZARUBENM1250100">#REF!</definedName>
    <definedName name="ZARUBENM1250100_A">#REF!</definedName>
    <definedName name="ZARUBENM1250100_B">#REF!</definedName>
    <definedName name="ZARUBENM1250100_C">#REF!</definedName>
    <definedName name="ZARUBENM1250100_D">#REF!</definedName>
    <definedName name="ZARUBENM1250100_E">#REF!</definedName>
    <definedName name="ZARUBENM1450100">#REF!</definedName>
    <definedName name="ZARUBENM1450100_A">#REF!</definedName>
    <definedName name="ZARUBENM1450100_B">#REF!</definedName>
    <definedName name="ZARUBENM1450100_C">#REF!</definedName>
    <definedName name="ZARUBENM1450100_D">#REF!</definedName>
    <definedName name="ZARUBENM1450100_E">#REF!</definedName>
    <definedName name="ZARUBENM800100">#REF!</definedName>
    <definedName name="ZARUBENM800100_A">#REF!</definedName>
    <definedName name="ZARUBENM800100_B">#REF!</definedName>
    <definedName name="ZARUBENM800100_C">#REF!</definedName>
    <definedName name="ZARUBENM800100_D">#REF!</definedName>
    <definedName name="ZARUBENM800100_E">#REF!</definedName>
    <definedName name="ZARUBENM800125">#REF!</definedName>
    <definedName name="ZARUBENM800125_A">#REF!</definedName>
    <definedName name="ZARUBENM800125_B">#REF!</definedName>
    <definedName name="ZARUBENM800125_C">#REF!</definedName>
    <definedName name="ZARUBENM800125_D">#REF!</definedName>
    <definedName name="ZARUBENM800125_E">#REF!</definedName>
    <definedName name="ZARUBENM800150">#REF!</definedName>
    <definedName name="ZARUBENM800150_A">#REF!</definedName>
    <definedName name="ZARUBENM800150_C">#REF!</definedName>
    <definedName name="ZARUBENM800150_D">#REF!</definedName>
    <definedName name="ZARUBENM800150_E">#REF!</definedName>
    <definedName name="ZARUBENMT1100100">#REF!</definedName>
    <definedName name="ZARUBENMT1100100_A">#REF!</definedName>
    <definedName name="ZARUBENMT1100100_B">#REF!</definedName>
    <definedName name="ZARUBENMT1100100_C">#REF!</definedName>
    <definedName name="ZARUBENMT1100100_D">#REF!</definedName>
    <definedName name="ZARUBENMT1100100_E">#REF!</definedName>
    <definedName name="ZARUBENMT1250100">#REF!</definedName>
    <definedName name="ZARUBENMT1250100_A">#REF!</definedName>
    <definedName name="ZARUBENMT1250100_B">#REF!</definedName>
    <definedName name="ZARUBENMT1250100_C">#REF!</definedName>
    <definedName name="ZARUBENMT1250100_D">#REF!</definedName>
    <definedName name="ZARUBENMT1250100_E">#REF!</definedName>
    <definedName name="ZARUBENMT1450100">#REF!</definedName>
    <definedName name="ZARUBENMT1450100_A">#REF!</definedName>
    <definedName name="ZARUBENMT1450100_B">#REF!</definedName>
    <definedName name="ZARUBENMT1450100_C">#REF!</definedName>
    <definedName name="ZARUBENMT1450100_D">#REF!</definedName>
    <definedName name="ZARUBENMT1450100_E">#REF!</definedName>
    <definedName name="ZARUBENMT800100">#REF!</definedName>
    <definedName name="ZARUBENMT800100_A">#REF!</definedName>
    <definedName name="ZARUBENMT800100_B">#REF!</definedName>
    <definedName name="ZARUBENMT800100_C">#REF!</definedName>
    <definedName name="ZARUBENMT800100_D">#REF!</definedName>
    <definedName name="ZARUBENMT800100_E">#REF!</definedName>
    <definedName name="ZARUBENMT800125">#REF!</definedName>
    <definedName name="ZARUBENMT800125_A">#REF!</definedName>
    <definedName name="ZARUBENMT800125_B">#REF!</definedName>
    <definedName name="ZARUBENMT800125_C">#REF!</definedName>
    <definedName name="ZARUBENMT800125_D">#REF!</definedName>
    <definedName name="ZARUBENMT800125_E">#REF!</definedName>
    <definedName name="ZARUBENMT800150">#REF!</definedName>
    <definedName name="ZARUBENMT800150_A">#REF!</definedName>
    <definedName name="ZARUBENMT800150_B">#REF!</definedName>
    <definedName name="ZARUBENMT800150_C">#REF!</definedName>
    <definedName name="ZARUBENMT800150_D">#REF!</definedName>
    <definedName name="ZARUBENMT800150_E">#REF!</definedName>
    <definedName name="ZARUBENSILIKON800100">#REF!</definedName>
    <definedName name="ZARUBENSILIKON800100_A">#REF!</definedName>
    <definedName name="ZARUBENSILIKON800100_B">#REF!</definedName>
    <definedName name="ZARUBENSILIKON800100_C">#REF!</definedName>
    <definedName name="ZARUBENSILIKON800100_D">#REF!</definedName>
    <definedName name="ZARUBENSILIKON800100_E">#REF!</definedName>
    <definedName name="ZARUBENSILIKON800125">#REF!</definedName>
    <definedName name="ZARUBENSILIKON800125_A">#REF!</definedName>
    <definedName name="ZARUBENSILIKON800125_B">#REF!</definedName>
    <definedName name="ZARUBENSILIKON800125_C">#REF!</definedName>
    <definedName name="ZARUBENSILIKON800125_D">#REF!</definedName>
    <definedName name="ZARUBENSILIKON800125_E">#REF!</definedName>
    <definedName name="ZARUBENSILIKON800150">#REF!</definedName>
    <definedName name="ZARUBENSILIKON800150_A">#REF!</definedName>
    <definedName name="ZARUBENSILIKON800150_B">#REF!</definedName>
    <definedName name="ZARUBENSILIKON800150_C">#REF!</definedName>
    <definedName name="ZARUBENSILIKON800150_D">#REF!</definedName>
    <definedName name="ZARUBENSILIKON800150_E">#REF!</definedName>
    <definedName name="ZARUBENSILIKON80075">#REF!</definedName>
    <definedName name="ZARUBENSILIKON80075_A">#REF!</definedName>
    <definedName name="ZARUBENSILIKON80075_B">#REF!</definedName>
    <definedName name="ZARUBENSILIKON80075_C">#REF!</definedName>
    <definedName name="ZARUBENSILIKON80075_D">#REF!</definedName>
    <definedName name="ZARUBENSILIKON80075_E">#REF!</definedName>
    <definedName name="ZárukaNaCS">[25]Rozp!$C$22</definedName>
    <definedName name="ZAVESCD" localSheetId="11">#REF!</definedName>
    <definedName name="ZAVESCD" localSheetId="12">#REF!</definedName>
    <definedName name="ZAVESCD">#REF!</definedName>
    <definedName name="ZAVESCD_A" localSheetId="11">#REF!</definedName>
    <definedName name="ZAVESCD_A" localSheetId="12">#REF!</definedName>
    <definedName name="ZAVESCD_A">#REF!</definedName>
    <definedName name="ZAVESCD_B" localSheetId="11">#REF!</definedName>
    <definedName name="ZAVESCD_B" localSheetId="12">#REF!</definedName>
    <definedName name="ZAVESCD_B">#REF!</definedName>
    <definedName name="ZAVESCD_C">#REF!</definedName>
    <definedName name="ZAVESCD_D">#REF!</definedName>
    <definedName name="ZAVESCD_E">#REF!</definedName>
    <definedName name="ZAVESCDZAOBLENY_A">#REF!</definedName>
    <definedName name="ZAVESCDZAOBLENY_B">#REF!</definedName>
    <definedName name="ZAVESCDZAOBLENY_C">#REF!</definedName>
    <definedName name="ZAVESCDZAOBLENY_D">#REF!</definedName>
    <definedName name="ZAVESCDZAOBLENY_E">#REF!</definedName>
    <definedName name="ZAVESSPEREMRIGISTIL">#REF!</definedName>
    <definedName name="ZAVESSPEREMRIGISTIL_A">#REF!</definedName>
    <definedName name="ZAVESSPEREMRIGISTIL_B">#REF!</definedName>
    <definedName name="ZAVESSPEREMRIGISTIL_C">#REF!</definedName>
    <definedName name="ZAVESSPEREMRIGISTIL_D">#REF!</definedName>
    <definedName name="ZAVESSPEREMRIGISTIL_E">#REF!</definedName>
    <definedName name="zb">#REF!</definedName>
    <definedName name="zb_be">#REF!</definedName>
    <definedName name="zb_la">#REF!</definedName>
    <definedName name="zb_ła">#REF!</definedName>
    <definedName name="zb_ma">#REF!</definedName>
    <definedName name="zb_pf">#REF!</definedName>
    <definedName name="zb_rg">#REF!</definedName>
    <definedName name="zb_sc">#REF!</definedName>
    <definedName name="zb_sch">#REF!</definedName>
    <definedName name="zb_sp">#REF!</definedName>
    <definedName name="zb_st">#REF!</definedName>
    <definedName name="zb_stop">#REF!</definedName>
    <definedName name="Zemní_práce">'[26]SO 51.4 Výkaz výměr'!#REF!</definedName>
    <definedName name="Zhotovitel">#REF!</definedName>
    <definedName name="Zkou">[25]Rozp!#REF!</definedName>
    <definedName name="zti">[4]Budova!$A$828:$A$914</definedName>
    <definedName name="ZTUZENISTEN" localSheetId="11">#REF!</definedName>
    <definedName name="ZTUZENISTEN" localSheetId="12">#REF!</definedName>
    <definedName name="ZTUZENISTEN">#REF!</definedName>
    <definedName name="ZTUZENISTEN_A" localSheetId="11">#REF!</definedName>
    <definedName name="ZTUZENISTEN_A" localSheetId="12">#REF!</definedName>
    <definedName name="ZTUZENISTEN_A">#REF!</definedName>
    <definedName name="ZTUZENISTEN_B" localSheetId="11">#REF!</definedName>
    <definedName name="ZTUZENISTEN_B" localSheetId="12">#REF!</definedName>
    <definedName name="ZTUZENISTEN_B">#REF!</definedName>
    <definedName name="ZTUZENISTEN_C">#REF!</definedName>
    <definedName name="ZTUZENISTEN_D">#REF!</definedName>
    <definedName name="ZTUZENISTEN_E">#REF!</definedName>
    <definedName name="zukktzerukitýžuk">#REF!</definedName>
    <definedName name="zukuilůuiluil">#REF!</definedName>
    <definedName name="zukzikzukzuk">#REF!</definedName>
    <definedName name="zukzukuiluiluil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7" i="34" l="1"/>
  <c r="H37" i="34"/>
  <c r="I35" i="34"/>
  <c r="H35" i="34"/>
  <c r="F35" i="34"/>
  <c r="I34" i="34"/>
  <c r="H34" i="34"/>
  <c r="F34" i="34"/>
  <c r="I33" i="34"/>
  <c r="H33" i="34"/>
  <c r="F33" i="34"/>
  <c r="I32" i="34"/>
  <c r="H32" i="34"/>
  <c r="F32" i="34"/>
  <c r="E32" i="34"/>
  <c r="D32" i="34"/>
  <c r="I30" i="34"/>
  <c r="H30" i="34"/>
  <c r="F30" i="34"/>
  <c r="I29" i="34"/>
  <c r="H29" i="34"/>
  <c r="F29" i="34"/>
  <c r="I28" i="34"/>
  <c r="H28" i="34"/>
  <c r="F28" i="34"/>
  <c r="I26" i="34"/>
  <c r="H26" i="34"/>
  <c r="F26" i="34"/>
  <c r="I25" i="34"/>
  <c r="H25" i="34"/>
  <c r="F25" i="34"/>
  <c r="E25" i="34"/>
  <c r="I24" i="34"/>
  <c r="H24" i="34"/>
  <c r="F24" i="34"/>
  <c r="I23" i="34"/>
  <c r="H23" i="34"/>
  <c r="F23" i="34"/>
  <c r="I22" i="34"/>
  <c r="H22" i="34"/>
  <c r="F22" i="34"/>
  <c r="I21" i="34"/>
  <c r="H21" i="34"/>
  <c r="F21" i="34"/>
  <c r="I19" i="34"/>
  <c r="H19" i="34"/>
  <c r="F19" i="34"/>
  <c r="I18" i="34"/>
  <c r="H18" i="34"/>
  <c r="F18" i="34"/>
  <c r="I17" i="34"/>
  <c r="H17" i="34"/>
  <c r="F17" i="34"/>
  <c r="I16" i="34"/>
  <c r="H16" i="34"/>
  <c r="F16" i="34"/>
  <c r="I15" i="34"/>
  <c r="H15" i="34"/>
  <c r="F15" i="34"/>
  <c r="I14" i="34"/>
  <c r="H14" i="34"/>
  <c r="F14" i="34"/>
  <c r="I13" i="34"/>
  <c r="H13" i="34"/>
  <c r="F13" i="34"/>
  <c r="I12" i="34"/>
  <c r="H12" i="34"/>
  <c r="F12" i="34"/>
  <c r="I11" i="34"/>
  <c r="H11" i="34"/>
  <c r="F11" i="34"/>
  <c r="B7" i="34"/>
  <c r="B1" i="34"/>
  <c r="I223" i="27"/>
  <c r="H223" i="27"/>
  <c r="I221" i="27"/>
  <c r="H221" i="27"/>
  <c r="F221" i="27"/>
  <c r="I220" i="27"/>
  <c r="H220" i="27"/>
  <c r="F220" i="27"/>
  <c r="I219" i="27"/>
  <c r="H219" i="27"/>
  <c r="F219" i="27"/>
  <c r="I218" i="27"/>
  <c r="H218" i="27"/>
  <c r="F218" i="27"/>
  <c r="I217" i="27"/>
  <c r="H217" i="27"/>
  <c r="F217" i="27"/>
  <c r="I216" i="27"/>
  <c r="H216" i="27"/>
  <c r="F216" i="27"/>
  <c r="I215" i="27"/>
  <c r="H215" i="27"/>
  <c r="F215" i="27"/>
  <c r="E215" i="27"/>
  <c r="D215" i="27"/>
  <c r="I213" i="27"/>
  <c r="H213" i="27"/>
  <c r="F213" i="27"/>
  <c r="I212" i="27"/>
  <c r="H212" i="27"/>
  <c r="F212" i="27"/>
  <c r="I211" i="27"/>
  <c r="H211" i="27"/>
  <c r="F211" i="27"/>
  <c r="I210" i="27"/>
  <c r="H210" i="27"/>
  <c r="F210" i="27"/>
  <c r="I209" i="27"/>
  <c r="H209" i="27"/>
  <c r="F209" i="27"/>
  <c r="I208" i="27"/>
  <c r="H208" i="27"/>
  <c r="F208" i="27"/>
  <c r="I206" i="27"/>
  <c r="H206" i="27"/>
  <c r="F206" i="27"/>
  <c r="I205" i="27"/>
  <c r="H205" i="27"/>
  <c r="F205" i="27"/>
  <c r="I204" i="27"/>
  <c r="H204" i="27"/>
  <c r="F204" i="27"/>
  <c r="I203" i="27"/>
  <c r="H203" i="27"/>
  <c r="F203" i="27"/>
  <c r="I202" i="27"/>
  <c r="H202" i="27"/>
  <c r="F202" i="27"/>
  <c r="I201" i="27"/>
  <c r="H201" i="27"/>
  <c r="F201" i="27"/>
  <c r="I200" i="27"/>
  <c r="H200" i="27"/>
  <c r="F200" i="27"/>
  <c r="I199" i="27"/>
  <c r="H199" i="27"/>
  <c r="F199" i="27"/>
  <c r="I198" i="27"/>
  <c r="H198" i="27"/>
  <c r="F198" i="27"/>
  <c r="I197" i="27"/>
  <c r="H197" i="27"/>
  <c r="F197" i="27"/>
  <c r="I196" i="27"/>
  <c r="H196" i="27"/>
  <c r="F196" i="27"/>
  <c r="I195" i="27"/>
  <c r="H195" i="27"/>
  <c r="F195" i="27"/>
  <c r="I193" i="27"/>
  <c r="H193" i="27"/>
  <c r="F193" i="27"/>
  <c r="I192" i="27"/>
  <c r="H192" i="27"/>
  <c r="F192" i="27"/>
  <c r="I191" i="27"/>
  <c r="H191" i="27"/>
  <c r="F191" i="27"/>
  <c r="I190" i="27"/>
  <c r="H190" i="27"/>
  <c r="F190" i="27"/>
  <c r="I189" i="27"/>
  <c r="H189" i="27"/>
  <c r="F189" i="27"/>
  <c r="I188" i="27"/>
  <c r="H188" i="27"/>
  <c r="F188" i="27"/>
  <c r="I187" i="27"/>
  <c r="H187" i="27"/>
  <c r="F187" i="27"/>
  <c r="I186" i="27"/>
  <c r="H186" i="27"/>
  <c r="F186" i="27"/>
  <c r="I185" i="27"/>
  <c r="H185" i="27"/>
  <c r="F185" i="27"/>
  <c r="I184" i="27"/>
  <c r="H184" i="27"/>
  <c r="F184" i="27"/>
  <c r="I183" i="27"/>
  <c r="H183" i="27"/>
  <c r="F183" i="27"/>
  <c r="I182" i="27"/>
  <c r="H182" i="27"/>
  <c r="F182" i="27"/>
  <c r="I181" i="27"/>
  <c r="H181" i="27"/>
  <c r="F181" i="27"/>
  <c r="I180" i="27"/>
  <c r="H180" i="27"/>
  <c r="F180" i="27"/>
  <c r="I179" i="27"/>
  <c r="H179" i="27"/>
  <c r="F179" i="27"/>
  <c r="I177" i="27"/>
  <c r="H177" i="27"/>
  <c r="F177" i="27"/>
  <c r="I176" i="27"/>
  <c r="H176" i="27"/>
  <c r="F176" i="27"/>
  <c r="I175" i="27"/>
  <c r="H175" i="27"/>
  <c r="F175" i="27"/>
  <c r="I174" i="27"/>
  <c r="H174" i="27"/>
  <c r="F174" i="27"/>
  <c r="I173" i="27"/>
  <c r="H173" i="27"/>
  <c r="F173" i="27"/>
  <c r="I172" i="27"/>
  <c r="H172" i="27"/>
  <c r="F172" i="27"/>
  <c r="I171" i="27"/>
  <c r="H171" i="27"/>
  <c r="F171" i="27"/>
  <c r="I170" i="27"/>
  <c r="H170" i="27"/>
  <c r="F170" i="27"/>
  <c r="E170" i="27"/>
  <c r="I169" i="27"/>
  <c r="H169" i="27"/>
  <c r="F169" i="27"/>
  <c r="I168" i="27"/>
  <c r="H168" i="27"/>
  <c r="F168" i="27"/>
  <c r="I167" i="27"/>
  <c r="H167" i="27"/>
  <c r="F167" i="27"/>
  <c r="I166" i="27"/>
  <c r="H166" i="27"/>
  <c r="F166" i="27"/>
  <c r="I165" i="27"/>
  <c r="H165" i="27"/>
  <c r="F165" i="27"/>
  <c r="I164" i="27"/>
  <c r="H164" i="27"/>
  <c r="F164" i="27"/>
  <c r="I163" i="27"/>
  <c r="H163" i="27"/>
  <c r="F163" i="27"/>
  <c r="I162" i="27"/>
  <c r="H162" i="27"/>
  <c r="F162" i="27"/>
  <c r="I161" i="27"/>
  <c r="H161" i="27"/>
  <c r="F161" i="27"/>
  <c r="I160" i="27"/>
  <c r="H160" i="27"/>
  <c r="F160" i="27"/>
  <c r="I159" i="27"/>
  <c r="H159" i="27"/>
  <c r="F159" i="27"/>
  <c r="I158" i="27"/>
  <c r="H158" i="27"/>
  <c r="F158" i="27"/>
  <c r="I157" i="27"/>
  <c r="H157" i="27"/>
  <c r="F157" i="27"/>
  <c r="I156" i="27"/>
  <c r="H156" i="27"/>
  <c r="F156" i="27"/>
  <c r="I155" i="27"/>
  <c r="H155" i="27"/>
  <c r="F155" i="27"/>
  <c r="I154" i="27"/>
  <c r="H154" i="27"/>
  <c r="F154" i="27"/>
  <c r="I153" i="27"/>
  <c r="H153" i="27"/>
  <c r="F153" i="27"/>
  <c r="I152" i="27"/>
  <c r="H152" i="27"/>
  <c r="F152" i="27"/>
  <c r="I151" i="27"/>
  <c r="H151" i="27"/>
  <c r="F151" i="27"/>
  <c r="I149" i="27"/>
  <c r="H149" i="27"/>
  <c r="F149" i="27"/>
  <c r="I148" i="27"/>
  <c r="H148" i="27"/>
  <c r="F148" i="27"/>
  <c r="I147" i="27"/>
  <c r="H147" i="27"/>
  <c r="F147" i="27"/>
  <c r="I146" i="27"/>
  <c r="H146" i="27"/>
  <c r="F146" i="27"/>
  <c r="I145" i="27"/>
  <c r="H145" i="27"/>
  <c r="F145" i="27"/>
  <c r="I144" i="27"/>
  <c r="H144" i="27"/>
  <c r="F144" i="27"/>
  <c r="I143" i="27"/>
  <c r="H143" i="27"/>
  <c r="F143" i="27"/>
  <c r="I142" i="27"/>
  <c r="H142" i="27"/>
  <c r="F142" i="27"/>
  <c r="I141" i="27"/>
  <c r="H141" i="27"/>
  <c r="F141" i="27"/>
  <c r="I140" i="27"/>
  <c r="H140" i="27"/>
  <c r="F140" i="27"/>
  <c r="I139" i="27"/>
  <c r="H139" i="27"/>
  <c r="F139" i="27"/>
  <c r="I138" i="27"/>
  <c r="H138" i="27"/>
  <c r="F138" i="27"/>
  <c r="I137" i="27"/>
  <c r="H137" i="27"/>
  <c r="F137" i="27"/>
  <c r="I136" i="27"/>
  <c r="H136" i="27"/>
  <c r="F136" i="27"/>
  <c r="I135" i="27"/>
  <c r="H135" i="27"/>
  <c r="F135" i="27"/>
  <c r="I134" i="27"/>
  <c r="H134" i="27"/>
  <c r="F134" i="27"/>
  <c r="I133" i="27"/>
  <c r="H133" i="27"/>
  <c r="F133" i="27"/>
  <c r="I132" i="27"/>
  <c r="H132" i="27"/>
  <c r="F132" i="27"/>
  <c r="I131" i="27"/>
  <c r="H131" i="27"/>
  <c r="F131" i="27"/>
  <c r="I130" i="27"/>
  <c r="H130" i="27"/>
  <c r="F130" i="27"/>
  <c r="I129" i="27"/>
  <c r="H129" i="27"/>
  <c r="F129" i="27"/>
  <c r="I128" i="27"/>
  <c r="H128" i="27"/>
  <c r="F128" i="27"/>
  <c r="I127" i="27"/>
  <c r="H127" i="27"/>
  <c r="F127" i="27"/>
  <c r="I126" i="27"/>
  <c r="H126" i="27"/>
  <c r="F126" i="27"/>
  <c r="I125" i="27"/>
  <c r="H125" i="27"/>
  <c r="F125" i="27"/>
  <c r="I124" i="27"/>
  <c r="H124" i="27"/>
  <c r="F124" i="27"/>
  <c r="I123" i="27"/>
  <c r="H123" i="27"/>
  <c r="F123" i="27"/>
  <c r="I122" i="27"/>
  <c r="H122" i="27"/>
  <c r="F122" i="27"/>
  <c r="I121" i="27"/>
  <c r="H121" i="27"/>
  <c r="F121" i="27"/>
  <c r="I120" i="27"/>
  <c r="H120" i="27"/>
  <c r="F120" i="27"/>
  <c r="I119" i="27"/>
  <c r="H119" i="27"/>
  <c r="F119" i="27"/>
  <c r="I118" i="27"/>
  <c r="H118" i="27"/>
  <c r="F118" i="27"/>
  <c r="I117" i="27"/>
  <c r="H117" i="27"/>
  <c r="F117" i="27"/>
  <c r="I116" i="27"/>
  <c r="H116" i="27"/>
  <c r="F116" i="27"/>
  <c r="I115" i="27"/>
  <c r="H115" i="27"/>
  <c r="F115" i="27"/>
  <c r="I114" i="27"/>
  <c r="H114" i="27"/>
  <c r="F114" i="27"/>
  <c r="I113" i="27"/>
  <c r="H113" i="27"/>
  <c r="F113" i="27"/>
  <c r="I112" i="27"/>
  <c r="H112" i="27"/>
  <c r="F112" i="27"/>
  <c r="I111" i="27"/>
  <c r="H111" i="27"/>
  <c r="F111" i="27"/>
  <c r="I110" i="27"/>
  <c r="H110" i="27"/>
  <c r="F110" i="27"/>
  <c r="I109" i="27"/>
  <c r="H109" i="27"/>
  <c r="F109" i="27"/>
  <c r="I108" i="27"/>
  <c r="H108" i="27"/>
  <c r="F108" i="27"/>
  <c r="I107" i="27"/>
  <c r="H107" i="27"/>
  <c r="F107" i="27"/>
  <c r="I106" i="27"/>
  <c r="H106" i="27"/>
  <c r="F106" i="27"/>
  <c r="I105" i="27"/>
  <c r="H105" i="27"/>
  <c r="F105" i="27"/>
  <c r="I104" i="27"/>
  <c r="H104" i="27"/>
  <c r="F104" i="27"/>
  <c r="I103" i="27"/>
  <c r="H103" i="27"/>
  <c r="F103" i="27"/>
  <c r="I102" i="27"/>
  <c r="H102" i="27"/>
  <c r="F102" i="27"/>
  <c r="I101" i="27"/>
  <c r="H101" i="27"/>
  <c r="F101" i="27"/>
  <c r="I100" i="27"/>
  <c r="H100" i="27"/>
  <c r="F100" i="27"/>
  <c r="I99" i="27"/>
  <c r="H99" i="27"/>
  <c r="F99" i="27"/>
  <c r="I98" i="27"/>
  <c r="H98" i="27"/>
  <c r="F98" i="27"/>
  <c r="I97" i="27"/>
  <c r="H97" i="27"/>
  <c r="F97" i="27"/>
  <c r="I96" i="27"/>
  <c r="H96" i="27"/>
  <c r="F96" i="27"/>
  <c r="I95" i="27"/>
  <c r="H95" i="27"/>
  <c r="F95" i="27"/>
  <c r="I94" i="27"/>
  <c r="H94" i="27"/>
  <c r="F94" i="27"/>
  <c r="I93" i="27"/>
  <c r="H93" i="27"/>
  <c r="F93" i="27"/>
  <c r="I85" i="27"/>
  <c r="H85" i="27"/>
  <c r="F85" i="27"/>
  <c r="I80" i="27"/>
  <c r="H80" i="27"/>
  <c r="F80" i="27"/>
  <c r="I76" i="27"/>
  <c r="H76" i="27"/>
  <c r="F76" i="27"/>
  <c r="I60" i="27"/>
  <c r="H60" i="27"/>
  <c r="F60" i="27"/>
  <c r="I47" i="27"/>
  <c r="H47" i="27"/>
  <c r="F47" i="27"/>
  <c r="I35" i="27"/>
  <c r="H35" i="27"/>
  <c r="F35" i="27"/>
  <c r="I20" i="27"/>
  <c r="H20" i="27"/>
  <c r="F20" i="27"/>
  <c r="I11" i="27"/>
  <c r="H11" i="27"/>
  <c r="F11" i="27"/>
  <c r="B7" i="27"/>
  <c r="B1" i="27"/>
  <c r="I192" i="25"/>
  <c r="H192" i="25"/>
  <c r="F192" i="25"/>
  <c r="I191" i="25"/>
  <c r="H191" i="25"/>
  <c r="F191" i="25"/>
  <c r="I190" i="25"/>
  <c r="H190" i="25"/>
  <c r="F190" i="25"/>
  <c r="I189" i="25"/>
  <c r="H189" i="25"/>
  <c r="F189" i="25"/>
  <c r="I188" i="25"/>
  <c r="H188" i="25"/>
  <c r="F188" i="25"/>
  <c r="E188" i="25"/>
  <c r="D188" i="25"/>
  <c r="I187" i="25"/>
  <c r="H187" i="25"/>
  <c r="F187" i="25"/>
  <c r="E187" i="25"/>
  <c r="D187" i="25"/>
  <c r="I186" i="25"/>
  <c r="H186" i="25"/>
  <c r="F186" i="25"/>
  <c r="E186" i="25"/>
  <c r="D186" i="25"/>
  <c r="I185" i="25"/>
  <c r="H185" i="25"/>
  <c r="F185" i="25"/>
  <c r="E185" i="25"/>
  <c r="D185" i="25"/>
  <c r="I184" i="25"/>
  <c r="H184" i="25"/>
  <c r="F184" i="25"/>
  <c r="E184" i="25"/>
  <c r="D184" i="25"/>
  <c r="I183" i="25"/>
  <c r="H183" i="25"/>
  <c r="F183" i="25"/>
  <c r="E183" i="25"/>
  <c r="D183" i="25"/>
  <c r="I181" i="25"/>
  <c r="H181" i="25"/>
  <c r="F181" i="25"/>
  <c r="I180" i="25"/>
  <c r="H180" i="25"/>
  <c r="F180" i="25"/>
  <c r="I179" i="25"/>
  <c r="H179" i="25"/>
  <c r="F179" i="25"/>
  <c r="I177" i="25"/>
  <c r="H177" i="25"/>
  <c r="F177" i="25"/>
  <c r="I176" i="25"/>
  <c r="H176" i="25"/>
  <c r="F176" i="25"/>
  <c r="I175" i="25"/>
  <c r="H175" i="25"/>
  <c r="F175" i="25"/>
  <c r="I173" i="25"/>
  <c r="H173" i="25"/>
  <c r="F173" i="25"/>
  <c r="E173" i="25"/>
  <c r="I171" i="25"/>
  <c r="H171" i="25"/>
  <c r="F171" i="25"/>
  <c r="E171" i="25"/>
  <c r="I169" i="25"/>
  <c r="H169" i="25"/>
  <c r="F169" i="25"/>
  <c r="E169" i="25"/>
  <c r="I168" i="25"/>
  <c r="H168" i="25"/>
  <c r="F168" i="25"/>
  <c r="I167" i="25"/>
  <c r="H167" i="25"/>
  <c r="F167" i="25"/>
  <c r="E167" i="25"/>
  <c r="I164" i="25"/>
  <c r="H164" i="25"/>
  <c r="F164" i="25"/>
  <c r="I163" i="25"/>
  <c r="H163" i="25"/>
  <c r="F163" i="25"/>
  <c r="I161" i="25"/>
  <c r="H161" i="25"/>
  <c r="F161" i="25"/>
  <c r="I160" i="25"/>
  <c r="H160" i="25"/>
  <c r="F160" i="25"/>
  <c r="I159" i="25"/>
  <c r="H159" i="25"/>
  <c r="F159" i="25"/>
  <c r="I158" i="25"/>
  <c r="H158" i="25"/>
  <c r="F158" i="25"/>
  <c r="I157" i="25"/>
  <c r="H157" i="25"/>
  <c r="F157" i="25"/>
  <c r="I156" i="25"/>
  <c r="H156" i="25"/>
  <c r="F156" i="25"/>
  <c r="I155" i="25"/>
  <c r="H155" i="25"/>
  <c r="F155" i="25"/>
  <c r="I154" i="25"/>
  <c r="H154" i="25"/>
  <c r="F154" i="25"/>
  <c r="I152" i="25"/>
  <c r="H152" i="25"/>
  <c r="F152" i="25"/>
  <c r="I151" i="25"/>
  <c r="H151" i="25"/>
  <c r="F151" i="25"/>
  <c r="I149" i="25"/>
  <c r="H149" i="25"/>
  <c r="F149" i="25"/>
  <c r="I148" i="25"/>
  <c r="H148" i="25"/>
  <c r="F148" i="25"/>
  <c r="I147" i="25"/>
  <c r="H147" i="25"/>
  <c r="F147" i="25"/>
  <c r="I146" i="25"/>
  <c r="H146" i="25"/>
  <c r="F146" i="25"/>
  <c r="I145" i="25"/>
  <c r="H145" i="25"/>
  <c r="F145" i="25"/>
  <c r="I143" i="25"/>
  <c r="H143" i="25"/>
  <c r="F143" i="25"/>
  <c r="I142" i="25"/>
  <c r="H142" i="25"/>
  <c r="F142" i="25"/>
  <c r="E142" i="25"/>
  <c r="I141" i="25"/>
  <c r="H141" i="25"/>
  <c r="F141" i="25"/>
  <c r="E141" i="25"/>
  <c r="I140" i="25"/>
  <c r="H140" i="25"/>
  <c r="F140" i="25"/>
  <c r="E140" i="25"/>
  <c r="I139" i="25"/>
  <c r="H139" i="25"/>
  <c r="F139" i="25"/>
  <c r="E139" i="25"/>
  <c r="I138" i="25"/>
  <c r="H138" i="25"/>
  <c r="F138" i="25"/>
  <c r="E138" i="25"/>
  <c r="I135" i="25"/>
  <c r="H135" i="25"/>
  <c r="F135" i="25"/>
  <c r="I134" i="25"/>
  <c r="H134" i="25"/>
  <c r="F134" i="25"/>
  <c r="I133" i="25"/>
  <c r="H133" i="25"/>
  <c r="F133" i="25"/>
  <c r="I131" i="25"/>
  <c r="H131" i="25"/>
  <c r="F131" i="25"/>
  <c r="I130" i="25"/>
  <c r="H130" i="25"/>
  <c r="F130" i="25"/>
  <c r="I129" i="25"/>
  <c r="H129" i="25"/>
  <c r="F129" i="25"/>
  <c r="I128" i="25"/>
  <c r="H128" i="25"/>
  <c r="F128" i="25"/>
  <c r="I127" i="25"/>
  <c r="H127" i="25"/>
  <c r="F127" i="25"/>
  <c r="I126" i="25"/>
  <c r="H126" i="25"/>
  <c r="F126" i="25"/>
  <c r="I125" i="25"/>
  <c r="H125" i="25"/>
  <c r="F125" i="25"/>
  <c r="I124" i="25"/>
  <c r="H124" i="25"/>
  <c r="F124" i="25"/>
  <c r="I123" i="25"/>
  <c r="H123" i="25"/>
  <c r="F123" i="25"/>
  <c r="I122" i="25"/>
  <c r="H122" i="25"/>
  <c r="F122" i="25"/>
  <c r="I121" i="25"/>
  <c r="H121" i="25"/>
  <c r="F121" i="25"/>
  <c r="I120" i="25"/>
  <c r="H120" i="25"/>
  <c r="F120" i="25"/>
  <c r="I119" i="25"/>
  <c r="H119" i="25"/>
  <c r="F119" i="25"/>
  <c r="I118" i="25"/>
  <c r="H118" i="25"/>
  <c r="F118" i="25"/>
  <c r="I117" i="25"/>
  <c r="H117" i="25"/>
  <c r="F117" i="25"/>
  <c r="I116" i="25"/>
  <c r="H116" i="25"/>
  <c r="F116" i="25"/>
  <c r="I115" i="25"/>
  <c r="H115" i="25"/>
  <c r="F115" i="25"/>
  <c r="I114" i="25"/>
  <c r="H114" i="25"/>
  <c r="F114" i="25"/>
  <c r="I113" i="25"/>
  <c r="H113" i="25"/>
  <c r="F113" i="25"/>
  <c r="I112" i="25"/>
  <c r="H112" i="25"/>
  <c r="F112" i="25"/>
  <c r="I111" i="25"/>
  <c r="H111" i="25"/>
  <c r="F111" i="25"/>
  <c r="I110" i="25"/>
  <c r="H110" i="25"/>
  <c r="F110" i="25"/>
  <c r="I109" i="25"/>
  <c r="H109" i="25"/>
  <c r="F109" i="25"/>
  <c r="I108" i="25"/>
  <c r="H108" i="25"/>
  <c r="F108" i="25"/>
  <c r="I107" i="25"/>
  <c r="H107" i="25"/>
  <c r="F107" i="25"/>
  <c r="I106" i="25"/>
  <c r="H106" i="25"/>
  <c r="F106" i="25"/>
  <c r="I105" i="25"/>
  <c r="H105" i="25"/>
  <c r="F105" i="25"/>
  <c r="I104" i="25"/>
  <c r="H104" i="25"/>
  <c r="F104" i="25"/>
  <c r="I103" i="25"/>
  <c r="H103" i="25"/>
  <c r="F103" i="25"/>
  <c r="I102" i="25"/>
  <c r="H102" i="25"/>
  <c r="F102" i="25"/>
  <c r="I101" i="25"/>
  <c r="H101" i="25"/>
  <c r="F101" i="25"/>
  <c r="I100" i="25"/>
  <c r="H100" i="25"/>
  <c r="F100" i="25"/>
  <c r="I98" i="25"/>
  <c r="H98" i="25"/>
  <c r="F98" i="25"/>
  <c r="I97" i="25"/>
  <c r="H97" i="25"/>
  <c r="F97" i="25"/>
  <c r="I96" i="25"/>
  <c r="H96" i="25"/>
  <c r="F96" i="25"/>
  <c r="I95" i="25"/>
  <c r="H95" i="25"/>
  <c r="F95" i="25"/>
  <c r="I94" i="25"/>
  <c r="H94" i="25"/>
  <c r="F94" i="25"/>
  <c r="I93" i="25"/>
  <c r="H93" i="25"/>
  <c r="F93" i="25"/>
  <c r="I92" i="25"/>
  <c r="H92" i="25"/>
  <c r="F92" i="25"/>
  <c r="I91" i="25"/>
  <c r="H91" i="25"/>
  <c r="F91" i="25"/>
  <c r="I90" i="25"/>
  <c r="H90" i="25"/>
  <c r="F90" i="25"/>
  <c r="I89" i="25"/>
  <c r="H89" i="25"/>
  <c r="F89" i="25"/>
  <c r="I88" i="25"/>
  <c r="H88" i="25"/>
  <c r="F88" i="25"/>
  <c r="I86" i="25"/>
  <c r="H86" i="25"/>
  <c r="F86" i="25"/>
  <c r="I85" i="25"/>
  <c r="H85" i="25"/>
  <c r="F85" i="25"/>
  <c r="I84" i="25"/>
  <c r="H84" i="25"/>
  <c r="F84" i="25"/>
  <c r="I83" i="25"/>
  <c r="H83" i="25"/>
  <c r="F83" i="25"/>
  <c r="I82" i="25"/>
  <c r="H82" i="25"/>
  <c r="F82" i="25"/>
  <c r="I80" i="25"/>
  <c r="H80" i="25"/>
  <c r="F80" i="25"/>
  <c r="I79" i="25"/>
  <c r="H79" i="25"/>
  <c r="F79" i="25"/>
  <c r="I78" i="25"/>
  <c r="H78" i="25"/>
  <c r="F78" i="25"/>
  <c r="I77" i="25"/>
  <c r="H77" i="25"/>
  <c r="F77" i="25"/>
  <c r="I76" i="25"/>
  <c r="H76" i="25"/>
  <c r="F76" i="25"/>
  <c r="I75" i="25"/>
  <c r="H75" i="25"/>
  <c r="F75" i="25"/>
  <c r="I74" i="25"/>
  <c r="H74" i="25"/>
  <c r="F74" i="25"/>
  <c r="I71" i="25"/>
  <c r="H71" i="25"/>
  <c r="F71" i="25"/>
  <c r="I70" i="25"/>
  <c r="H70" i="25"/>
  <c r="F70" i="25"/>
  <c r="I69" i="25"/>
  <c r="H69" i="25"/>
  <c r="F69" i="25"/>
  <c r="I68" i="25"/>
  <c r="H68" i="25"/>
  <c r="F68" i="25"/>
  <c r="I67" i="25"/>
  <c r="H67" i="25"/>
  <c r="F67" i="25"/>
  <c r="I66" i="25"/>
  <c r="H66" i="25"/>
  <c r="F66" i="25"/>
  <c r="I64" i="25"/>
  <c r="H64" i="25"/>
  <c r="F64" i="25"/>
  <c r="I63" i="25"/>
  <c r="H63" i="25"/>
  <c r="F63" i="25"/>
  <c r="I60" i="25"/>
  <c r="H60" i="25"/>
  <c r="F60" i="25"/>
  <c r="I57" i="25"/>
  <c r="H57" i="25"/>
  <c r="F57" i="25"/>
  <c r="I56" i="25"/>
  <c r="H56" i="25"/>
  <c r="F56" i="25"/>
  <c r="I53" i="25"/>
  <c r="H53" i="25"/>
  <c r="F53" i="25"/>
  <c r="I52" i="25"/>
  <c r="H52" i="25"/>
  <c r="F52" i="25"/>
  <c r="I50" i="25"/>
  <c r="H50" i="25"/>
  <c r="F50" i="25"/>
  <c r="I48" i="25"/>
  <c r="H48" i="25"/>
  <c r="F48" i="25"/>
  <c r="I45" i="25"/>
  <c r="H45" i="25"/>
  <c r="F45" i="25"/>
  <c r="I43" i="25"/>
  <c r="H43" i="25"/>
  <c r="F43" i="25"/>
  <c r="I42" i="25"/>
  <c r="H42" i="25"/>
  <c r="F42" i="25"/>
  <c r="I41" i="25"/>
  <c r="H41" i="25"/>
  <c r="F41" i="25"/>
  <c r="I38" i="25"/>
  <c r="H38" i="25"/>
  <c r="F38" i="25"/>
  <c r="I37" i="25"/>
  <c r="H37" i="25"/>
  <c r="F37" i="25"/>
  <c r="I34" i="25"/>
  <c r="H34" i="25"/>
  <c r="F34" i="25"/>
  <c r="I33" i="25"/>
  <c r="H33" i="25"/>
  <c r="F33" i="25"/>
  <c r="I32" i="25"/>
  <c r="H32" i="25"/>
  <c r="F32" i="25"/>
  <c r="I30" i="25"/>
  <c r="H30" i="25"/>
  <c r="F30" i="25"/>
  <c r="I29" i="25"/>
  <c r="H29" i="25"/>
  <c r="F29" i="25"/>
  <c r="I28" i="25"/>
  <c r="F193" i="25" s="1"/>
  <c r="I193" i="25" s="1"/>
  <c r="I195" i="25" s="1"/>
  <c r="AG132" i="1" s="1"/>
  <c r="H28" i="25"/>
  <c r="E193" i="25" s="1"/>
  <c r="H193" i="25" s="1"/>
  <c r="H195" i="25" s="1"/>
  <c r="AG102" i="1" s="1"/>
  <c r="F28" i="25"/>
  <c r="I27" i="25"/>
  <c r="H27" i="25"/>
  <c r="F27" i="25"/>
  <c r="I26" i="25"/>
  <c r="H26" i="25"/>
  <c r="F26" i="25"/>
  <c r="I24" i="25"/>
  <c r="H24" i="25"/>
  <c r="F24" i="25"/>
  <c r="I23" i="25"/>
  <c r="H23" i="25"/>
  <c r="F23" i="25"/>
  <c r="I22" i="25"/>
  <c r="H22" i="25"/>
  <c r="F22" i="25"/>
  <c r="I20" i="25"/>
  <c r="H20" i="25"/>
  <c r="F20" i="25"/>
  <c r="I19" i="25"/>
  <c r="H19" i="25"/>
  <c r="F19" i="25"/>
  <c r="I18" i="25"/>
  <c r="H18" i="25"/>
  <c r="F18" i="25"/>
  <c r="I17" i="25"/>
  <c r="H17" i="25"/>
  <c r="F17" i="25"/>
  <c r="I16" i="25"/>
  <c r="H16" i="25"/>
  <c r="F16" i="25"/>
  <c r="I15" i="25"/>
  <c r="H15" i="25"/>
  <c r="F15" i="25"/>
  <c r="I13" i="25"/>
  <c r="H13" i="25"/>
  <c r="F13" i="25"/>
  <c r="B7" i="25"/>
  <c r="G3" i="25"/>
  <c r="F3" i="25"/>
  <c r="C3" i="25"/>
  <c r="B1" i="25"/>
  <c r="P382" i="42"/>
  <c r="O382" i="42"/>
  <c r="N382" i="42"/>
  <c r="L382" i="42"/>
  <c r="K382" i="42"/>
  <c r="P380" i="42"/>
  <c r="M380" i="42"/>
  <c r="P377" i="42"/>
  <c r="O377" i="42"/>
  <c r="N377" i="42"/>
  <c r="M377" i="42"/>
  <c r="L377" i="42"/>
  <c r="K377" i="42"/>
  <c r="F377" i="42"/>
  <c r="P376" i="42"/>
  <c r="O376" i="42"/>
  <c r="N376" i="42"/>
  <c r="M376" i="42"/>
  <c r="L376" i="42"/>
  <c r="K376" i="42"/>
  <c r="F376" i="42"/>
  <c r="P375" i="42"/>
  <c r="O375" i="42"/>
  <c r="N375" i="42"/>
  <c r="M375" i="42"/>
  <c r="L375" i="42"/>
  <c r="K375" i="42"/>
  <c r="F375" i="42"/>
  <c r="P374" i="42"/>
  <c r="O374" i="42"/>
  <c r="N374" i="42"/>
  <c r="M374" i="42"/>
  <c r="L374" i="42"/>
  <c r="K374" i="42"/>
  <c r="J374" i="42"/>
  <c r="F374" i="42"/>
  <c r="P373" i="42"/>
  <c r="O373" i="42"/>
  <c r="N373" i="42"/>
  <c r="M373" i="42"/>
  <c r="L373" i="42"/>
  <c r="K373" i="42"/>
  <c r="J373" i="42"/>
  <c r="F373" i="42"/>
  <c r="P372" i="42"/>
  <c r="O372" i="42"/>
  <c r="N372" i="42"/>
  <c r="M372" i="42"/>
  <c r="L372" i="42"/>
  <c r="K372" i="42"/>
  <c r="F372" i="42"/>
  <c r="P371" i="42"/>
  <c r="O371" i="42"/>
  <c r="N371" i="42"/>
  <c r="M371" i="42"/>
  <c r="L371" i="42"/>
  <c r="K371" i="42"/>
  <c r="F371" i="42"/>
  <c r="P370" i="42"/>
  <c r="O370" i="42"/>
  <c r="N370" i="42"/>
  <c r="M370" i="42"/>
  <c r="L370" i="42"/>
  <c r="K370" i="42"/>
  <c r="J370" i="42"/>
  <c r="F370" i="42"/>
  <c r="F369" i="42"/>
  <c r="F368" i="42"/>
  <c r="P367" i="42"/>
  <c r="M367" i="42"/>
  <c r="J367" i="42"/>
  <c r="F367" i="42"/>
  <c r="O366" i="42"/>
  <c r="N366" i="42"/>
  <c r="L366" i="42"/>
  <c r="K366" i="42"/>
  <c r="F366" i="42"/>
  <c r="O365" i="42"/>
  <c r="N365" i="42"/>
  <c r="L365" i="42"/>
  <c r="K365" i="42"/>
  <c r="F365" i="42"/>
  <c r="F364" i="42"/>
  <c r="P363" i="42"/>
  <c r="M363" i="42"/>
  <c r="J363" i="42"/>
  <c r="F363" i="42"/>
  <c r="O362" i="42"/>
  <c r="N362" i="42"/>
  <c r="L362" i="42"/>
  <c r="K362" i="42"/>
  <c r="F362" i="42"/>
  <c r="O361" i="42"/>
  <c r="N361" i="42"/>
  <c r="L361" i="42"/>
  <c r="K361" i="42"/>
  <c r="F361" i="42"/>
  <c r="F360" i="42"/>
  <c r="P359" i="42"/>
  <c r="M359" i="42"/>
  <c r="J359" i="42"/>
  <c r="F359" i="42"/>
  <c r="O358" i="42"/>
  <c r="N358" i="42"/>
  <c r="L358" i="42"/>
  <c r="K358" i="42"/>
  <c r="F358" i="42"/>
  <c r="O357" i="42"/>
  <c r="N357" i="42"/>
  <c r="L357" i="42"/>
  <c r="K357" i="42"/>
  <c r="F357" i="42"/>
  <c r="F356" i="42"/>
  <c r="P355" i="42"/>
  <c r="M355" i="42"/>
  <c r="J355" i="42"/>
  <c r="F355" i="42"/>
  <c r="O354" i="42"/>
  <c r="N354" i="42"/>
  <c r="L354" i="42"/>
  <c r="K354" i="42"/>
  <c r="F354" i="42"/>
  <c r="F353" i="42"/>
  <c r="O352" i="42"/>
  <c r="N352" i="42"/>
  <c r="L352" i="42"/>
  <c r="K352" i="42"/>
  <c r="F352" i="42"/>
  <c r="F351" i="42"/>
  <c r="F350" i="42"/>
  <c r="P349" i="42"/>
  <c r="M349" i="42"/>
  <c r="J349" i="42"/>
  <c r="F349" i="42"/>
  <c r="O348" i="42"/>
  <c r="N348" i="42"/>
  <c r="L348" i="42"/>
  <c r="K348" i="42"/>
  <c r="F348" i="42"/>
  <c r="O347" i="42"/>
  <c r="N347" i="42"/>
  <c r="L347" i="42"/>
  <c r="K347" i="42"/>
  <c r="F347" i="42"/>
  <c r="F346" i="42"/>
  <c r="P345" i="42"/>
  <c r="M345" i="42"/>
  <c r="J345" i="42"/>
  <c r="F345" i="42"/>
  <c r="O344" i="42"/>
  <c r="N344" i="42"/>
  <c r="L344" i="42"/>
  <c r="K344" i="42"/>
  <c r="F344" i="42"/>
  <c r="O343" i="42"/>
  <c r="N343" i="42"/>
  <c r="L343" i="42"/>
  <c r="K343" i="42"/>
  <c r="F343" i="42"/>
  <c r="F342" i="42"/>
  <c r="P341" i="42"/>
  <c r="M341" i="42"/>
  <c r="J341" i="42"/>
  <c r="F341" i="42"/>
  <c r="O340" i="42"/>
  <c r="N340" i="42"/>
  <c r="L340" i="42"/>
  <c r="K340" i="42"/>
  <c r="F340" i="42"/>
  <c r="O339" i="42"/>
  <c r="N339" i="42"/>
  <c r="L339" i="42"/>
  <c r="K339" i="42"/>
  <c r="F339" i="42"/>
  <c r="F338" i="42"/>
  <c r="P337" i="42"/>
  <c r="M337" i="42"/>
  <c r="J337" i="42"/>
  <c r="F337" i="42"/>
  <c r="O336" i="42"/>
  <c r="N336" i="42"/>
  <c r="L336" i="42"/>
  <c r="K336" i="42"/>
  <c r="F336" i="42"/>
  <c r="F335" i="42"/>
  <c r="O334" i="42"/>
  <c r="N334" i="42"/>
  <c r="L334" i="42"/>
  <c r="K334" i="42"/>
  <c r="F334" i="42"/>
  <c r="F333" i="42"/>
  <c r="F332" i="42"/>
  <c r="P331" i="42"/>
  <c r="M331" i="42"/>
  <c r="J331" i="42"/>
  <c r="F331" i="42"/>
  <c r="O330" i="42"/>
  <c r="N330" i="42"/>
  <c r="L330" i="42"/>
  <c r="K330" i="42"/>
  <c r="F330" i="42"/>
  <c r="O329" i="42"/>
  <c r="N329" i="42"/>
  <c r="L329" i="42"/>
  <c r="K329" i="42"/>
  <c r="F329" i="42"/>
  <c r="F328" i="42"/>
  <c r="P327" i="42"/>
  <c r="M327" i="42"/>
  <c r="J327" i="42"/>
  <c r="F327" i="42"/>
  <c r="O326" i="42"/>
  <c r="N326" i="42"/>
  <c r="L326" i="42"/>
  <c r="K326" i="42"/>
  <c r="F326" i="42"/>
  <c r="D326" i="42"/>
  <c r="O325" i="42"/>
  <c r="N325" i="42"/>
  <c r="L325" i="42"/>
  <c r="K325" i="42"/>
  <c r="F325" i="42"/>
  <c r="O324" i="42"/>
  <c r="N324" i="42"/>
  <c r="L324" i="42"/>
  <c r="K324" i="42"/>
  <c r="F324" i="42"/>
  <c r="O323" i="42"/>
  <c r="N323" i="42"/>
  <c r="L323" i="42"/>
  <c r="K323" i="42"/>
  <c r="F323" i="42"/>
  <c r="F322" i="42"/>
  <c r="P321" i="42"/>
  <c r="M321" i="42"/>
  <c r="J321" i="42"/>
  <c r="F321" i="42"/>
  <c r="O320" i="42"/>
  <c r="N320" i="42"/>
  <c r="L320" i="42"/>
  <c r="K320" i="42"/>
  <c r="F320" i="42"/>
  <c r="D320" i="42"/>
  <c r="F319" i="42"/>
  <c r="O318" i="42"/>
  <c r="N318" i="42"/>
  <c r="L318" i="42"/>
  <c r="K318" i="42"/>
  <c r="F318" i="42"/>
  <c r="O317" i="42"/>
  <c r="N317" i="42"/>
  <c r="L317" i="42"/>
  <c r="K317" i="42"/>
  <c r="F317" i="42"/>
  <c r="F316" i="42"/>
  <c r="P315" i="42"/>
  <c r="M315" i="42"/>
  <c r="J315" i="42"/>
  <c r="F315" i="42"/>
  <c r="O314" i="42"/>
  <c r="N314" i="42"/>
  <c r="L314" i="42"/>
  <c r="K314" i="42"/>
  <c r="F314" i="42"/>
  <c r="D314" i="42"/>
  <c r="O313" i="42"/>
  <c r="N313" i="42"/>
  <c r="L313" i="42"/>
  <c r="K313" i="42"/>
  <c r="F313" i="42"/>
  <c r="O312" i="42"/>
  <c r="N312" i="42"/>
  <c r="L312" i="42"/>
  <c r="K312" i="42"/>
  <c r="F312" i="42"/>
  <c r="F311" i="42"/>
  <c r="P310" i="42"/>
  <c r="M310" i="42"/>
  <c r="J310" i="42"/>
  <c r="F310" i="42"/>
  <c r="O309" i="42"/>
  <c r="N309" i="42"/>
  <c r="L309" i="42"/>
  <c r="K309" i="42"/>
  <c r="F309" i="42"/>
  <c r="O308" i="42"/>
  <c r="N308" i="42"/>
  <c r="L308" i="42"/>
  <c r="K308" i="42"/>
  <c r="F308" i="42"/>
  <c r="F307" i="42"/>
  <c r="P306" i="42"/>
  <c r="M306" i="42"/>
  <c r="J306" i="42"/>
  <c r="F306" i="42"/>
  <c r="O305" i="42"/>
  <c r="N305" i="42"/>
  <c r="L305" i="42"/>
  <c r="K305" i="42"/>
  <c r="F305" i="42"/>
  <c r="F304" i="42"/>
  <c r="O303" i="42"/>
  <c r="N303" i="42"/>
  <c r="L303" i="42"/>
  <c r="K303" i="42"/>
  <c r="F303" i="42"/>
  <c r="F302" i="42"/>
  <c r="F301" i="42"/>
  <c r="P300" i="42"/>
  <c r="M300" i="42"/>
  <c r="J300" i="42"/>
  <c r="F300" i="42"/>
  <c r="O299" i="42"/>
  <c r="N299" i="42"/>
  <c r="L299" i="42"/>
  <c r="K299" i="42"/>
  <c r="F299" i="42"/>
  <c r="O298" i="42"/>
  <c r="N298" i="42"/>
  <c r="L298" i="42"/>
  <c r="K298" i="42"/>
  <c r="F298" i="42"/>
  <c r="F297" i="42"/>
  <c r="P296" i="42"/>
  <c r="M296" i="42"/>
  <c r="J296" i="42"/>
  <c r="F296" i="42"/>
  <c r="O295" i="42"/>
  <c r="N295" i="42"/>
  <c r="L295" i="42"/>
  <c r="K295" i="42"/>
  <c r="F295" i="42"/>
  <c r="D295" i="42"/>
  <c r="O294" i="42"/>
  <c r="N294" i="42"/>
  <c r="L294" i="42"/>
  <c r="K294" i="42"/>
  <c r="F294" i="42"/>
  <c r="O293" i="42"/>
  <c r="N293" i="42"/>
  <c r="L293" i="42"/>
  <c r="K293" i="42"/>
  <c r="F293" i="42"/>
  <c r="O292" i="42"/>
  <c r="N292" i="42"/>
  <c r="L292" i="42"/>
  <c r="K292" i="42"/>
  <c r="F292" i="42"/>
  <c r="F291" i="42"/>
  <c r="P290" i="42"/>
  <c r="M290" i="42"/>
  <c r="J290" i="42"/>
  <c r="F290" i="42"/>
  <c r="O289" i="42"/>
  <c r="N289" i="42"/>
  <c r="L289" i="42"/>
  <c r="K289" i="42"/>
  <c r="F289" i="42"/>
  <c r="D289" i="42"/>
  <c r="F288" i="42"/>
  <c r="O287" i="42"/>
  <c r="N287" i="42"/>
  <c r="L287" i="42"/>
  <c r="K287" i="42"/>
  <c r="F287" i="42"/>
  <c r="F286" i="42"/>
  <c r="P285" i="42"/>
  <c r="M285" i="42"/>
  <c r="J285" i="42"/>
  <c r="F285" i="42"/>
  <c r="O284" i="42"/>
  <c r="N284" i="42"/>
  <c r="L284" i="42"/>
  <c r="K284" i="42"/>
  <c r="F284" i="42"/>
  <c r="D284" i="42"/>
  <c r="O283" i="42"/>
  <c r="N283" i="42"/>
  <c r="L283" i="42"/>
  <c r="K283" i="42"/>
  <c r="F283" i="42"/>
  <c r="F282" i="42"/>
  <c r="P281" i="42"/>
  <c r="M281" i="42"/>
  <c r="J281" i="42"/>
  <c r="F281" i="42"/>
  <c r="O280" i="42"/>
  <c r="N280" i="42"/>
  <c r="L280" i="42"/>
  <c r="K280" i="42"/>
  <c r="F280" i="42"/>
  <c r="O279" i="42"/>
  <c r="N279" i="42"/>
  <c r="L279" i="42"/>
  <c r="K279" i="42"/>
  <c r="F279" i="42"/>
  <c r="F278" i="42"/>
  <c r="P277" i="42"/>
  <c r="M277" i="42"/>
  <c r="J277" i="42"/>
  <c r="F277" i="42"/>
  <c r="O276" i="42"/>
  <c r="N276" i="42"/>
  <c r="L276" i="42"/>
  <c r="K276" i="42"/>
  <c r="F276" i="42"/>
  <c r="F275" i="42"/>
  <c r="O274" i="42"/>
  <c r="N274" i="42"/>
  <c r="L274" i="42"/>
  <c r="K274" i="42"/>
  <c r="F274" i="42"/>
  <c r="F273" i="42"/>
  <c r="F272" i="42"/>
  <c r="F271" i="42"/>
  <c r="P270" i="42"/>
  <c r="M270" i="42"/>
  <c r="J270" i="42"/>
  <c r="F270" i="42"/>
  <c r="O269" i="42"/>
  <c r="N269" i="42"/>
  <c r="L269" i="42"/>
  <c r="K269" i="42"/>
  <c r="F269" i="42"/>
  <c r="O268" i="42"/>
  <c r="N268" i="42"/>
  <c r="L268" i="42"/>
  <c r="K268" i="42"/>
  <c r="F268" i="42"/>
  <c r="F267" i="42"/>
  <c r="P266" i="42"/>
  <c r="M266" i="42"/>
  <c r="J266" i="42"/>
  <c r="F266" i="42"/>
  <c r="O265" i="42"/>
  <c r="N265" i="42"/>
  <c r="L265" i="42"/>
  <c r="K265" i="42"/>
  <c r="F265" i="42"/>
  <c r="D265" i="42"/>
  <c r="O264" i="42"/>
  <c r="N264" i="42"/>
  <c r="L264" i="42"/>
  <c r="K264" i="42"/>
  <c r="F264" i="42"/>
  <c r="O263" i="42"/>
  <c r="N263" i="42"/>
  <c r="L263" i="42"/>
  <c r="K263" i="42"/>
  <c r="F263" i="42"/>
  <c r="O262" i="42"/>
  <c r="N262" i="42"/>
  <c r="L262" i="42"/>
  <c r="K262" i="42"/>
  <c r="F262" i="42"/>
  <c r="F261" i="42"/>
  <c r="P260" i="42"/>
  <c r="M260" i="42"/>
  <c r="J260" i="42"/>
  <c r="F260" i="42"/>
  <c r="O259" i="42"/>
  <c r="N259" i="42"/>
  <c r="L259" i="42"/>
  <c r="K259" i="42"/>
  <c r="F259" i="42"/>
  <c r="D259" i="42"/>
  <c r="F258" i="42"/>
  <c r="O257" i="42"/>
  <c r="N257" i="42"/>
  <c r="L257" i="42"/>
  <c r="K257" i="42"/>
  <c r="F257" i="42"/>
  <c r="O256" i="42"/>
  <c r="N256" i="42"/>
  <c r="L256" i="42"/>
  <c r="K256" i="42"/>
  <c r="F256" i="42"/>
  <c r="F255" i="42"/>
  <c r="F254" i="42"/>
  <c r="F253" i="42"/>
  <c r="F252" i="42"/>
  <c r="F251" i="42"/>
  <c r="P250" i="42"/>
  <c r="M250" i="42"/>
  <c r="J250" i="42"/>
  <c r="F250" i="42"/>
  <c r="O249" i="42"/>
  <c r="N249" i="42"/>
  <c r="L249" i="42"/>
  <c r="K249" i="42"/>
  <c r="F249" i="42"/>
  <c r="D249" i="42"/>
  <c r="O248" i="42"/>
  <c r="N248" i="42"/>
  <c r="L248" i="42"/>
  <c r="K248" i="42"/>
  <c r="F248" i="42"/>
  <c r="O247" i="42"/>
  <c r="N247" i="42"/>
  <c r="L247" i="42"/>
  <c r="K247" i="42"/>
  <c r="F247" i="42"/>
  <c r="F246" i="42"/>
  <c r="P245" i="42"/>
  <c r="M245" i="42"/>
  <c r="J245" i="42"/>
  <c r="F245" i="42"/>
  <c r="O244" i="42"/>
  <c r="N244" i="42"/>
  <c r="L244" i="42"/>
  <c r="K244" i="42"/>
  <c r="F244" i="42"/>
  <c r="O243" i="42"/>
  <c r="N243" i="42"/>
  <c r="L243" i="42"/>
  <c r="K243" i="42"/>
  <c r="F243" i="42"/>
  <c r="F242" i="42"/>
  <c r="P241" i="42"/>
  <c r="M241" i="42"/>
  <c r="J241" i="42"/>
  <c r="F241" i="42"/>
  <c r="O240" i="42"/>
  <c r="N240" i="42"/>
  <c r="L240" i="42"/>
  <c r="K240" i="42"/>
  <c r="F240" i="42"/>
  <c r="F239" i="42"/>
  <c r="O238" i="42"/>
  <c r="N238" i="42"/>
  <c r="L238" i="42"/>
  <c r="K238" i="42"/>
  <c r="F238" i="42"/>
  <c r="F237" i="42"/>
  <c r="F236" i="42"/>
  <c r="P235" i="42"/>
  <c r="M235" i="42"/>
  <c r="J235" i="42"/>
  <c r="F235" i="42"/>
  <c r="O234" i="42"/>
  <c r="N234" i="42"/>
  <c r="L234" i="42"/>
  <c r="K234" i="42"/>
  <c r="F234" i="42"/>
  <c r="O233" i="42"/>
  <c r="N233" i="42"/>
  <c r="L233" i="42"/>
  <c r="K233" i="42"/>
  <c r="F233" i="42"/>
  <c r="F232" i="42"/>
  <c r="P231" i="42"/>
  <c r="M231" i="42"/>
  <c r="J231" i="42"/>
  <c r="F231" i="42"/>
  <c r="O230" i="42"/>
  <c r="N230" i="42"/>
  <c r="L230" i="42"/>
  <c r="K230" i="42"/>
  <c r="F230" i="42"/>
  <c r="O229" i="42"/>
  <c r="N229" i="42"/>
  <c r="L229" i="42"/>
  <c r="K229" i="42"/>
  <c r="F229" i="42"/>
  <c r="F228" i="42"/>
  <c r="P227" i="42"/>
  <c r="M227" i="42"/>
  <c r="J227" i="42"/>
  <c r="F227" i="42"/>
  <c r="O226" i="42"/>
  <c r="N226" i="42"/>
  <c r="L226" i="42"/>
  <c r="K226" i="42"/>
  <c r="F226" i="42"/>
  <c r="D226" i="42"/>
  <c r="O225" i="42"/>
  <c r="N225" i="42"/>
  <c r="L225" i="42"/>
  <c r="K225" i="42"/>
  <c r="F225" i="42"/>
  <c r="O224" i="42"/>
  <c r="N224" i="42"/>
  <c r="L224" i="42"/>
  <c r="K224" i="42"/>
  <c r="F224" i="42"/>
  <c r="F223" i="42"/>
  <c r="F222" i="42"/>
  <c r="P221" i="42"/>
  <c r="M221" i="42"/>
  <c r="J221" i="42"/>
  <c r="F221" i="42"/>
  <c r="O220" i="42"/>
  <c r="N220" i="42"/>
  <c r="L220" i="42"/>
  <c r="K220" i="42"/>
  <c r="F220" i="42"/>
  <c r="O219" i="42"/>
  <c r="N219" i="42"/>
  <c r="L219" i="42"/>
  <c r="K219" i="42"/>
  <c r="F219" i="42"/>
  <c r="F218" i="42"/>
  <c r="P217" i="42"/>
  <c r="M217" i="42"/>
  <c r="J217" i="42"/>
  <c r="F217" i="42"/>
  <c r="F216" i="42"/>
  <c r="F215" i="42"/>
  <c r="F214" i="42"/>
  <c r="P213" i="42"/>
  <c r="M213" i="42"/>
  <c r="J213" i="42"/>
  <c r="F213" i="42"/>
  <c r="O212" i="42"/>
  <c r="N212" i="42"/>
  <c r="L212" i="42"/>
  <c r="K212" i="42"/>
  <c r="F212" i="42"/>
  <c r="D212" i="42"/>
  <c r="O211" i="42"/>
  <c r="N211" i="42"/>
  <c r="L211" i="42"/>
  <c r="K211" i="42"/>
  <c r="F211" i="42"/>
  <c r="F210" i="42"/>
  <c r="F209" i="42"/>
  <c r="F208" i="42"/>
  <c r="P207" i="42"/>
  <c r="M207" i="42"/>
  <c r="J207" i="42"/>
  <c r="F207" i="42"/>
  <c r="O206" i="42"/>
  <c r="N206" i="42"/>
  <c r="L206" i="42"/>
  <c r="K206" i="42"/>
  <c r="F206" i="42"/>
  <c r="D206" i="42"/>
  <c r="O205" i="42"/>
  <c r="N205" i="42"/>
  <c r="L205" i="42"/>
  <c r="K205" i="42"/>
  <c r="F205" i="42"/>
  <c r="O204" i="42"/>
  <c r="N204" i="42"/>
  <c r="L204" i="42"/>
  <c r="K204" i="42"/>
  <c r="F204" i="42"/>
  <c r="O203" i="42"/>
  <c r="N203" i="42"/>
  <c r="L203" i="42"/>
  <c r="K203" i="42"/>
  <c r="F203" i="42"/>
  <c r="F202" i="42"/>
  <c r="F201" i="42"/>
  <c r="F200" i="42"/>
  <c r="F199" i="42"/>
  <c r="F198" i="42"/>
  <c r="F197" i="42"/>
  <c r="F196" i="42"/>
  <c r="F195" i="42"/>
  <c r="F194" i="42"/>
  <c r="F193" i="42"/>
  <c r="F192" i="42"/>
  <c r="F191" i="42"/>
  <c r="F190" i="42"/>
  <c r="F189" i="42"/>
  <c r="F188" i="42"/>
  <c r="F187" i="42"/>
  <c r="F186" i="42"/>
  <c r="F185" i="42"/>
  <c r="P184" i="42"/>
  <c r="M184" i="42"/>
  <c r="J184" i="42"/>
  <c r="F184" i="42"/>
  <c r="O183" i="42"/>
  <c r="N183" i="42"/>
  <c r="L183" i="42"/>
  <c r="K183" i="42"/>
  <c r="F183" i="42"/>
  <c r="D183" i="42"/>
  <c r="O182" i="42"/>
  <c r="N182" i="42"/>
  <c r="L182" i="42"/>
  <c r="K182" i="42"/>
  <c r="F182" i="42"/>
  <c r="F181" i="42"/>
  <c r="F180" i="42"/>
  <c r="F179" i="42"/>
  <c r="F178" i="42"/>
  <c r="F177" i="42"/>
  <c r="F176" i="42"/>
  <c r="F175" i="42"/>
  <c r="F174" i="42"/>
  <c r="F173" i="42"/>
  <c r="F172" i="42"/>
  <c r="F171" i="42"/>
  <c r="F170" i="42"/>
  <c r="F169" i="42"/>
  <c r="F168" i="42"/>
  <c r="F167" i="42"/>
  <c r="F166" i="42"/>
  <c r="F165" i="42"/>
  <c r="F164" i="42"/>
  <c r="F163" i="42"/>
  <c r="F162" i="42"/>
  <c r="F161" i="42"/>
  <c r="F160" i="42"/>
  <c r="F159" i="42"/>
  <c r="F158" i="42"/>
  <c r="F157" i="42"/>
  <c r="F156" i="42"/>
  <c r="F155" i="42"/>
  <c r="F154" i="42"/>
  <c r="F153" i="42"/>
  <c r="F152" i="42"/>
  <c r="F151" i="42"/>
  <c r="F150" i="42"/>
  <c r="P149" i="42"/>
  <c r="M149" i="42"/>
  <c r="J149" i="42"/>
  <c r="F149" i="42"/>
  <c r="O148" i="42"/>
  <c r="N148" i="42"/>
  <c r="L148" i="42"/>
  <c r="K148" i="42"/>
  <c r="F148" i="42"/>
  <c r="O147" i="42"/>
  <c r="N147" i="42"/>
  <c r="L147" i="42"/>
  <c r="K147" i="42"/>
  <c r="F147" i="42"/>
  <c r="F146" i="42"/>
  <c r="P145" i="42"/>
  <c r="M145" i="42"/>
  <c r="J145" i="42"/>
  <c r="F145" i="42"/>
  <c r="O144" i="42"/>
  <c r="N144" i="42"/>
  <c r="L144" i="42"/>
  <c r="K144" i="42"/>
  <c r="F144" i="42"/>
  <c r="D144" i="42"/>
  <c r="O143" i="42"/>
  <c r="N143" i="42"/>
  <c r="L143" i="42"/>
  <c r="K143" i="42"/>
  <c r="F143" i="42"/>
  <c r="O142" i="42"/>
  <c r="N142" i="42"/>
  <c r="L142" i="42"/>
  <c r="K142" i="42"/>
  <c r="F142" i="42"/>
  <c r="O141" i="42"/>
  <c r="N141" i="42"/>
  <c r="L141" i="42"/>
  <c r="K141" i="42"/>
  <c r="F141" i="42"/>
  <c r="F140" i="42"/>
  <c r="P139" i="42"/>
  <c r="M139" i="42"/>
  <c r="J139" i="42"/>
  <c r="F139" i="42"/>
  <c r="O138" i="42"/>
  <c r="N138" i="42"/>
  <c r="L138" i="42"/>
  <c r="K138" i="42"/>
  <c r="F138" i="42"/>
  <c r="O137" i="42"/>
  <c r="N137" i="42"/>
  <c r="L137" i="42"/>
  <c r="K137" i="42"/>
  <c r="F137" i="42"/>
  <c r="F136" i="42"/>
  <c r="P135" i="42"/>
  <c r="M135" i="42"/>
  <c r="J135" i="42"/>
  <c r="F135" i="42"/>
  <c r="O134" i="42"/>
  <c r="N134" i="42"/>
  <c r="L134" i="42"/>
  <c r="K134" i="42"/>
  <c r="F134" i="42"/>
  <c r="D134" i="42"/>
  <c r="O133" i="42"/>
  <c r="N133" i="42"/>
  <c r="L133" i="42"/>
  <c r="K133" i="42"/>
  <c r="F133" i="42"/>
  <c r="O132" i="42"/>
  <c r="N132" i="42"/>
  <c r="L132" i="42"/>
  <c r="K132" i="42"/>
  <c r="F132" i="42"/>
  <c r="F131" i="42"/>
  <c r="F130" i="42"/>
  <c r="P129" i="42"/>
  <c r="M129" i="42"/>
  <c r="J129" i="42"/>
  <c r="F129" i="42"/>
  <c r="O128" i="42"/>
  <c r="N128" i="42"/>
  <c r="L128" i="42"/>
  <c r="K128" i="42"/>
  <c r="F128" i="42"/>
  <c r="O127" i="42"/>
  <c r="N127" i="42"/>
  <c r="L127" i="42"/>
  <c r="K127" i="42"/>
  <c r="F127" i="42"/>
  <c r="F126" i="42"/>
  <c r="P125" i="42"/>
  <c r="M125" i="42"/>
  <c r="J125" i="42"/>
  <c r="F125" i="42"/>
  <c r="O124" i="42"/>
  <c r="N124" i="42"/>
  <c r="L124" i="42"/>
  <c r="K124" i="42"/>
  <c r="F124" i="42"/>
  <c r="D124" i="42"/>
  <c r="O123" i="42"/>
  <c r="N123" i="42"/>
  <c r="L123" i="42"/>
  <c r="K123" i="42"/>
  <c r="F123" i="42"/>
  <c r="F122" i="42"/>
  <c r="P121" i="42"/>
  <c r="M121" i="42"/>
  <c r="J121" i="42"/>
  <c r="F121" i="42"/>
  <c r="O120" i="42"/>
  <c r="N120" i="42"/>
  <c r="L120" i="42"/>
  <c r="K120" i="42"/>
  <c r="F120" i="42"/>
  <c r="O119" i="42"/>
  <c r="N119" i="42"/>
  <c r="L119" i="42"/>
  <c r="K119" i="42"/>
  <c r="F119" i="42"/>
  <c r="F118" i="42"/>
  <c r="P117" i="42"/>
  <c r="M117" i="42"/>
  <c r="J117" i="42"/>
  <c r="F117" i="42"/>
  <c r="O116" i="42"/>
  <c r="N116" i="42"/>
  <c r="L116" i="42"/>
  <c r="K116" i="42"/>
  <c r="F116" i="42"/>
  <c r="F115" i="42"/>
  <c r="F114" i="42"/>
  <c r="O113" i="42"/>
  <c r="N113" i="42"/>
  <c r="L113" i="42"/>
  <c r="K113" i="42"/>
  <c r="F113" i="42"/>
  <c r="F112" i="42"/>
  <c r="P111" i="42"/>
  <c r="M111" i="42"/>
  <c r="J111" i="42"/>
  <c r="F111" i="42"/>
  <c r="O110" i="42"/>
  <c r="N110" i="42"/>
  <c r="L110" i="42"/>
  <c r="K110" i="42"/>
  <c r="F110" i="42"/>
  <c r="O109" i="42"/>
  <c r="N109" i="42"/>
  <c r="L109" i="42"/>
  <c r="K109" i="42"/>
  <c r="F109" i="42"/>
  <c r="F108" i="42"/>
  <c r="F107" i="42"/>
  <c r="F106" i="42"/>
  <c r="F105" i="42"/>
  <c r="F104" i="42"/>
  <c r="F103" i="42"/>
  <c r="O102" i="42"/>
  <c r="N102" i="42"/>
  <c r="L102" i="42"/>
  <c r="K102" i="42"/>
  <c r="F102" i="42"/>
  <c r="F101" i="42"/>
  <c r="F100" i="42"/>
  <c r="P99" i="42"/>
  <c r="M99" i="42"/>
  <c r="J99" i="42"/>
  <c r="F99" i="42"/>
  <c r="O98" i="42"/>
  <c r="N98" i="42"/>
  <c r="L98" i="42"/>
  <c r="K98" i="42"/>
  <c r="F98" i="42"/>
  <c r="O97" i="42"/>
  <c r="N97" i="42"/>
  <c r="L97" i="42"/>
  <c r="K97" i="42"/>
  <c r="F97" i="42"/>
  <c r="F96" i="42"/>
  <c r="P95" i="42"/>
  <c r="M95" i="42"/>
  <c r="J95" i="42"/>
  <c r="F95" i="42"/>
  <c r="O94" i="42"/>
  <c r="N94" i="42"/>
  <c r="L94" i="42"/>
  <c r="K94" i="42"/>
  <c r="F94" i="42"/>
  <c r="O93" i="42"/>
  <c r="N93" i="42"/>
  <c r="L93" i="42"/>
  <c r="K93" i="42"/>
  <c r="F93" i="42"/>
  <c r="F92" i="42"/>
  <c r="P91" i="42"/>
  <c r="M91" i="42"/>
  <c r="J91" i="42"/>
  <c r="F91" i="42"/>
  <c r="O90" i="42"/>
  <c r="N90" i="42"/>
  <c r="L90" i="42"/>
  <c r="K90" i="42"/>
  <c r="F90" i="42"/>
  <c r="E90" i="42"/>
  <c r="D90" i="42"/>
  <c r="O89" i="42"/>
  <c r="N89" i="42"/>
  <c r="L89" i="42"/>
  <c r="K89" i="42"/>
  <c r="F89" i="42"/>
  <c r="O88" i="42"/>
  <c r="N88" i="42"/>
  <c r="L88" i="42"/>
  <c r="K88" i="42"/>
  <c r="F88" i="42"/>
  <c r="O87" i="42"/>
  <c r="N87" i="42"/>
  <c r="L87" i="42"/>
  <c r="K87" i="42"/>
  <c r="F87" i="42"/>
  <c r="O86" i="42"/>
  <c r="N86" i="42"/>
  <c r="L86" i="42"/>
  <c r="K86" i="42"/>
  <c r="F86" i="42"/>
  <c r="F85" i="42"/>
  <c r="P84" i="42"/>
  <c r="M84" i="42"/>
  <c r="J84" i="42"/>
  <c r="F84" i="42"/>
  <c r="O83" i="42"/>
  <c r="N83" i="42"/>
  <c r="L83" i="42"/>
  <c r="K83" i="42"/>
  <c r="F83" i="42"/>
  <c r="E83" i="42"/>
  <c r="D83" i="42"/>
  <c r="O82" i="42"/>
  <c r="N82" i="42"/>
  <c r="L82" i="42"/>
  <c r="K82" i="42"/>
  <c r="F82" i="42"/>
  <c r="O81" i="42"/>
  <c r="N81" i="42"/>
  <c r="L81" i="42"/>
  <c r="K81" i="42"/>
  <c r="F81" i="42"/>
  <c r="O80" i="42"/>
  <c r="N80" i="42"/>
  <c r="L80" i="42"/>
  <c r="K80" i="42"/>
  <c r="F80" i="42"/>
  <c r="O79" i="42"/>
  <c r="N79" i="42"/>
  <c r="L79" i="42"/>
  <c r="K79" i="42"/>
  <c r="F79" i="42"/>
  <c r="F78" i="42"/>
  <c r="P77" i="42"/>
  <c r="M77" i="42"/>
  <c r="J77" i="42"/>
  <c r="F77" i="42"/>
  <c r="O76" i="42"/>
  <c r="N76" i="42"/>
  <c r="L76" i="42"/>
  <c r="K76" i="42"/>
  <c r="F76" i="42"/>
  <c r="O75" i="42"/>
  <c r="N75" i="42"/>
  <c r="L75" i="42"/>
  <c r="K75" i="42"/>
  <c r="F75" i="42"/>
  <c r="F74" i="42"/>
  <c r="P73" i="42"/>
  <c r="M73" i="42"/>
  <c r="J73" i="42"/>
  <c r="F73" i="42"/>
  <c r="O72" i="42"/>
  <c r="N72" i="42"/>
  <c r="L72" i="42"/>
  <c r="K72" i="42"/>
  <c r="F72" i="42"/>
  <c r="O71" i="42"/>
  <c r="N71" i="42"/>
  <c r="L71" i="42"/>
  <c r="K71" i="42"/>
  <c r="F71" i="42"/>
  <c r="F70" i="42"/>
  <c r="P69" i="42"/>
  <c r="M69" i="42"/>
  <c r="J69" i="42"/>
  <c r="F69" i="42"/>
  <c r="O68" i="42"/>
  <c r="N68" i="42"/>
  <c r="L68" i="42"/>
  <c r="K68" i="42"/>
  <c r="F68" i="42"/>
  <c r="D68" i="42"/>
  <c r="O67" i="42"/>
  <c r="N67" i="42"/>
  <c r="L67" i="42"/>
  <c r="K67" i="42"/>
  <c r="F67" i="42"/>
  <c r="O66" i="42"/>
  <c r="N66" i="42"/>
  <c r="L66" i="42"/>
  <c r="K66" i="42"/>
  <c r="F66" i="42"/>
  <c r="F65" i="42"/>
  <c r="P64" i="42"/>
  <c r="M64" i="42"/>
  <c r="J64" i="42"/>
  <c r="F64" i="42"/>
  <c r="O63" i="42"/>
  <c r="N63" i="42"/>
  <c r="L63" i="42"/>
  <c r="K63" i="42"/>
  <c r="F63" i="42"/>
  <c r="D63" i="42"/>
  <c r="O62" i="42"/>
  <c r="N62" i="42"/>
  <c r="L62" i="42"/>
  <c r="K62" i="42"/>
  <c r="F62" i="42"/>
  <c r="O61" i="42"/>
  <c r="N61" i="42"/>
  <c r="L61" i="42"/>
  <c r="K61" i="42"/>
  <c r="F61" i="42"/>
  <c r="F60" i="42"/>
  <c r="P59" i="42"/>
  <c r="M59" i="42"/>
  <c r="J59" i="42"/>
  <c r="F59" i="42"/>
  <c r="O58" i="42"/>
  <c r="N58" i="42"/>
  <c r="L58" i="42"/>
  <c r="K58" i="42"/>
  <c r="F58" i="42"/>
  <c r="O57" i="42"/>
  <c r="N57" i="42"/>
  <c r="L57" i="42"/>
  <c r="K57" i="42"/>
  <c r="F57" i="42"/>
  <c r="F56" i="42"/>
  <c r="P55" i="42"/>
  <c r="M55" i="42"/>
  <c r="J55" i="42"/>
  <c r="F55" i="42"/>
  <c r="O54" i="42"/>
  <c r="N54" i="42"/>
  <c r="L54" i="42"/>
  <c r="K54" i="42"/>
  <c r="F54" i="42"/>
  <c r="O53" i="42"/>
  <c r="N53" i="42"/>
  <c r="L53" i="42"/>
  <c r="K53" i="42"/>
  <c r="F53" i="42"/>
  <c r="F52" i="42"/>
  <c r="P51" i="42"/>
  <c r="M51" i="42"/>
  <c r="J51" i="42"/>
  <c r="F51" i="42"/>
  <c r="O50" i="42"/>
  <c r="N50" i="42"/>
  <c r="L50" i="42"/>
  <c r="K50" i="42"/>
  <c r="F50" i="42"/>
  <c r="D50" i="42"/>
  <c r="O49" i="42"/>
  <c r="N49" i="42"/>
  <c r="L49" i="42"/>
  <c r="K49" i="42"/>
  <c r="F49" i="42"/>
  <c r="O48" i="42"/>
  <c r="N48" i="42"/>
  <c r="L48" i="42"/>
  <c r="K48" i="42"/>
  <c r="F48" i="42"/>
  <c r="F47" i="42"/>
  <c r="P46" i="42"/>
  <c r="M46" i="42"/>
  <c r="J46" i="42"/>
  <c r="F46" i="42"/>
  <c r="O45" i="42"/>
  <c r="N45" i="42"/>
  <c r="L45" i="42"/>
  <c r="K45" i="42"/>
  <c r="F45" i="42"/>
  <c r="O44" i="42"/>
  <c r="N44" i="42"/>
  <c r="L44" i="42"/>
  <c r="K44" i="42"/>
  <c r="F44" i="42"/>
  <c r="F43" i="42"/>
  <c r="P42" i="42"/>
  <c r="M42" i="42"/>
  <c r="J42" i="42"/>
  <c r="F42" i="42"/>
  <c r="O41" i="42"/>
  <c r="N41" i="42"/>
  <c r="L41" i="42"/>
  <c r="K41" i="42"/>
  <c r="F41" i="42"/>
  <c r="F40" i="42"/>
  <c r="F39" i="42"/>
  <c r="O38" i="42"/>
  <c r="N38" i="42"/>
  <c r="L38" i="42"/>
  <c r="K38" i="42"/>
  <c r="F38" i="42"/>
  <c r="F37" i="42"/>
  <c r="P36" i="42"/>
  <c r="M36" i="42"/>
  <c r="J36" i="42"/>
  <c r="F36" i="42"/>
  <c r="O35" i="42"/>
  <c r="N35" i="42"/>
  <c r="L35" i="42"/>
  <c r="K35" i="42"/>
  <c r="F35" i="42"/>
  <c r="F34" i="42"/>
  <c r="F33" i="42"/>
  <c r="O32" i="42"/>
  <c r="N32" i="42"/>
  <c r="L32" i="42"/>
  <c r="K32" i="42"/>
  <c r="F32" i="42"/>
  <c r="F31" i="42"/>
  <c r="P30" i="42"/>
  <c r="M30" i="42"/>
  <c r="J30" i="42"/>
  <c r="F30" i="42"/>
  <c r="O29" i="42"/>
  <c r="N29" i="42"/>
  <c r="L29" i="42"/>
  <c r="K29" i="42"/>
  <c r="F29" i="42"/>
  <c r="O28" i="42"/>
  <c r="N28" i="42"/>
  <c r="L28" i="42"/>
  <c r="K28" i="42"/>
  <c r="F28" i="42"/>
  <c r="F27" i="42"/>
  <c r="F26" i="42"/>
  <c r="F25" i="42"/>
  <c r="F24" i="42"/>
  <c r="F23" i="42"/>
  <c r="F22" i="42"/>
  <c r="F21" i="42"/>
  <c r="F20" i="42"/>
  <c r="F19" i="42"/>
  <c r="F18" i="42"/>
  <c r="F17" i="42"/>
  <c r="F16" i="42"/>
  <c r="F15" i="42"/>
  <c r="F14" i="42"/>
  <c r="O13" i="42"/>
  <c r="N13" i="42"/>
  <c r="L13" i="42"/>
  <c r="K13" i="42"/>
  <c r="F13" i="42"/>
  <c r="B7" i="42"/>
  <c r="B1" i="42"/>
  <c r="K43" i="40"/>
  <c r="H43" i="40"/>
  <c r="G43" i="40"/>
  <c r="H41" i="40"/>
  <c r="G41" i="40"/>
  <c r="E41" i="40"/>
  <c r="H40" i="40"/>
  <c r="G40" i="40"/>
  <c r="E40" i="40"/>
  <c r="H39" i="40"/>
  <c r="G39" i="40"/>
  <c r="E39" i="40"/>
  <c r="H38" i="40"/>
  <c r="G38" i="40"/>
  <c r="E38" i="40"/>
  <c r="D38" i="40"/>
  <c r="C38" i="40"/>
  <c r="H37" i="40"/>
  <c r="G37" i="40"/>
  <c r="E37" i="40"/>
  <c r="D37" i="40"/>
  <c r="C37" i="40"/>
  <c r="H36" i="40"/>
  <c r="G36" i="40"/>
  <c r="E36" i="40"/>
  <c r="H35" i="40"/>
  <c r="G35" i="40"/>
  <c r="E35" i="40"/>
  <c r="H34" i="40"/>
  <c r="G34" i="40"/>
  <c r="H32" i="40"/>
  <c r="G32" i="40"/>
  <c r="E32" i="40"/>
  <c r="H31" i="40"/>
  <c r="G31" i="40"/>
  <c r="E31" i="40"/>
  <c r="H30" i="40"/>
  <c r="G30" i="40"/>
  <c r="H28" i="40"/>
  <c r="G28" i="40"/>
  <c r="E28" i="40"/>
  <c r="C28" i="40"/>
  <c r="H27" i="40"/>
  <c r="G27" i="40"/>
  <c r="E27" i="40"/>
  <c r="C27" i="40"/>
  <c r="H26" i="40"/>
  <c r="G26" i="40"/>
  <c r="E26" i="40"/>
  <c r="H25" i="40"/>
  <c r="G25" i="40"/>
  <c r="H23" i="40"/>
  <c r="G23" i="40"/>
  <c r="E23" i="40"/>
  <c r="D23" i="40"/>
  <c r="H22" i="40"/>
  <c r="G22" i="40"/>
  <c r="E22" i="40"/>
  <c r="H21" i="40"/>
  <c r="G21" i="40"/>
  <c r="H19" i="40"/>
  <c r="G19" i="40"/>
  <c r="E19" i="40"/>
  <c r="C19" i="40"/>
  <c r="H18" i="40"/>
  <c r="G18" i="40"/>
  <c r="E18" i="40"/>
  <c r="C18" i="40"/>
  <c r="H17" i="40"/>
  <c r="G17" i="40"/>
  <c r="E17" i="40"/>
  <c r="H16" i="40"/>
  <c r="G16" i="40"/>
  <c r="H14" i="40"/>
  <c r="G14" i="40"/>
  <c r="E14" i="40"/>
  <c r="H13" i="40"/>
  <c r="G13" i="40"/>
  <c r="B6" i="40"/>
  <c r="F3" i="40"/>
  <c r="E3" i="40"/>
  <c r="B3" i="40"/>
  <c r="B1" i="40"/>
  <c r="H140" i="36"/>
  <c r="G140" i="36"/>
  <c r="E140" i="36"/>
  <c r="H139" i="36"/>
  <c r="G139" i="36"/>
  <c r="E139" i="36"/>
  <c r="H138" i="36"/>
  <c r="G138" i="36"/>
  <c r="E138" i="36"/>
  <c r="H137" i="36"/>
  <c r="G137" i="36"/>
  <c r="E137" i="36"/>
  <c r="H136" i="36"/>
  <c r="G136" i="36"/>
  <c r="E136" i="36"/>
  <c r="D136" i="36"/>
  <c r="C136" i="36"/>
  <c r="H135" i="36"/>
  <c r="G135" i="36"/>
  <c r="E135" i="36"/>
  <c r="D135" i="36"/>
  <c r="C135" i="36"/>
  <c r="H134" i="36"/>
  <c r="G134" i="36"/>
  <c r="E134" i="36"/>
  <c r="D134" i="36"/>
  <c r="C134" i="36"/>
  <c r="H133" i="36"/>
  <c r="G133" i="36"/>
  <c r="E133" i="36"/>
  <c r="H132" i="36"/>
  <c r="H129" i="36" s="1"/>
  <c r="H142" i="36" s="1"/>
  <c r="AG129" i="1" s="1"/>
  <c r="G132" i="36"/>
  <c r="E132" i="36"/>
  <c r="H131" i="36"/>
  <c r="G131" i="36"/>
  <c r="E131" i="36"/>
  <c r="C131" i="36"/>
  <c r="H130" i="36"/>
  <c r="G130" i="36"/>
  <c r="E130" i="36"/>
  <c r="D130" i="36"/>
  <c r="C130" i="36"/>
  <c r="H127" i="36"/>
  <c r="G127" i="36"/>
  <c r="E127" i="36"/>
  <c r="C127" i="36"/>
  <c r="H126" i="36"/>
  <c r="G126" i="36"/>
  <c r="E126" i="36"/>
  <c r="C126" i="36"/>
  <c r="H125" i="36"/>
  <c r="G125" i="36"/>
  <c r="E125" i="36"/>
  <c r="H124" i="36"/>
  <c r="G124" i="36"/>
  <c r="H122" i="36"/>
  <c r="G122" i="36"/>
  <c r="E122" i="36"/>
  <c r="H121" i="36"/>
  <c r="G121" i="36"/>
  <c r="E121" i="36"/>
  <c r="H120" i="36"/>
  <c r="G120" i="36"/>
  <c r="E120" i="36"/>
  <c r="H119" i="36"/>
  <c r="G119" i="36"/>
  <c r="E119" i="36"/>
  <c r="H118" i="36"/>
  <c r="G118" i="36"/>
  <c r="E118" i="36"/>
  <c r="H117" i="36"/>
  <c r="G117" i="36"/>
  <c r="E117" i="36"/>
  <c r="H116" i="36"/>
  <c r="G116" i="36"/>
  <c r="E116" i="36"/>
  <c r="H115" i="36"/>
  <c r="G115" i="36"/>
  <c r="E115" i="36"/>
  <c r="H114" i="36"/>
  <c r="G114" i="36"/>
  <c r="E114" i="36"/>
  <c r="H113" i="36"/>
  <c r="G113" i="36"/>
  <c r="E113" i="36"/>
  <c r="H112" i="36"/>
  <c r="G112" i="36"/>
  <c r="E112" i="36"/>
  <c r="H111" i="36"/>
  <c r="G111" i="36"/>
  <c r="H109" i="36"/>
  <c r="G109" i="36"/>
  <c r="E109" i="36"/>
  <c r="H108" i="36"/>
  <c r="G108" i="36"/>
  <c r="H106" i="36"/>
  <c r="G106" i="36"/>
  <c r="E106" i="36"/>
  <c r="C106" i="36"/>
  <c r="H105" i="36"/>
  <c r="G105" i="36"/>
  <c r="E105" i="36"/>
  <c r="H104" i="36"/>
  <c r="G104" i="36"/>
  <c r="H102" i="36"/>
  <c r="G102" i="36"/>
  <c r="E102" i="36"/>
  <c r="D102" i="36"/>
  <c r="H101" i="36"/>
  <c r="G101" i="36"/>
  <c r="E101" i="36"/>
  <c r="D101" i="36"/>
  <c r="H100" i="36"/>
  <c r="G100" i="36"/>
  <c r="E100" i="36"/>
  <c r="H99" i="36"/>
  <c r="G99" i="36"/>
  <c r="E99" i="36"/>
  <c r="H98" i="36"/>
  <c r="G98" i="36"/>
  <c r="E98" i="36"/>
  <c r="H97" i="36"/>
  <c r="G97" i="36"/>
  <c r="E97" i="36"/>
  <c r="H96" i="36"/>
  <c r="G96" i="36"/>
  <c r="H94" i="36"/>
  <c r="G94" i="36"/>
  <c r="E94" i="36"/>
  <c r="H93" i="36"/>
  <c r="G93" i="36"/>
  <c r="E93" i="36"/>
  <c r="H92" i="36"/>
  <c r="G92" i="36"/>
  <c r="E92" i="36"/>
  <c r="H91" i="36"/>
  <c r="G91" i="36"/>
  <c r="E91" i="36"/>
  <c r="H90" i="36"/>
  <c r="G90" i="36"/>
  <c r="E90" i="36"/>
  <c r="H89" i="36"/>
  <c r="G89" i="36"/>
  <c r="E89" i="36"/>
  <c r="H88" i="36"/>
  <c r="G88" i="36"/>
  <c r="E88" i="36"/>
  <c r="H87" i="36"/>
  <c r="G87" i="36"/>
  <c r="E87" i="36"/>
  <c r="H86" i="36"/>
  <c r="G86" i="36"/>
  <c r="E86" i="36"/>
  <c r="H85" i="36"/>
  <c r="G85" i="36"/>
  <c r="E85" i="36"/>
  <c r="H84" i="36"/>
  <c r="G84" i="36"/>
  <c r="E84" i="36"/>
  <c r="H83" i="36"/>
  <c r="G83" i="36"/>
  <c r="E83" i="36"/>
  <c r="H82" i="36"/>
  <c r="G82" i="36"/>
  <c r="E82" i="36"/>
  <c r="H81" i="36"/>
  <c r="G81" i="36"/>
  <c r="E81" i="36"/>
  <c r="H80" i="36"/>
  <c r="G80" i="36"/>
  <c r="E80" i="36"/>
  <c r="H79" i="36"/>
  <c r="G79" i="36"/>
  <c r="E79" i="36"/>
  <c r="H78" i="36"/>
  <c r="G78" i="36"/>
  <c r="E78" i="36"/>
  <c r="H77" i="36"/>
  <c r="G77" i="36"/>
  <c r="E77" i="36"/>
  <c r="H76" i="36"/>
  <c r="G76" i="36"/>
  <c r="E76" i="36"/>
  <c r="H75" i="36"/>
  <c r="G75" i="36"/>
  <c r="E75" i="36"/>
  <c r="H74" i="36"/>
  <c r="G74" i="36"/>
  <c r="E74" i="36"/>
  <c r="H73" i="36"/>
  <c r="G73" i="36"/>
  <c r="E73" i="36"/>
  <c r="H72" i="36"/>
  <c r="G72" i="36"/>
  <c r="H70" i="36"/>
  <c r="G70" i="36"/>
  <c r="E70" i="36"/>
  <c r="H69" i="36"/>
  <c r="G69" i="36"/>
  <c r="E69" i="36"/>
  <c r="H68" i="36"/>
  <c r="G68" i="36"/>
  <c r="E68" i="36"/>
  <c r="H67" i="36"/>
  <c r="G67" i="36"/>
  <c r="E67" i="36"/>
  <c r="H66" i="36"/>
  <c r="G66" i="36"/>
  <c r="E66" i="36"/>
  <c r="H65" i="36"/>
  <c r="G65" i="36"/>
  <c r="E65" i="36"/>
  <c r="H64" i="36"/>
  <c r="G64" i="36"/>
  <c r="E64" i="36"/>
  <c r="H63" i="36"/>
  <c r="G63" i="36"/>
  <c r="E63" i="36"/>
  <c r="H62" i="36"/>
  <c r="G62" i="36"/>
  <c r="E62" i="36"/>
  <c r="H61" i="36"/>
  <c r="G61" i="36"/>
  <c r="E61" i="36"/>
  <c r="H60" i="36"/>
  <c r="G60" i="36"/>
  <c r="E60" i="36"/>
  <c r="H59" i="36"/>
  <c r="G59" i="36"/>
  <c r="H57" i="36"/>
  <c r="G57" i="36"/>
  <c r="E57" i="36"/>
  <c r="H55" i="36"/>
  <c r="G55" i="36"/>
  <c r="E55" i="36"/>
  <c r="H53" i="36"/>
  <c r="G53" i="36"/>
  <c r="E53" i="36"/>
  <c r="H52" i="36"/>
  <c r="G52" i="36"/>
  <c r="E52" i="36"/>
  <c r="H51" i="36"/>
  <c r="G51" i="36"/>
  <c r="E51" i="36"/>
  <c r="H50" i="36"/>
  <c r="G50" i="36"/>
  <c r="E50" i="36"/>
  <c r="H48" i="36"/>
  <c r="G48" i="36"/>
  <c r="E48" i="36"/>
  <c r="H47" i="36"/>
  <c r="G47" i="36"/>
  <c r="E47" i="36"/>
  <c r="H45" i="36"/>
  <c r="G45" i="36"/>
  <c r="E45" i="36"/>
  <c r="H44" i="36"/>
  <c r="G44" i="36"/>
  <c r="E44" i="36"/>
  <c r="H42" i="36"/>
  <c r="G42" i="36"/>
  <c r="E42" i="36"/>
  <c r="H40" i="36"/>
  <c r="G40" i="36"/>
  <c r="E40" i="36"/>
  <c r="H39" i="36"/>
  <c r="G39" i="36"/>
  <c r="E39" i="36"/>
  <c r="H38" i="36"/>
  <c r="G38" i="36"/>
  <c r="E38" i="36"/>
  <c r="H36" i="36"/>
  <c r="G36" i="36"/>
  <c r="H34" i="36"/>
  <c r="G34" i="36"/>
  <c r="E34" i="36"/>
  <c r="H33" i="36"/>
  <c r="G33" i="36"/>
  <c r="H31" i="36"/>
  <c r="G31" i="36"/>
  <c r="E31" i="36"/>
  <c r="H30" i="36"/>
  <c r="G30" i="36"/>
  <c r="H28" i="36"/>
  <c r="G28" i="36"/>
  <c r="E28" i="36"/>
  <c r="H26" i="36"/>
  <c r="G26" i="36"/>
  <c r="H24" i="36"/>
  <c r="G24" i="36"/>
  <c r="E24" i="36"/>
  <c r="H23" i="36"/>
  <c r="G23" i="36"/>
  <c r="E23" i="36"/>
  <c r="H21" i="36"/>
  <c r="G21" i="36"/>
  <c r="H19" i="36"/>
  <c r="G19" i="36"/>
  <c r="E19" i="36"/>
  <c r="H18" i="36"/>
  <c r="G18" i="36"/>
  <c r="E18" i="36"/>
  <c r="H17" i="36"/>
  <c r="G17" i="36"/>
  <c r="E17" i="36"/>
  <c r="H16" i="36"/>
  <c r="G16" i="36"/>
  <c r="E16" i="36"/>
  <c r="H15" i="36"/>
  <c r="G15" i="36"/>
  <c r="E15" i="36"/>
  <c r="H13" i="36"/>
  <c r="G13" i="36"/>
  <c r="B6" i="36"/>
  <c r="F3" i="36"/>
  <c r="C3" i="36"/>
  <c r="B3" i="36"/>
  <c r="B1" i="36"/>
  <c r="H102" i="22"/>
  <c r="G102" i="22"/>
  <c r="E102" i="22"/>
  <c r="H101" i="22"/>
  <c r="G101" i="22"/>
  <c r="E101" i="22"/>
  <c r="H100" i="22"/>
  <c r="G100" i="22"/>
  <c r="E100" i="22"/>
  <c r="H99" i="22"/>
  <c r="G99" i="22"/>
  <c r="E99" i="22"/>
  <c r="H98" i="22"/>
  <c r="G98" i="22"/>
  <c r="E98" i="22"/>
  <c r="D98" i="22"/>
  <c r="C98" i="22"/>
  <c r="H97" i="22"/>
  <c r="G97" i="22"/>
  <c r="E97" i="22"/>
  <c r="D97" i="22"/>
  <c r="C97" i="22"/>
  <c r="H96" i="22"/>
  <c r="G96" i="22"/>
  <c r="G89" i="22" s="1"/>
  <c r="G104" i="22" s="1"/>
  <c r="AG98" i="1" s="1"/>
  <c r="E96" i="22"/>
  <c r="H95" i="22"/>
  <c r="G95" i="22"/>
  <c r="E95" i="22"/>
  <c r="H94" i="22"/>
  <c r="G94" i="22"/>
  <c r="E94" i="22"/>
  <c r="H93" i="22"/>
  <c r="G93" i="22"/>
  <c r="E93" i="22"/>
  <c r="H92" i="22"/>
  <c r="G92" i="22"/>
  <c r="E92" i="22"/>
  <c r="D92" i="22"/>
  <c r="C92" i="22"/>
  <c r="H91" i="22"/>
  <c r="G91" i="22"/>
  <c r="E91" i="22"/>
  <c r="H90" i="22"/>
  <c r="G90" i="22"/>
  <c r="E90" i="22"/>
  <c r="H87" i="22"/>
  <c r="G87" i="22"/>
  <c r="E87" i="22"/>
  <c r="H86" i="22"/>
  <c r="G86" i="22"/>
  <c r="E86" i="22"/>
  <c r="H84" i="22"/>
  <c r="G84" i="22"/>
  <c r="E84" i="22"/>
  <c r="H82" i="22"/>
  <c r="G82" i="22"/>
  <c r="E82" i="22"/>
  <c r="H81" i="22"/>
  <c r="G81" i="22"/>
  <c r="E81" i="22"/>
  <c r="H79" i="22"/>
  <c r="G79" i="22"/>
  <c r="E79" i="22"/>
  <c r="H78" i="22"/>
  <c r="G78" i="22"/>
  <c r="E78" i="22"/>
  <c r="H76" i="22"/>
  <c r="G76" i="22"/>
  <c r="E76" i="22"/>
  <c r="H75" i="22"/>
  <c r="G75" i="22"/>
  <c r="E75" i="22"/>
  <c r="H73" i="22"/>
  <c r="G73" i="22"/>
  <c r="E73" i="22"/>
  <c r="H71" i="22"/>
  <c r="G71" i="22"/>
  <c r="H69" i="22"/>
  <c r="G69" i="22"/>
  <c r="E69" i="22"/>
  <c r="D69" i="22"/>
  <c r="H68" i="22"/>
  <c r="G68" i="22"/>
  <c r="E68" i="22"/>
  <c r="D68" i="22"/>
  <c r="H67" i="22"/>
  <c r="G67" i="22"/>
  <c r="E67" i="22"/>
  <c r="H66" i="22"/>
  <c r="G66" i="22"/>
  <c r="E66" i="22"/>
  <c r="H65" i="22"/>
  <c r="G65" i="22"/>
  <c r="E65" i="22"/>
  <c r="H64" i="22"/>
  <c r="G64" i="22"/>
  <c r="H62" i="22"/>
  <c r="G62" i="22"/>
  <c r="E62" i="22"/>
  <c r="H61" i="22"/>
  <c r="G61" i="22"/>
  <c r="E61" i="22"/>
  <c r="H60" i="22"/>
  <c r="G60" i="22"/>
  <c r="E60" i="22"/>
  <c r="C60" i="22"/>
  <c r="H58" i="22"/>
  <c r="G58" i="22"/>
  <c r="E58" i="22"/>
  <c r="D58" i="22"/>
  <c r="C58" i="22"/>
  <c r="H57" i="22"/>
  <c r="G57" i="22"/>
  <c r="E57" i="22"/>
  <c r="C57" i="22"/>
  <c r="H56" i="22"/>
  <c r="G56" i="22"/>
  <c r="E56" i="22"/>
  <c r="D56" i="22"/>
  <c r="C56" i="22"/>
  <c r="H55" i="22"/>
  <c r="G55" i="22"/>
  <c r="E55" i="22"/>
  <c r="C55" i="22"/>
  <c r="H54" i="22"/>
  <c r="G54" i="22"/>
  <c r="E54" i="22"/>
  <c r="D54" i="22"/>
  <c r="C54" i="22"/>
  <c r="H52" i="22"/>
  <c r="G52" i="22"/>
  <c r="H50" i="22"/>
  <c r="G50" i="22"/>
  <c r="E50" i="22"/>
  <c r="H48" i="22"/>
  <c r="G48" i="22"/>
  <c r="E48" i="22"/>
  <c r="H47" i="22"/>
  <c r="G47" i="22"/>
  <c r="E47" i="22"/>
  <c r="H46" i="22"/>
  <c r="G46" i="22"/>
  <c r="E46" i="22"/>
  <c r="H44" i="22"/>
  <c r="G44" i="22"/>
  <c r="H42" i="22"/>
  <c r="G42" i="22"/>
  <c r="E42" i="22"/>
  <c r="H41" i="22"/>
  <c r="G41" i="22"/>
  <c r="E41" i="22"/>
  <c r="H40" i="22"/>
  <c r="G40" i="22"/>
  <c r="E40" i="22"/>
  <c r="H39" i="22"/>
  <c r="G39" i="22"/>
  <c r="E39" i="22"/>
  <c r="H37" i="22"/>
  <c r="G37" i="22"/>
  <c r="E37" i="22"/>
  <c r="H36" i="22"/>
  <c r="G36" i="22"/>
  <c r="E36" i="22"/>
  <c r="H35" i="22"/>
  <c r="G35" i="22"/>
  <c r="H33" i="22"/>
  <c r="G33" i="22"/>
  <c r="E33" i="22"/>
  <c r="H32" i="22"/>
  <c r="G32" i="22"/>
  <c r="E32" i="22"/>
  <c r="H30" i="22"/>
  <c r="G30" i="22"/>
  <c r="E30" i="22"/>
  <c r="H29" i="22"/>
  <c r="G29" i="22"/>
  <c r="E29" i="22"/>
  <c r="H28" i="22"/>
  <c r="G28" i="22"/>
  <c r="E28" i="22"/>
  <c r="H26" i="22"/>
  <c r="G26" i="22"/>
  <c r="E26" i="22"/>
  <c r="H25" i="22"/>
  <c r="G25" i="22"/>
  <c r="E25" i="22"/>
  <c r="H24" i="22"/>
  <c r="G24" i="22"/>
  <c r="E24" i="22"/>
  <c r="H23" i="22"/>
  <c r="G23" i="22"/>
  <c r="E23" i="22"/>
  <c r="H22" i="22"/>
  <c r="G22" i="22"/>
  <c r="E22" i="22"/>
  <c r="H21" i="22"/>
  <c r="G21" i="22"/>
  <c r="E21" i="22"/>
  <c r="H19" i="22"/>
  <c r="G19" i="22"/>
  <c r="E19" i="22"/>
  <c r="H18" i="22"/>
  <c r="G18" i="22"/>
  <c r="E18" i="22"/>
  <c r="H17" i="22"/>
  <c r="G17" i="22"/>
  <c r="E17" i="22"/>
  <c r="H16" i="22"/>
  <c r="G16" i="22"/>
  <c r="E16" i="22"/>
  <c r="H15" i="22"/>
  <c r="G15" i="22"/>
  <c r="E15" i="22"/>
  <c r="H13" i="22"/>
  <c r="G13" i="22"/>
  <c r="B6" i="22"/>
  <c r="B1" i="22"/>
  <c r="P282" i="33"/>
  <c r="P281" i="33"/>
  <c r="P280" i="33"/>
  <c r="P279" i="33"/>
  <c r="P278" i="33"/>
  <c r="M278" i="33"/>
  <c r="P277" i="33"/>
  <c r="P276" i="33"/>
  <c r="P275" i="33"/>
  <c r="P274" i="33"/>
  <c r="P273" i="33"/>
  <c r="P272" i="33"/>
  <c r="P271" i="33"/>
  <c r="P269" i="33"/>
  <c r="P268" i="33"/>
  <c r="P267" i="33"/>
  <c r="P266" i="33"/>
  <c r="P265" i="33"/>
  <c r="P264" i="33"/>
  <c r="P262" i="33"/>
  <c r="P261" i="33"/>
  <c r="P260" i="33"/>
  <c r="P259" i="33"/>
  <c r="P258" i="33"/>
  <c r="P257" i="33"/>
  <c r="P256" i="33"/>
  <c r="P255" i="33"/>
  <c r="P254" i="33"/>
  <c r="P253" i="33"/>
  <c r="P252" i="33"/>
  <c r="P251" i="33"/>
  <c r="P250" i="33"/>
  <c r="P249" i="33"/>
  <c r="P248" i="33"/>
  <c r="P246" i="33"/>
  <c r="P245" i="33"/>
  <c r="P244" i="33"/>
  <c r="P243" i="33"/>
  <c r="P240" i="33"/>
  <c r="P239" i="33"/>
  <c r="P238" i="33"/>
  <c r="P237" i="33"/>
  <c r="P236" i="33"/>
  <c r="P235" i="33"/>
  <c r="P234" i="33"/>
  <c r="P233" i="33"/>
  <c r="P232" i="33"/>
  <c r="P231" i="33"/>
  <c r="P230" i="33"/>
  <c r="P229" i="33"/>
  <c r="P228" i="33"/>
  <c r="P225" i="33"/>
  <c r="P224" i="33"/>
  <c r="M224" i="33"/>
  <c r="P223" i="33"/>
  <c r="P222" i="33"/>
  <c r="P221" i="33"/>
  <c r="P220" i="33"/>
  <c r="P219" i="33"/>
  <c r="P218" i="33"/>
  <c r="P217" i="33"/>
  <c r="P216" i="33"/>
  <c r="P215" i="33"/>
  <c r="M215" i="33"/>
  <c r="K215" i="33"/>
  <c r="P214" i="33"/>
  <c r="M214" i="33"/>
  <c r="K214" i="33"/>
  <c r="P213" i="33"/>
  <c r="M213" i="33"/>
  <c r="K213" i="33"/>
  <c r="P211" i="33"/>
  <c r="M211" i="33"/>
  <c r="K211" i="33"/>
  <c r="P210" i="33"/>
  <c r="M210" i="33"/>
  <c r="K210" i="33"/>
  <c r="P209" i="33"/>
  <c r="M209" i="33"/>
  <c r="K209" i="33"/>
  <c r="P207" i="33"/>
  <c r="M207" i="33"/>
  <c r="P206" i="33"/>
  <c r="M206" i="33"/>
  <c r="P205" i="33"/>
  <c r="M205" i="33"/>
  <c r="P204" i="33"/>
  <c r="M204" i="33"/>
  <c r="P203" i="33"/>
  <c r="M203" i="33"/>
  <c r="P202" i="33"/>
  <c r="M202" i="33"/>
  <c r="L202" i="33"/>
  <c r="P200" i="33"/>
  <c r="M200" i="33"/>
  <c r="P199" i="33"/>
  <c r="M199" i="33"/>
  <c r="P198" i="33"/>
  <c r="M198" i="33"/>
  <c r="P197" i="33"/>
  <c r="M197" i="33"/>
  <c r="P196" i="33"/>
  <c r="M196" i="33"/>
  <c r="P195" i="33"/>
  <c r="M195" i="33"/>
  <c r="P194" i="33"/>
  <c r="M194" i="33"/>
  <c r="P193" i="33"/>
  <c r="M193" i="33"/>
  <c r="P190" i="33"/>
  <c r="P189" i="33"/>
  <c r="M189" i="33"/>
  <c r="K189" i="33"/>
  <c r="P188" i="33"/>
  <c r="M188" i="33"/>
  <c r="K188" i="33"/>
  <c r="P186" i="33"/>
  <c r="M186" i="33"/>
  <c r="K186" i="33"/>
  <c r="P185" i="33"/>
  <c r="M185" i="33"/>
  <c r="K185" i="33"/>
  <c r="P184" i="33"/>
  <c r="M184" i="33"/>
  <c r="K184" i="33"/>
  <c r="P183" i="33"/>
  <c r="M183" i="33"/>
  <c r="K183" i="33"/>
  <c r="P179" i="33"/>
  <c r="M179" i="33"/>
  <c r="K179" i="33"/>
  <c r="P177" i="33"/>
  <c r="M177" i="33"/>
  <c r="K177" i="33"/>
  <c r="P176" i="33"/>
  <c r="M176" i="33"/>
  <c r="K176" i="33"/>
  <c r="P175" i="33"/>
  <c r="M175" i="33"/>
  <c r="K175" i="33"/>
  <c r="P174" i="33"/>
  <c r="M174" i="33"/>
  <c r="K174" i="33"/>
  <c r="P172" i="33"/>
  <c r="M172" i="33"/>
  <c r="K172" i="33"/>
  <c r="P171" i="33"/>
  <c r="M171" i="33"/>
  <c r="K171" i="33"/>
  <c r="P170" i="33"/>
  <c r="M170" i="33"/>
  <c r="K170" i="33"/>
  <c r="P169" i="33"/>
  <c r="M169" i="33"/>
  <c r="K169" i="33"/>
  <c r="P166" i="33"/>
  <c r="M166" i="33"/>
  <c r="K166" i="33"/>
  <c r="P165" i="33"/>
  <c r="M165" i="33"/>
  <c r="K165" i="33"/>
  <c r="P162" i="33"/>
  <c r="M162" i="33"/>
  <c r="K162" i="33"/>
  <c r="P161" i="33"/>
  <c r="M161" i="33"/>
  <c r="K161" i="33"/>
  <c r="P158" i="33"/>
  <c r="U157" i="33"/>
  <c r="P157" i="33"/>
  <c r="P155" i="33"/>
  <c r="P154" i="33"/>
  <c r="P153" i="33"/>
  <c r="P152" i="33"/>
  <c r="P151" i="33"/>
  <c r="P150" i="33"/>
  <c r="P149" i="33"/>
  <c r="P148" i="33"/>
  <c r="P147" i="33"/>
  <c r="P146" i="33"/>
  <c r="P145" i="33"/>
  <c r="P144" i="33"/>
  <c r="P143" i="33"/>
  <c r="P142" i="33"/>
  <c r="P141" i="33"/>
  <c r="M141" i="33"/>
  <c r="P139" i="33"/>
  <c r="M139" i="33"/>
  <c r="P138" i="33"/>
  <c r="M138" i="33"/>
  <c r="P137" i="33"/>
  <c r="M137" i="33"/>
  <c r="P135" i="33"/>
  <c r="P134" i="33"/>
  <c r="M134" i="33"/>
  <c r="K134" i="33"/>
  <c r="P133" i="33"/>
  <c r="M133" i="33"/>
  <c r="K133" i="33"/>
  <c r="P132" i="33"/>
  <c r="M132" i="33"/>
  <c r="K132" i="33"/>
  <c r="P130" i="33"/>
  <c r="M130" i="33"/>
  <c r="K130" i="33"/>
  <c r="P128" i="33"/>
  <c r="M128" i="33"/>
  <c r="K128" i="33"/>
  <c r="P127" i="33"/>
  <c r="M127" i="33"/>
  <c r="K127" i="33"/>
  <c r="P125" i="33"/>
  <c r="U124" i="33"/>
  <c r="P124" i="33"/>
  <c r="O119" i="33"/>
  <c r="F119" i="33"/>
  <c r="O118" i="33"/>
  <c r="F118" i="33"/>
  <c r="O116" i="33"/>
  <c r="F116" i="33"/>
  <c r="F114" i="33"/>
  <c r="F113" i="33"/>
  <c r="N105" i="33"/>
  <c r="P103" i="33"/>
  <c r="D103" i="33"/>
  <c r="P102" i="33"/>
  <c r="D102" i="33"/>
  <c r="P101" i="33"/>
  <c r="D101" i="33"/>
  <c r="P100" i="33"/>
  <c r="D100" i="33"/>
  <c r="P99" i="33"/>
  <c r="D99" i="33"/>
  <c r="P98" i="33"/>
  <c r="D98" i="33"/>
  <c r="P97" i="33"/>
  <c r="C97" i="33"/>
  <c r="P95" i="33"/>
  <c r="D95" i="33"/>
  <c r="P94" i="33"/>
  <c r="D94" i="33"/>
  <c r="P93" i="33"/>
  <c r="D93" i="33"/>
  <c r="P92" i="33"/>
  <c r="D92" i="33"/>
  <c r="P91" i="33"/>
  <c r="D91" i="33"/>
  <c r="P90" i="33"/>
  <c r="D90" i="33"/>
  <c r="P89" i="33"/>
  <c r="C89" i="33"/>
  <c r="O83" i="33"/>
  <c r="F83" i="33"/>
  <c r="O82" i="33"/>
  <c r="F82" i="33"/>
  <c r="O80" i="33"/>
  <c r="F80" i="33"/>
  <c r="F78" i="33"/>
  <c r="F77" i="33"/>
  <c r="N37" i="33"/>
  <c r="O35" i="33"/>
  <c r="O34" i="33"/>
  <c r="H34" i="33"/>
  <c r="O32" i="33"/>
  <c r="O30" i="33"/>
  <c r="D30" i="33"/>
  <c r="O29" i="33"/>
  <c r="D29" i="33"/>
  <c r="G25" i="33"/>
  <c r="F25" i="33"/>
  <c r="D25" i="33"/>
  <c r="E22" i="33"/>
  <c r="E19" i="33"/>
  <c r="E16" i="33"/>
  <c r="Q13" i="33"/>
  <c r="E13" i="33"/>
  <c r="Q12" i="33"/>
  <c r="F12" i="33"/>
  <c r="F9" i="33"/>
  <c r="Q7" i="33"/>
  <c r="F7" i="33"/>
  <c r="F4" i="33"/>
  <c r="N227" i="32"/>
  <c r="K227" i="32"/>
  <c r="T226" i="32"/>
  <c r="N226" i="32"/>
  <c r="N225" i="32"/>
  <c r="K225" i="32"/>
  <c r="N224" i="32"/>
  <c r="K224" i="32"/>
  <c r="N223" i="32"/>
  <c r="K222" i="32"/>
  <c r="N221" i="32"/>
  <c r="K221" i="32"/>
  <c r="N220" i="32"/>
  <c r="K220" i="32"/>
  <c r="N218" i="32"/>
  <c r="K218" i="32"/>
  <c r="T217" i="32"/>
  <c r="N217" i="32"/>
  <c r="N216" i="32"/>
  <c r="K216" i="32"/>
  <c r="K215" i="32"/>
  <c r="N214" i="32"/>
  <c r="K214" i="32"/>
  <c r="K213" i="32"/>
  <c r="I213" i="32"/>
  <c r="H213" i="32"/>
  <c r="G213" i="32"/>
  <c r="N212" i="32"/>
  <c r="K212" i="32"/>
  <c r="K211" i="32"/>
  <c r="I211" i="32"/>
  <c r="H211" i="32"/>
  <c r="G211" i="32"/>
  <c r="N210" i="32"/>
  <c r="K210" i="32"/>
  <c r="N208" i="32"/>
  <c r="K208" i="32"/>
  <c r="N207" i="32"/>
  <c r="K207" i="32"/>
  <c r="K206" i="32"/>
  <c r="I206" i="32"/>
  <c r="H206" i="32"/>
  <c r="G206" i="32"/>
  <c r="N205" i="32"/>
  <c r="K205" i="32"/>
  <c r="N204" i="32"/>
  <c r="K204" i="32"/>
  <c r="K203" i="32"/>
  <c r="N202" i="32"/>
  <c r="K202" i="32"/>
  <c r="K201" i="32"/>
  <c r="J201" i="32"/>
  <c r="N200" i="32"/>
  <c r="K200" i="32"/>
  <c r="K199" i="32"/>
  <c r="N198" i="32"/>
  <c r="K198" i="32"/>
  <c r="K197" i="32"/>
  <c r="I197" i="32"/>
  <c r="H197" i="32"/>
  <c r="G197" i="32"/>
  <c r="N196" i="32"/>
  <c r="K196" i="32"/>
  <c r="N195" i="32"/>
  <c r="K195" i="32"/>
  <c r="K194" i="32"/>
  <c r="I194" i="32"/>
  <c r="H194" i="32"/>
  <c r="G194" i="32"/>
  <c r="N193" i="32"/>
  <c r="K193" i="32"/>
  <c r="N191" i="32"/>
  <c r="K191" i="32"/>
  <c r="K190" i="32"/>
  <c r="I190" i="32"/>
  <c r="H190" i="32"/>
  <c r="G190" i="32"/>
  <c r="N189" i="32"/>
  <c r="K189" i="32"/>
  <c r="K188" i="32"/>
  <c r="I188" i="32"/>
  <c r="H188" i="32"/>
  <c r="G188" i="32"/>
  <c r="N187" i="32"/>
  <c r="K187" i="32"/>
  <c r="N185" i="32"/>
  <c r="K185" i="32"/>
  <c r="K184" i="32"/>
  <c r="I184" i="32"/>
  <c r="H184" i="32"/>
  <c r="G184" i="32"/>
  <c r="N183" i="32"/>
  <c r="K183" i="32"/>
  <c r="K182" i="32"/>
  <c r="I182" i="32"/>
  <c r="H182" i="32"/>
  <c r="G182" i="32"/>
  <c r="N181" i="32"/>
  <c r="K181" i="32"/>
  <c r="N179" i="32"/>
  <c r="K179" i="32"/>
  <c r="K178" i="32"/>
  <c r="I178" i="32"/>
  <c r="H178" i="32"/>
  <c r="G178" i="32"/>
  <c r="N177" i="32"/>
  <c r="K177" i="32"/>
  <c r="K176" i="32"/>
  <c r="I176" i="32"/>
  <c r="H176" i="32"/>
  <c r="G176" i="32"/>
  <c r="N175" i="32"/>
  <c r="K175" i="32"/>
  <c r="T172" i="32"/>
  <c r="N172" i="32"/>
  <c r="K171" i="32"/>
  <c r="I171" i="32"/>
  <c r="H171" i="32"/>
  <c r="G171" i="32"/>
  <c r="N170" i="32"/>
  <c r="K170" i="32"/>
  <c r="K169" i="32"/>
  <c r="I169" i="32"/>
  <c r="H169" i="32"/>
  <c r="G169" i="32"/>
  <c r="N168" i="32"/>
  <c r="K168" i="32"/>
  <c r="N167" i="32"/>
  <c r="K167" i="32"/>
  <c r="K166" i="32"/>
  <c r="N165" i="32"/>
  <c r="K165" i="32"/>
  <c r="K164" i="32"/>
  <c r="I164" i="32"/>
  <c r="H164" i="32"/>
  <c r="G164" i="32"/>
  <c r="N163" i="32"/>
  <c r="K163" i="32"/>
  <c r="K162" i="32"/>
  <c r="I162" i="32"/>
  <c r="H162" i="32"/>
  <c r="G162" i="32"/>
  <c r="N161" i="32"/>
  <c r="K161" i="32"/>
  <c r="K160" i="32"/>
  <c r="J160" i="32"/>
  <c r="I160" i="32"/>
  <c r="H160" i="32"/>
  <c r="G160" i="32"/>
  <c r="N159" i="32"/>
  <c r="K159" i="32"/>
  <c r="K158" i="32"/>
  <c r="I158" i="32"/>
  <c r="H158" i="32"/>
  <c r="G158" i="32"/>
  <c r="N157" i="32"/>
  <c r="K157" i="32"/>
  <c r="N156" i="32"/>
  <c r="K156" i="32"/>
  <c r="N155" i="32"/>
  <c r="K155" i="32"/>
  <c r="K154" i="32"/>
  <c r="I154" i="32"/>
  <c r="H154" i="32"/>
  <c r="G154" i="32"/>
  <c r="N153" i="32"/>
  <c r="K153" i="32"/>
  <c r="N152" i="32"/>
  <c r="K152" i="32"/>
  <c r="N151" i="32"/>
  <c r="K151" i="32"/>
  <c r="K150" i="32"/>
  <c r="N149" i="32"/>
  <c r="K149" i="32"/>
  <c r="K148" i="32"/>
  <c r="N147" i="32"/>
  <c r="K147" i="32"/>
  <c r="N146" i="32"/>
  <c r="K146" i="32"/>
  <c r="N145" i="32"/>
  <c r="K145" i="32"/>
  <c r="N144" i="32"/>
  <c r="K144" i="32"/>
  <c r="K143" i="32"/>
  <c r="I143" i="32"/>
  <c r="H143" i="32"/>
  <c r="G143" i="32"/>
  <c r="N142" i="32"/>
  <c r="K142" i="32"/>
  <c r="K141" i="32"/>
  <c r="I141" i="32"/>
  <c r="H141" i="32"/>
  <c r="G141" i="32"/>
  <c r="N140" i="32"/>
  <c r="K140" i="32"/>
  <c r="K139" i="32"/>
  <c r="N138" i="32"/>
  <c r="K138" i="32"/>
  <c r="K137" i="32"/>
  <c r="I137" i="32"/>
  <c r="H137" i="32"/>
  <c r="G137" i="32"/>
  <c r="N136" i="32"/>
  <c r="K136" i="32"/>
  <c r="K135" i="32"/>
  <c r="I135" i="32"/>
  <c r="H135" i="32"/>
  <c r="G135" i="32"/>
  <c r="K134" i="32"/>
  <c r="I134" i="32"/>
  <c r="H134" i="32"/>
  <c r="G134" i="32"/>
  <c r="N133" i="32"/>
  <c r="K133" i="32"/>
  <c r="K132" i="32"/>
  <c r="I132" i="32"/>
  <c r="H132" i="32"/>
  <c r="G132" i="32"/>
  <c r="K131" i="32"/>
  <c r="I131" i="32"/>
  <c r="H131" i="32"/>
  <c r="G131" i="32"/>
  <c r="N130" i="32"/>
  <c r="K130" i="32"/>
  <c r="K129" i="32"/>
  <c r="I129" i="32"/>
  <c r="H129" i="32"/>
  <c r="G129" i="32"/>
  <c r="K128" i="32"/>
  <c r="I128" i="32"/>
  <c r="H128" i="32"/>
  <c r="G128" i="32"/>
  <c r="N127" i="32"/>
  <c r="K127" i="32"/>
  <c r="K126" i="32"/>
  <c r="N125" i="32"/>
  <c r="K125" i="32"/>
  <c r="N124" i="32"/>
  <c r="K124" i="32"/>
  <c r="K123" i="32"/>
  <c r="N122" i="32"/>
  <c r="K122" i="32"/>
  <c r="K121" i="32"/>
  <c r="N120" i="32"/>
  <c r="K120" i="32"/>
  <c r="K119" i="32"/>
  <c r="N118" i="32"/>
  <c r="K118" i="32"/>
  <c r="K117" i="32"/>
  <c r="I117" i="32"/>
  <c r="H117" i="32"/>
  <c r="G117" i="32"/>
  <c r="K116" i="32"/>
  <c r="I116" i="32"/>
  <c r="H116" i="32"/>
  <c r="G116" i="32"/>
  <c r="N115" i="32"/>
  <c r="K115" i="32"/>
  <c r="T114" i="32"/>
  <c r="N114" i="32"/>
  <c r="T113" i="32"/>
  <c r="N113" i="32"/>
  <c r="T112" i="32"/>
  <c r="N112" i="32"/>
  <c r="M107" i="32"/>
  <c r="F107" i="32"/>
  <c r="M106" i="32"/>
  <c r="F106" i="32"/>
  <c r="M104" i="32"/>
  <c r="F104" i="32"/>
  <c r="F102" i="32"/>
  <c r="F101" i="32"/>
  <c r="L93" i="32"/>
  <c r="N91" i="32"/>
  <c r="D91" i="32"/>
  <c r="N90" i="32"/>
  <c r="D90" i="32"/>
  <c r="N89" i="32"/>
  <c r="D89" i="32"/>
  <c r="N88" i="32"/>
  <c r="D88" i="32"/>
  <c r="T87" i="32"/>
  <c r="N87" i="32"/>
  <c r="D87" i="32"/>
  <c r="T86" i="32"/>
  <c r="N86" i="32"/>
  <c r="C86" i="32"/>
  <c r="M82" i="32"/>
  <c r="F82" i="32"/>
  <c r="M81" i="32"/>
  <c r="F81" i="32"/>
  <c r="M79" i="32"/>
  <c r="F79" i="32"/>
  <c r="F77" i="32"/>
  <c r="F76" i="32"/>
  <c r="L36" i="32"/>
  <c r="M34" i="32"/>
  <c r="M33" i="32"/>
  <c r="H33" i="32"/>
  <c r="M31" i="32"/>
  <c r="M29" i="32"/>
  <c r="D29" i="32"/>
  <c r="E22" i="32"/>
  <c r="E19" i="32"/>
  <c r="E16" i="32"/>
  <c r="O13" i="32"/>
  <c r="E13" i="32"/>
  <c r="O12" i="32"/>
  <c r="F12" i="32"/>
  <c r="F9" i="32"/>
  <c r="O7" i="32"/>
  <c r="F7" i="32"/>
  <c r="F4" i="32"/>
  <c r="K1030" i="31"/>
  <c r="N1029" i="31"/>
  <c r="K1029" i="31"/>
  <c r="K1028" i="31"/>
  <c r="N1027" i="31"/>
  <c r="K1027" i="31"/>
  <c r="K1026" i="31"/>
  <c r="K1025" i="31"/>
  <c r="K1024" i="31"/>
  <c r="K1023" i="31"/>
  <c r="N1022" i="31"/>
  <c r="K1022" i="31"/>
  <c r="K1021" i="31"/>
  <c r="K1020" i="31"/>
  <c r="K1019" i="31"/>
  <c r="N1018" i="31"/>
  <c r="K1018" i="31"/>
  <c r="T1017" i="31"/>
  <c r="N1017" i="31"/>
  <c r="K1016" i="31"/>
  <c r="N1015" i="31"/>
  <c r="K1015" i="31"/>
  <c r="N1014" i="31"/>
  <c r="K1014" i="31"/>
  <c r="K1013" i="31"/>
  <c r="N1012" i="31"/>
  <c r="K1012" i="31"/>
  <c r="K1011" i="31"/>
  <c r="N1010" i="31"/>
  <c r="K1010" i="31"/>
  <c r="N1009" i="31"/>
  <c r="K1009" i="31"/>
  <c r="K1008" i="31"/>
  <c r="N1007" i="31"/>
  <c r="K1007" i="31"/>
  <c r="K1006" i="31"/>
  <c r="N1005" i="31"/>
  <c r="K1005" i="31"/>
  <c r="N1004" i="31"/>
  <c r="K1004" i="31"/>
  <c r="N1003" i="31"/>
  <c r="K1003" i="31"/>
  <c r="K1002" i="31"/>
  <c r="I1002" i="31"/>
  <c r="H1002" i="31"/>
  <c r="G1002" i="31"/>
  <c r="N1001" i="31"/>
  <c r="K1001" i="31"/>
  <c r="T1000" i="31"/>
  <c r="N1000" i="31"/>
  <c r="N999" i="31"/>
  <c r="K999" i="31"/>
  <c r="K998" i="31"/>
  <c r="I998" i="31"/>
  <c r="H998" i="31"/>
  <c r="G998" i="31"/>
  <c r="N996" i="31"/>
  <c r="K996" i="31"/>
  <c r="N995" i="31"/>
  <c r="K995" i="31"/>
  <c r="N994" i="31"/>
  <c r="K994" i="31"/>
  <c r="K993" i="31"/>
  <c r="I993" i="31"/>
  <c r="H993" i="31"/>
  <c r="G993" i="31"/>
  <c r="K992" i="31"/>
  <c r="I992" i="31"/>
  <c r="H992" i="31"/>
  <c r="G992" i="31"/>
  <c r="N991" i="31"/>
  <c r="K991" i="31"/>
  <c r="T990" i="31"/>
  <c r="N990" i="31"/>
  <c r="N989" i="31"/>
  <c r="K989" i="31"/>
  <c r="K988" i="31"/>
  <c r="N987" i="31"/>
  <c r="K987" i="31"/>
  <c r="N986" i="31"/>
  <c r="K986" i="31"/>
  <c r="N985" i="31"/>
  <c r="K985" i="31"/>
  <c r="N984" i="31"/>
  <c r="K984" i="31"/>
  <c r="N983" i="31"/>
  <c r="K983" i="31"/>
  <c r="K982" i="31"/>
  <c r="K981" i="31"/>
  <c r="N980" i="31"/>
  <c r="K980" i="31"/>
  <c r="T979" i="31"/>
  <c r="N979" i="31"/>
  <c r="N978" i="31"/>
  <c r="K978" i="31"/>
  <c r="N977" i="31"/>
  <c r="K977" i="31"/>
  <c r="N976" i="31"/>
  <c r="K976" i="31"/>
  <c r="N975" i="31"/>
  <c r="K975" i="31"/>
  <c r="N974" i="31"/>
  <c r="K974" i="31"/>
  <c r="K973" i="31"/>
  <c r="I973" i="31"/>
  <c r="H973" i="31"/>
  <c r="G973" i="31"/>
  <c r="K972" i="31"/>
  <c r="K971" i="31"/>
  <c r="N970" i="31"/>
  <c r="K970" i="31"/>
  <c r="N969" i="31"/>
  <c r="K969" i="31"/>
  <c r="N968" i="31"/>
  <c r="K968" i="31"/>
  <c r="K967" i="31"/>
  <c r="I967" i="31"/>
  <c r="H967" i="31"/>
  <c r="G967" i="31"/>
  <c r="K966" i="31"/>
  <c r="K965" i="31"/>
  <c r="N964" i="31"/>
  <c r="K964" i="31"/>
  <c r="N963" i="31"/>
  <c r="K963" i="31"/>
  <c r="K962" i="31"/>
  <c r="I962" i="31"/>
  <c r="H962" i="31"/>
  <c r="G962" i="31"/>
  <c r="K961" i="31"/>
  <c r="N960" i="31"/>
  <c r="K960" i="31"/>
  <c r="T959" i="31"/>
  <c r="N959" i="31"/>
  <c r="N958" i="31"/>
  <c r="K958" i="31"/>
  <c r="K957" i="31"/>
  <c r="K956" i="31"/>
  <c r="N955" i="31"/>
  <c r="K955" i="31"/>
  <c r="K954" i="31"/>
  <c r="I954" i="31"/>
  <c r="H954" i="31"/>
  <c r="G954" i="31"/>
  <c r="K953" i="31"/>
  <c r="N952" i="31"/>
  <c r="K952" i="31"/>
  <c r="K951" i="31"/>
  <c r="I951" i="31"/>
  <c r="H951" i="31"/>
  <c r="G951" i="31"/>
  <c r="K950" i="31"/>
  <c r="K949" i="31"/>
  <c r="K948" i="31"/>
  <c r="K947" i="31"/>
  <c r="N946" i="31"/>
  <c r="K946" i="31"/>
  <c r="T945" i="31"/>
  <c r="N945" i="31"/>
  <c r="N944" i="31"/>
  <c r="K944" i="31"/>
  <c r="N943" i="31"/>
  <c r="K943" i="31"/>
  <c r="N942" i="31"/>
  <c r="K942" i="31"/>
  <c r="N941" i="31"/>
  <c r="K941" i="31"/>
  <c r="K940" i="31"/>
  <c r="N939" i="31"/>
  <c r="K939" i="31"/>
  <c r="T938" i="31"/>
  <c r="N938" i="31"/>
  <c r="N937" i="31"/>
  <c r="K937" i="31"/>
  <c r="N936" i="31"/>
  <c r="K936" i="31"/>
  <c r="K935" i="31"/>
  <c r="N934" i="31"/>
  <c r="K934" i="31"/>
  <c r="K933" i="31"/>
  <c r="I933" i="31"/>
  <c r="H933" i="31"/>
  <c r="G933" i="31"/>
  <c r="K932" i="31"/>
  <c r="N931" i="31"/>
  <c r="K931" i="31"/>
  <c r="N930" i="31"/>
  <c r="K930" i="31"/>
  <c r="K929" i="31"/>
  <c r="N928" i="31"/>
  <c r="K928" i="31"/>
  <c r="N927" i="31"/>
  <c r="K927" i="31"/>
  <c r="K926" i="31"/>
  <c r="N925" i="31"/>
  <c r="K925" i="31"/>
  <c r="K924" i="31"/>
  <c r="N923" i="31"/>
  <c r="K923" i="31"/>
  <c r="K922" i="31"/>
  <c r="I922" i="31"/>
  <c r="H922" i="31"/>
  <c r="G922" i="31"/>
  <c r="K921" i="31"/>
  <c r="N920" i="31"/>
  <c r="K920" i="31"/>
  <c r="K919" i="31"/>
  <c r="I919" i="31"/>
  <c r="H919" i="31"/>
  <c r="G919" i="31"/>
  <c r="K918" i="31"/>
  <c r="N917" i="31"/>
  <c r="K917" i="31"/>
  <c r="N916" i="31"/>
  <c r="K916" i="31"/>
  <c r="K915" i="31"/>
  <c r="I915" i="31"/>
  <c r="H915" i="31"/>
  <c r="G915" i="31"/>
  <c r="K914" i="31"/>
  <c r="K913" i="31"/>
  <c r="K912" i="31"/>
  <c r="K911" i="31"/>
  <c r="K910" i="31"/>
  <c r="K909" i="31"/>
  <c r="N908" i="31"/>
  <c r="K908" i="31"/>
  <c r="N907" i="31"/>
  <c r="K907" i="31"/>
  <c r="K906" i="31"/>
  <c r="N905" i="31"/>
  <c r="K905" i="31"/>
  <c r="T904" i="31"/>
  <c r="N904" i="31"/>
  <c r="N903" i="31"/>
  <c r="K903" i="31"/>
  <c r="N902" i="31"/>
  <c r="K902" i="31"/>
  <c r="K901" i="31"/>
  <c r="K900" i="31"/>
  <c r="K899" i="31"/>
  <c r="K898" i="31"/>
  <c r="N897" i="31"/>
  <c r="K897" i="31"/>
  <c r="N896" i="31"/>
  <c r="K896" i="31"/>
  <c r="K895" i="31"/>
  <c r="N894" i="31"/>
  <c r="K894" i="31"/>
  <c r="N893" i="31"/>
  <c r="K893" i="31"/>
  <c r="K892" i="31"/>
  <c r="N891" i="31"/>
  <c r="K891" i="31"/>
  <c r="N890" i="31"/>
  <c r="K890" i="31"/>
  <c r="K889" i="31"/>
  <c r="N888" i="31"/>
  <c r="K888" i="31"/>
  <c r="N887" i="31"/>
  <c r="K887" i="31"/>
  <c r="T886" i="31"/>
  <c r="K886" i="31"/>
  <c r="N885" i="31"/>
  <c r="K885" i="31"/>
  <c r="T884" i="31"/>
  <c r="N884" i="31"/>
  <c r="N883" i="31"/>
  <c r="K883" i="31"/>
  <c r="N882" i="31"/>
  <c r="K882" i="31"/>
  <c r="N881" i="31"/>
  <c r="K881" i="31"/>
  <c r="K880" i="31"/>
  <c r="I880" i="31"/>
  <c r="H880" i="31"/>
  <c r="G880" i="31"/>
  <c r="K879" i="31"/>
  <c r="I879" i="31"/>
  <c r="H879" i="31"/>
  <c r="G879" i="31"/>
  <c r="N878" i="31"/>
  <c r="K878" i="31"/>
  <c r="K877" i="31"/>
  <c r="I877" i="31"/>
  <c r="H877" i="31"/>
  <c r="G877" i="31"/>
  <c r="N876" i="31"/>
  <c r="K876" i="31"/>
  <c r="K875" i="31"/>
  <c r="K874" i="31"/>
  <c r="N873" i="31"/>
  <c r="K873" i="31"/>
  <c r="K872" i="31"/>
  <c r="K871" i="31"/>
  <c r="K870" i="31"/>
  <c r="K869" i="31"/>
  <c r="N868" i="31"/>
  <c r="K868" i="31"/>
  <c r="T867" i="31"/>
  <c r="N867" i="31"/>
  <c r="N866" i="31"/>
  <c r="K866" i="31"/>
  <c r="K865" i="31"/>
  <c r="K864" i="31"/>
  <c r="K863" i="31"/>
  <c r="K862" i="31"/>
  <c r="K861" i="31"/>
  <c r="K860" i="31"/>
  <c r="K859" i="31"/>
  <c r="N858" i="31"/>
  <c r="K858" i="31"/>
  <c r="K857" i="31"/>
  <c r="K856" i="31"/>
  <c r="N855" i="31"/>
  <c r="K855" i="31"/>
  <c r="N854" i="31"/>
  <c r="K854" i="31"/>
  <c r="K853" i="31"/>
  <c r="N852" i="31"/>
  <c r="K852" i="31"/>
  <c r="N851" i="31"/>
  <c r="K851" i="31"/>
  <c r="K850" i="31"/>
  <c r="N849" i="31"/>
  <c r="K849" i="31"/>
  <c r="N848" i="31"/>
  <c r="K847" i="31"/>
  <c r="I847" i="31"/>
  <c r="H847" i="31"/>
  <c r="G847" i="31"/>
  <c r="K844" i="31"/>
  <c r="K843" i="31"/>
  <c r="K842" i="31"/>
  <c r="N841" i="31"/>
  <c r="K841" i="31"/>
  <c r="N839" i="31"/>
  <c r="K839" i="31"/>
  <c r="K838" i="31"/>
  <c r="N837" i="31"/>
  <c r="K837" i="31"/>
  <c r="K836" i="31"/>
  <c r="I836" i="31"/>
  <c r="H836" i="31"/>
  <c r="G836" i="31"/>
  <c r="N835" i="31"/>
  <c r="K835" i="31"/>
  <c r="K834" i="31"/>
  <c r="I834" i="31"/>
  <c r="H834" i="31"/>
  <c r="G834" i="31"/>
  <c r="K833" i="31"/>
  <c r="I833" i="31"/>
  <c r="H833" i="31"/>
  <c r="G833" i="31"/>
  <c r="N832" i="31"/>
  <c r="K832" i="31"/>
  <c r="K831" i="31"/>
  <c r="I831" i="31"/>
  <c r="H831" i="31"/>
  <c r="G831" i="31"/>
  <c r="N830" i="31"/>
  <c r="K830" i="31"/>
  <c r="K829" i="31"/>
  <c r="I829" i="31"/>
  <c r="H829" i="31"/>
  <c r="G829" i="31"/>
  <c r="N828" i="31"/>
  <c r="K828" i="31"/>
  <c r="K827" i="31"/>
  <c r="I827" i="31"/>
  <c r="H827" i="31"/>
  <c r="G827" i="31"/>
  <c r="N826" i="31"/>
  <c r="K826" i="31"/>
  <c r="T825" i="31"/>
  <c r="N825" i="31"/>
  <c r="N824" i="31"/>
  <c r="K824" i="31"/>
  <c r="N823" i="31"/>
  <c r="K823" i="31"/>
  <c r="N822" i="31"/>
  <c r="K822" i="31"/>
  <c r="K821" i="31"/>
  <c r="J821" i="31"/>
  <c r="I821" i="31"/>
  <c r="H821" i="31"/>
  <c r="G821" i="31"/>
  <c r="N820" i="31"/>
  <c r="K820" i="31"/>
  <c r="N818" i="31"/>
  <c r="K818" i="31"/>
  <c r="N817" i="31"/>
  <c r="K817" i="31"/>
  <c r="K816" i="31"/>
  <c r="I816" i="31"/>
  <c r="H816" i="31"/>
  <c r="G816" i="31"/>
  <c r="K815" i="31"/>
  <c r="N814" i="31"/>
  <c r="K814" i="31"/>
  <c r="N813" i="31"/>
  <c r="K813" i="31"/>
  <c r="K812" i="31"/>
  <c r="J812" i="31"/>
  <c r="N811" i="31"/>
  <c r="K811" i="31"/>
  <c r="N810" i="31"/>
  <c r="K810" i="31"/>
  <c r="N809" i="31"/>
  <c r="K809" i="31"/>
  <c r="N808" i="31"/>
  <c r="K808" i="31"/>
  <c r="K807" i="31"/>
  <c r="J807" i="31"/>
  <c r="N806" i="31"/>
  <c r="K806" i="31"/>
  <c r="K805" i="31"/>
  <c r="I805" i="31"/>
  <c r="H805" i="31"/>
  <c r="G805" i="31"/>
  <c r="K804" i="31"/>
  <c r="N803" i="31"/>
  <c r="K803" i="31"/>
  <c r="N802" i="31"/>
  <c r="K802" i="31"/>
  <c r="K801" i="31"/>
  <c r="J801" i="31"/>
  <c r="I801" i="31"/>
  <c r="H801" i="31"/>
  <c r="G801" i="31"/>
  <c r="N800" i="31"/>
  <c r="K800" i="31"/>
  <c r="N799" i="31"/>
  <c r="K799" i="31"/>
  <c r="K798" i="31"/>
  <c r="I798" i="31"/>
  <c r="H798" i="31"/>
  <c r="G798" i="31"/>
  <c r="K797" i="31"/>
  <c r="N796" i="31"/>
  <c r="K796" i="31"/>
  <c r="N795" i="31"/>
  <c r="K795" i="31"/>
  <c r="K794" i="31"/>
  <c r="J794" i="31"/>
  <c r="N793" i="31"/>
  <c r="K793" i="31"/>
  <c r="K792" i="31"/>
  <c r="J792" i="31"/>
  <c r="I792" i="31"/>
  <c r="H792" i="31"/>
  <c r="G792" i="31"/>
  <c r="N791" i="31"/>
  <c r="K791" i="31"/>
  <c r="N790" i="31"/>
  <c r="K790" i="31"/>
  <c r="N789" i="31"/>
  <c r="K789" i="31"/>
  <c r="N788" i="31"/>
  <c r="K788" i="31"/>
  <c r="K787" i="31"/>
  <c r="J787" i="31"/>
  <c r="I787" i="31"/>
  <c r="H787" i="31"/>
  <c r="G787" i="31"/>
  <c r="N786" i="31"/>
  <c r="K786" i="31"/>
  <c r="N785" i="31"/>
  <c r="K785" i="31"/>
  <c r="K784" i="31"/>
  <c r="J784" i="31"/>
  <c r="I784" i="31"/>
  <c r="H784" i="31"/>
  <c r="G784" i="31"/>
  <c r="N783" i="31"/>
  <c r="K783" i="31"/>
  <c r="K782" i="31"/>
  <c r="N781" i="31"/>
  <c r="K781" i="31"/>
  <c r="N780" i="31"/>
  <c r="K780" i="31"/>
  <c r="K779" i="31"/>
  <c r="J779" i="31"/>
  <c r="I779" i="31"/>
  <c r="H779" i="31"/>
  <c r="G779" i="31"/>
  <c r="N778" i="31"/>
  <c r="K778" i="31"/>
  <c r="K777" i="31"/>
  <c r="N776" i="31"/>
  <c r="K776" i="31"/>
  <c r="N775" i="31"/>
  <c r="K775" i="31"/>
  <c r="K774" i="31"/>
  <c r="J774" i="31"/>
  <c r="N773" i="31"/>
  <c r="K773" i="31"/>
  <c r="K772" i="31"/>
  <c r="J772" i="31"/>
  <c r="I772" i="31"/>
  <c r="H772" i="31"/>
  <c r="G772" i="31"/>
  <c r="N771" i="31"/>
  <c r="K771" i="31"/>
  <c r="N770" i="31"/>
  <c r="K770" i="31"/>
  <c r="N769" i="31"/>
  <c r="K769" i="31"/>
  <c r="N768" i="31"/>
  <c r="K768" i="31"/>
  <c r="N767" i="31"/>
  <c r="K767" i="31"/>
  <c r="K766" i="31"/>
  <c r="J766" i="31"/>
  <c r="I766" i="31"/>
  <c r="H766" i="31"/>
  <c r="G766" i="31"/>
  <c r="N765" i="31"/>
  <c r="K765" i="31"/>
  <c r="N764" i="31"/>
  <c r="K764" i="31"/>
  <c r="K763" i="31"/>
  <c r="J763" i="31"/>
  <c r="I763" i="31"/>
  <c r="H763" i="31"/>
  <c r="G763" i="31"/>
  <c r="N762" i="31"/>
  <c r="K762" i="31"/>
  <c r="K761" i="31"/>
  <c r="N760" i="31"/>
  <c r="K760" i="31"/>
  <c r="N759" i="31"/>
  <c r="K759" i="31"/>
  <c r="K758" i="31"/>
  <c r="J758" i="31"/>
  <c r="I758" i="31"/>
  <c r="H758" i="31"/>
  <c r="G758" i="31"/>
  <c r="N757" i="31"/>
  <c r="K757" i="31"/>
  <c r="K756" i="31"/>
  <c r="N755" i="31"/>
  <c r="K755" i="31"/>
  <c r="K754" i="31"/>
  <c r="J754" i="31"/>
  <c r="I754" i="31"/>
  <c r="H754" i="31"/>
  <c r="G754" i="31"/>
  <c r="N753" i="31"/>
  <c r="K753" i="31"/>
  <c r="N752" i="31"/>
  <c r="K752" i="31"/>
  <c r="N751" i="31"/>
  <c r="K751" i="31"/>
  <c r="N750" i="31"/>
  <c r="K750" i="31"/>
  <c r="K749" i="31"/>
  <c r="J749" i="31"/>
  <c r="I749" i="31"/>
  <c r="H749" i="31"/>
  <c r="G749" i="31"/>
  <c r="N748" i="31"/>
  <c r="K748" i="31"/>
  <c r="K747" i="31"/>
  <c r="T745" i="31"/>
  <c r="N745" i="31"/>
  <c r="N744" i="31"/>
  <c r="K744" i="31"/>
  <c r="N743" i="31"/>
  <c r="K743" i="31"/>
  <c r="N742" i="31"/>
  <c r="K742" i="31"/>
  <c r="N741" i="31"/>
  <c r="K741" i="31"/>
  <c r="N740" i="31"/>
  <c r="K740" i="31"/>
  <c r="N739" i="31"/>
  <c r="K739" i="31"/>
  <c r="N738" i="31"/>
  <c r="K738" i="31"/>
  <c r="K737" i="31"/>
  <c r="K736" i="31"/>
  <c r="K735" i="31"/>
  <c r="K734" i="31"/>
  <c r="K733" i="31"/>
  <c r="K732" i="31"/>
  <c r="K731" i="31"/>
  <c r="K730" i="31"/>
  <c r="K729" i="31"/>
  <c r="K728" i="31"/>
  <c r="K727" i="31"/>
  <c r="I727" i="31"/>
  <c r="H727" i="31"/>
  <c r="G727" i="31"/>
  <c r="K726" i="31"/>
  <c r="N725" i="31"/>
  <c r="K725" i="31"/>
  <c r="N723" i="31"/>
  <c r="K723" i="31"/>
  <c r="N722" i="31"/>
  <c r="K722" i="31"/>
  <c r="K721" i="31"/>
  <c r="J721" i="31"/>
  <c r="I721" i="31"/>
  <c r="H721" i="31"/>
  <c r="G721" i="31"/>
  <c r="K720" i="31"/>
  <c r="J720" i="31"/>
  <c r="I720" i="31"/>
  <c r="H720" i="31"/>
  <c r="G720" i="31"/>
  <c r="N719" i="31"/>
  <c r="K719" i="31"/>
  <c r="K718" i="31"/>
  <c r="I718" i="31"/>
  <c r="H718" i="31"/>
  <c r="G718" i="31"/>
  <c r="K717" i="31"/>
  <c r="I717" i="31"/>
  <c r="H717" i="31"/>
  <c r="G717" i="31"/>
  <c r="N716" i="31"/>
  <c r="K716" i="31"/>
  <c r="N715" i="31"/>
  <c r="K715" i="31"/>
  <c r="N714" i="31"/>
  <c r="K714" i="31"/>
  <c r="N713" i="31"/>
  <c r="K713" i="31"/>
  <c r="N712" i="31"/>
  <c r="K712" i="31"/>
  <c r="K711" i="31"/>
  <c r="I711" i="31"/>
  <c r="H711" i="31"/>
  <c r="G711" i="31"/>
  <c r="K710" i="31"/>
  <c r="I710" i="31"/>
  <c r="H710" i="31"/>
  <c r="G710" i="31"/>
  <c r="K709" i="31"/>
  <c r="I709" i="31"/>
  <c r="H709" i="31"/>
  <c r="G709" i="31"/>
  <c r="N708" i="31"/>
  <c r="K708" i="31"/>
  <c r="N706" i="31"/>
  <c r="K706" i="31"/>
  <c r="N705" i="31"/>
  <c r="K705" i="31"/>
  <c r="N704" i="31"/>
  <c r="K704" i="31"/>
  <c r="N703" i="31"/>
  <c r="K703" i="31"/>
  <c r="K702" i="31"/>
  <c r="K701" i="31"/>
  <c r="N700" i="31"/>
  <c r="K700" i="31"/>
  <c r="K699" i="31"/>
  <c r="I699" i="31"/>
  <c r="H699" i="31"/>
  <c r="G699" i="31"/>
  <c r="K698" i="31"/>
  <c r="N697" i="31"/>
  <c r="K697" i="31"/>
  <c r="N696" i="31"/>
  <c r="K696" i="31"/>
  <c r="N695" i="31"/>
  <c r="K695" i="31"/>
  <c r="N694" i="31"/>
  <c r="K694" i="31"/>
  <c r="K693" i="31"/>
  <c r="K692" i="31"/>
  <c r="N691" i="31"/>
  <c r="K691" i="31"/>
  <c r="K690" i="31"/>
  <c r="I690" i="31"/>
  <c r="H690" i="31"/>
  <c r="G690" i="31"/>
  <c r="K689" i="31"/>
  <c r="N688" i="31"/>
  <c r="K688" i="31"/>
  <c r="N687" i="31"/>
  <c r="K687" i="31"/>
  <c r="N686" i="31"/>
  <c r="K686" i="31"/>
  <c r="N685" i="31"/>
  <c r="K685" i="31"/>
  <c r="K684" i="31"/>
  <c r="K683" i="31"/>
  <c r="N682" i="31"/>
  <c r="K682" i="31"/>
  <c r="K681" i="31"/>
  <c r="I681" i="31"/>
  <c r="H681" i="31"/>
  <c r="G681" i="31"/>
  <c r="K680" i="31"/>
  <c r="N679" i="31"/>
  <c r="K679" i="31"/>
  <c r="N678" i="31"/>
  <c r="K678" i="31"/>
  <c r="N677" i="31"/>
  <c r="K677" i="31"/>
  <c r="N676" i="31"/>
  <c r="K676" i="31"/>
  <c r="K675" i="31"/>
  <c r="K674" i="31"/>
  <c r="N673" i="31"/>
  <c r="K673" i="31"/>
  <c r="K672" i="31"/>
  <c r="I672" i="31"/>
  <c r="H672" i="31"/>
  <c r="G672" i="31"/>
  <c r="K671" i="31"/>
  <c r="N670" i="31"/>
  <c r="K670" i="31"/>
  <c r="N669" i="31"/>
  <c r="K669" i="31"/>
  <c r="N668" i="31"/>
  <c r="K668" i="31"/>
  <c r="N667" i="31"/>
  <c r="K667" i="31"/>
  <c r="K666" i="31"/>
  <c r="K665" i="31"/>
  <c r="N664" i="31"/>
  <c r="K664" i="31"/>
  <c r="K663" i="31"/>
  <c r="I663" i="31"/>
  <c r="H663" i="31"/>
  <c r="G663" i="31"/>
  <c r="K662" i="31"/>
  <c r="N661" i="31"/>
  <c r="K661" i="31"/>
  <c r="N660" i="31"/>
  <c r="K660" i="31"/>
  <c r="N659" i="31"/>
  <c r="K659" i="31"/>
  <c r="N658" i="31"/>
  <c r="K658" i="31"/>
  <c r="K657" i="31"/>
  <c r="K656" i="31"/>
  <c r="N655" i="31"/>
  <c r="K655" i="31"/>
  <c r="K654" i="31"/>
  <c r="I654" i="31"/>
  <c r="H654" i="31"/>
  <c r="G654" i="31"/>
  <c r="K653" i="31"/>
  <c r="N652" i="31"/>
  <c r="K652" i="31"/>
  <c r="N651" i="31"/>
  <c r="K651" i="31"/>
  <c r="K650" i="31"/>
  <c r="K649" i="31"/>
  <c r="N648" i="31"/>
  <c r="K648" i="31"/>
  <c r="N647" i="31"/>
  <c r="K647" i="31"/>
  <c r="K646" i="31"/>
  <c r="N645" i="31"/>
  <c r="K645" i="31"/>
  <c r="K644" i="31"/>
  <c r="I644" i="31"/>
  <c r="H644" i="31"/>
  <c r="G644" i="31"/>
  <c r="K643" i="31"/>
  <c r="T641" i="31"/>
  <c r="N641" i="31"/>
  <c r="N640" i="31"/>
  <c r="K640" i="31"/>
  <c r="K639" i="31"/>
  <c r="I639" i="31"/>
  <c r="H639" i="31"/>
  <c r="G639" i="31"/>
  <c r="N638" i="31"/>
  <c r="K638" i="31"/>
  <c r="K637" i="31"/>
  <c r="I637" i="31"/>
  <c r="H637" i="31"/>
  <c r="G637" i="31"/>
  <c r="K636" i="31"/>
  <c r="I636" i="31"/>
  <c r="H636" i="31"/>
  <c r="G636" i="31"/>
  <c r="N635" i="31"/>
  <c r="K635" i="31"/>
  <c r="N634" i="31"/>
  <c r="K634" i="31"/>
  <c r="K633" i="31"/>
  <c r="N632" i="31"/>
  <c r="K632" i="31"/>
  <c r="N631" i="31"/>
  <c r="K631" i="31"/>
  <c r="K630" i="31"/>
  <c r="N629" i="31"/>
  <c r="K629" i="31"/>
  <c r="N628" i="31"/>
  <c r="K628" i="31"/>
  <c r="K627" i="31"/>
  <c r="N626" i="31"/>
  <c r="K626" i="31"/>
  <c r="N624" i="31"/>
  <c r="K624" i="31"/>
  <c r="K623" i="31"/>
  <c r="I623" i="31"/>
  <c r="H623" i="31"/>
  <c r="G623" i="31"/>
  <c r="N622" i="31"/>
  <c r="K622" i="31"/>
  <c r="K621" i="31"/>
  <c r="I621" i="31"/>
  <c r="H621" i="31"/>
  <c r="G621" i="31"/>
  <c r="N620" i="31"/>
  <c r="K620" i="31"/>
  <c r="K619" i="31"/>
  <c r="I619" i="31"/>
  <c r="H619" i="31"/>
  <c r="G619" i="31"/>
  <c r="K618" i="31"/>
  <c r="I618" i="31"/>
  <c r="H618" i="31"/>
  <c r="G618" i="31"/>
  <c r="K617" i="31"/>
  <c r="N616" i="31"/>
  <c r="K616" i="31"/>
  <c r="N615" i="31"/>
  <c r="K615" i="31"/>
  <c r="N614" i="31"/>
  <c r="K614" i="31"/>
  <c r="N613" i="31"/>
  <c r="K613" i="31"/>
  <c r="K612" i="31"/>
  <c r="I612" i="31"/>
  <c r="H612" i="31"/>
  <c r="G612" i="31"/>
  <c r="K611" i="31"/>
  <c r="I611" i="31"/>
  <c r="H611" i="31"/>
  <c r="G611" i="31"/>
  <c r="K610" i="31"/>
  <c r="N609" i="31"/>
  <c r="K609" i="31"/>
  <c r="T608" i="31"/>
  <c r="N608" i="31"/>
  <c r="N607" i="31"/>
  <c r="K607" i="31"/>
  <c r="N606" i="31"/>
  <c r="N605" i="31"/>
  <c r="K605" i="31"/>
  <c r="K604" i="31"/>
  <c r="K603" i="31"/>
  <c r="N601" i="31"/>
  <c r="K601" i="31"/>
  <c r="K600" i="31"/>
  <c r="J600" i="31"/>
  <c r="N599" i="31"/>
  <c r="K599" i="31"/>
  <c r="K598" i="31"/>
  <c r="I598" i="31"/>
  <c r="H598" i="31"/>
  <c r="G598" i="31"/>
  <c r="K597" i="31"/>
  <c r="K596" i="31"/>
  <c r="K595" i="31"/>
  <c r="N594" i="31"/>
  <c r="K594" i="31"/>
  <c r="N593" i="31"/>
  <c r="K593" i="31"/>
  <c r="K592" i="31"/>
  <c r="I592" i="31"/>
  <c r="H592" i="31"/>
  <c r="G592" i="31"/>
  <c r="N591" i="31"/>
  <c r="K591" i="31"/>
  <c r="K590" i="31"/>
  <c r="K589" i="31"/>
  <c r="N587" i="31"/>
  <c r="K587" i="31"/>
  <c r="K586" i="31"/>
  <c r="I586" i="31"/>
  <c r="H586" i="31"/>
  <c r="G586" i="31"/>
  <c r="N585" i="31"/>
  <c r="K585" i="31"/>
  <c r="K584" i="31"/>
  <c r="N583" i="31"/>
  <c r="K583" i="31"/>
  <c r="N582" i="31"/>
  <c r="K582" i="31"/>
  <c r="K581" i="31"/>
  <c r="I581" i="31"/>
  <c r="H581" i="31"/>
  <c r="G581" i="31"/>
  <c r="N580" i="31"/>
  <c r="K580" i="31"/>
  <c r="K579" i="31"/>
  <c r="K578" i="31"/>
  <c r="K577" i="31"/>
  <c r="N576" i="31"/>
  <c r="K576" i="31"/>
  <c r="T575" i="31"/>
  <c r="N575" i="31"/>
  <c r="T574" i="31"/>
  <c r="N574" i="31"/>
  <c r="N573" i="31"/>
  <c r="K573" i="31"/>
  <c r="T572" i="31"/>
  <c r="N572" i="31"/>
  <c r="N571" i="31"/>
  <c r="K571" i="31"/>
  <c r="N570" i="31"/>
  <c r="K570" i="31"/>
  <c r="K569" i="31"/>
  <c r="N568" i="31"/>
  <c r="K568" i="31"/>
  <c r="K567" i="31"/>
  <c r="N566" i="31"/>
  <c r="K566" i="31"/>
  <c r="K565" i="31"/>
  <c r="N564" i="31"/>
  <c r="K564" i="31"/>
  <c r="K563" i="31"/>
  <c r="I563" i="31"/>
  <c r="H563" i="31"/>
  <c r="G563" i="31"/>
  <c r="N562" i="31"/>
  <c r="K562" i="31"/>
  <c r="K561" i="31"/>
  <c r="I561" i="31"/>
  <c r="H561" i="31"/>
  <c r="G561" i="31"/>
  <c r="K560" i="31"/>
  <c r="N559" i="31"/>
  <c r="K559" i="31"/>
  <c r="T558" i="31"/>
  <c r="N558" i="31"/>
  <c r="K557" i="31"/>
  <c r="I557" i="31"/>
  <c r="H557" i="31"/>
  <c r="G557" i="31"/>
  <c r="K556" i="31"/>
  <c r="I556" i="31"/>
  <c r="H556" i="31"/>
  <c r="G556" i="31"/>
  <c r="N555" i="31"/>
  <c r="K555" i="31"/>
  <c r="T554" i="31"/>
  <c r="N554" i="31"/>
  <c r="K553" i="31"/>
  <c r="I553" i="31"/>
  <c r="H553" i="31"/>
  <c r="G553" i="31"/>
  <c r="K552" i="31"/>
  <c r="K551" i="31"/>
  <c r="K550" i="31"/>
  <c r="K549" i="31"/>
  <c r="K548" i="31"/>
  <c r="N547" i="31"/>
  <c r="K547" i="31"/>
  <c r="K546" i="31"/>
  <c r="K545" i="31"/>
  <c r="N544" i="31"/>
  <c r="K544" i="31"/>
  <c r="K543" i="31"/>
  <c r="I543" i="31"/>
  <c r="H543" i="31"/>
  <c r="G543" i="31"/>
  <c r="N541" i="31"/>
  <c r="K541" i="31"/>
  <c r="K540" i="31"/>
  <c r="I540" i="31"/>
  <c r="H540" i="31"/>
  <c r="G540" i="31"/>
  <c r="K539" i="31"/>
  <c r="K538" i="31"/>
  <c r="K537" i="31"/>
  <c r="K536" i="31"/>
  <c r="K535" i="31"/>
  <c r="K534" i="31"/>
  <c r="K533" i="31"/>
  <c r="K531" i="31"/>
  <c r="J531" i="31"/>
  <c r="K530" i="31"/>
  <c r="K529" i="31"/>
  <c r="K528" i="31"/>
  <c r="K527" i="31"/>
  <c r="N525" i="31"/>
  <c r="K525" i="31"/>
  <c r="K524" i="31"/>
  <c r="K523" i="31"/>
  <c r="N522" i="31"/>
  <c r="K522" i="31"/>
  <c r="K521" i="31"/>
  <c r="N520" i="31"/>
  <c r="K520" i="31"/>
  <c r="K519" i="31"/>
  <c r="I519" i="31"/>
  <c r="H519" i="31"/>
  <c r="G519" i="31"/>
  <c r="K517" i="31"/>
  <c r="K516" i="31"/>
  <c r="K515" i="31"/>
  <c r="K514" i="31"/>
  <c r="K513" i="31"/>
  <c r="K512" i="31"/>
  <c r="K511" i="31"/>
  <c r="K510" i="31"/>
  <c r="N509" i="31"/>
  <c r="K509" i="31"/>
  <c r="N508" i="31"/>
  <c r="K508" i="31"/>
  <c r="N507" i="31"/>
  <c r="K507" i="31"/>
  <c r="N506" i="31"/>
  <c r="K506" i="31"/>
  <c r="N505" i="31"/>
  <c r="K505" i="31"/>
  <c r="N504" i="31"/>
  <c r="K504" i="31"/>
  <c r="K503" i="31"/>
  <c r="K502" i="31"/>
  <c r="N501" i="31"/>
  <c r="K501" i="31"/>
  <c r="K500" i="31"/>
  <c r="N499" i="31"/>
  <c r="K499" i="31"/>
  <c r="K498" i="31"/>
  <c r="N497" i="31"/>
  <c r="K497" i="31"/>
  <c r="K496" i="31"/>
  <c r="N495" i="31"/>
  <c r="K495" i="31"/>
  <c r="K494" i="31"/>
  <c r="I494" i="31"/>
  <c r="H494" i="31"/>
  <c r="G494" i="31"/>
  <c r="N493" i="31"/>
  <c r="K493" i="31"/>
  <c r="K492" i="31"/>
  <c r="I492" i="31"/>
  <c r="H492" i="31"/>
  <c r="G492" i="31"/>
  <c r="K491" i="31"/>
  <c r="K490" i="31"/>
  <c r="K489" i="31"/>
  <c r="K488" i="31"/>
  <c r="N487" i="31"/>
  <c r="K487" i="31"/>
  <c r="K486" i="31"/>
  <c r="I486" i="31"/>
  <c r="H486" i="31"/>
  <c r="G486" i="31"/>
  <c r="K485" i="31"/>
  <c r="I485" i="31"/>
  <c r="H485" i="31"/>
  <c r="G485" i="31"/>
  <c r="N484" i="31"/>
  <c r="K484" i="31"/>
  <c r="K483" i="31"/>
  <c r="I483" i="31"/>
  <c r="H483" i="31"/>
  <c r="G483" i="31"/>
  <c r="K482" i="31"/>
  <c r="I482" i="31"/>
  <c r="H482" i="31"/>
  <c r="G482" i="31"/>
  <c r="K481" i="31"/>
  <c r="I481" i="31"/>
  <c r="H481" i="31"/>
  <c r="G481" i="31"/>
  <c r="K480" i="31"/>
  <c r="I480" i="31"/>
  <c r="H480" i="31"/>
  <c r="G480" i="31"/>
  <c r="N479" i="31"/>
  <c r="K479" i="31"/>
  <c r="K478" i="31"/>
  <c r="I478" i="31"/>
  <c r="H478" i="31"/>
  <c r="G478" i="31"/>
  <c r="N477" i="31"/>
  <c r="K477" i="31"/>
  <c r="K476" i="31"/>
  <c r="I476" i="31"/>
  <c r="H476" i="31"/>
  <c r="G476" i="31"/>
  <c r="K475" i="31"/>
  <c r="I475" i="31"/>
  <c r="H475" i="31"/>
  <c r="G475" i="31"/>
  <c r="K474" i="31"/>
  <c r="I474" i="31"/>
  <c r="H474" i="31"/>
  <c r="G474" i="31"/>
  <c r="K473" i="31"/>
  <c r="I473" i="31"/>
  <c r="H473" i="31"/>
  <c r="G473" i="31"/>
  <c r="N472" i="31"/>
  <c r="K472" i="31"/>
  <c r="T471" i="31"/>
  <c r="N471" i="31"/>
  <c r="N470" i="31"/>
  <c r="K470" i="31"/>
  <c r="N469" i="31"/>
  <c r="K469" i="31"/>
  <c r="K468" i="31"/>
  <c r="I468" i="31"/>
  <c r="H468" i="31"/>
  <c r="G468" i="31"/>
  <c r="K467" i="31"/>
  <c r="K466" i="31"/>
  <c r="K465" i="31"/>
  <c r="N464" i="31"/>
  <c r="K464" i="31"/>
  <c r="K463" i="31"/>
  <c r="I463" i="31"/>
  <c r="H463" i="31"/>
  <c r="G463" i="31"/>
  <c r="K462" i="31"/>
  <c r="K461" i="31"/>
  <c r="K460" i="31"/>
  <c r="N459" i="31"/>
  <c r="K459" i="31"/>
  <c r="K458" i="31"/>
  <c r="J458" i="31"/>
  <c r="N457" i="31"/>
  <c r="K457" i="31"/>
  <c r="N456" i="31"/>
  <c r="K456" i="31"/>
  <c r="K455" i="31"/>
  <c r="I455" i="31"/>
  <c r="H455" i="31"/>
  <c r="G455" i="31"/>
  <c r="K454" i="31"/>
  <c r="I454" i="31"/>
  <c r="H454" i="31"/>
  <c r="G454" i="31"/>
  <c r="N453" i="31"/>
  <c r="K453" i="31"/>
  <c r="K452" i="31"/>
  <c r="I452" i="31"/>
  <c r="H452" i="31"/>
  <c r="G452" i="31"/>
  <c r="K451" i="31"/>
  <c r="I451" i="31"/>
  <c r="H451" i="31"/>
  <c r="G451" i="31"/>
  <c r="N450" i="31"/>
  <c r="K450" i="31"/>
  <c r="K449" i="31"/>
  <c r="N448" i="31"/>
  <c r="K448" i="31"/>
  <c r="K447" i="31"/>
  <c r="N446" i="31"/>
  <c r="K446" i="31"/>
  <c r="K445" i="31"/>
  <c r="N444" i="31"/>
  <c r="K444" i="31"/>
  <c r="N443" i="31"/>
  <c r="K443" i="31"/>
  <c r="K442" i="31"/>
  <c r="I442" i="31"/>
  <c r="H442" i="31"/>
  <c r="G442" i="31"/>
  <c r="K441" i="31"/>
  <c r="I441" i="31"/>
  <c r="H441" i="31"/>
  <c r="G441" i="31"/>
  <c r="N440" i="31"/>
  <c r="K440" i="31"/>
  <c r="N439" i="31"/>
  <c r="K439" i="31"/>
  <c r="N438" i="31"/>
  <c r="K438" i="31"/>
  <c r="N437" i="31"/>
  <c r="K437" i="31"/>
  <c r="K436" i="31"/>
  <c r="I436" i="31"/>
  <c r="H436" i="31"/>
  <c r="G436" i="31"/>
  <c r="N435" i="31"/>
  <c r="K435" i="31"/>
  <c r="N434" i="31"/>
  <c r="K434" i="31"/>
  <c r="N433" i="31"/>
  <c r="K433" i="31"/>
  <c r="N432" i="31"/>
  <c r="K432" i="31"/>
  <c r="N431" i="31"/>
  <c r="K431" i="31"/>
  <c r="N430" i="31"/>
  <c r="K430" i="31"/>
  <c r="K429" i="31"/>
  <c r="I429" i="31"/>
  <c r="H429" i="31"/>
  <c r="G429" i="31"/>
  <c r="K428" i="31"/>
  <c r="I428" i="31"/>
  <c r="H428" i="31"/>
  <c r="G428" i="31"/>
  <c r="N427" i="31"/>
  <c r="K427" i="31"/>
  <c r="K426" i="31"/>
  <c r="I426" i="31"/>
  <c r="H426" i="31"/>
  <c r="G426" i="31"/>
  <c r="K425" i="31"/>
  <c r="I425" i="31"/>
  <c r="H425" i="31"/>
  <c r="G425" i="31"/>
  <c r="N424" i="31"/>
  <c r="K424" i="31"/>
  <c r="K423" i="31"/>
  <c r="I423" i="31"/>
  <c r="H423" i="31"/>
  <c r="G423" i="31"/>
  <c r="N422" i="31"/>
  <c r="K422" i="31"/>
  <c r="K421" i="31"/>
  <c r="I421" i="31"/>
  <c r="H421" i="31"/>
  <c r="G421" i="31"/>
  <c r="K420" i="31"/>
  <c r="I420" i="31"/>
  <c r="H420" i="31"/>
  <c r="G420" i="31"/>
  <c r="N419" i="31"/>
  <c r="K419" i="31"/>
  <c r="T418" i="31"/>
  <c r="N418" i="31"/>
  <c r="K417" i="31"/>
  <c r="I417" i="31"/>
  <c r="H417" i="31"/>
  <c r="G417" i="31"/>
  <c r="K416" i="31"/>
  <c r="I416" i="31"/>
  <c r="H416" i="31"/>
  <c r="G416" i="31"/>
  <c r="K415" i="31"/>
  <c r="I415" i="31"/>
  <c r="H415" i="31"/>
  <c r="G415" i="31"/>
  <c r="N414" i="31"/>
  <c r="K414" i="31"/>
  <c r="K413" i="31"/>
  <c r="I413" i="31"/>
  <c r="H413" i="31"/>
  <c r="G413" i="31"/>
  <c r="K412" i="31"/>
  <c r="I412" i="31"/>
  <c r="H412" i="31"/>
  <c r="G412" i="31"/>
  <c r="K411" i="31"/>
  <c r="I411" i="31"/>
  <c r="H411" i="31"/>
  <c r="G411" i="31"/>
  <c r="K410" i="31"/>
  <c r="I410" i="31"/>
  <c r="H410" i="31"/>
  <c r="G410" i="31"/>
  <c r="K409" i="31"/>
  <c r="I409" i="31"/>
  <c r="H409" i="31"/>
  <c r="G409" i="31"/>
  <c r="K408" i="31"/>
  <c r="I408" i="31"/>
  <c r="H408" i="31"/>
  <c r="G408" i="31"/>
  <c r="N407" i="31"/>
  <c r="K407" i="31"/>
  <c r="K406" i="31"/>
  <c r="I406" i="31"/>
  <c r="H406" i="31"/>
  <c r="G406" i="31"/>
  <c r="K405" i="31"/>
  <c r="I405" i="31"/>
  <c r="H405" i="31"/>
  <c r="G405" i="31"/>
  <c r="K404" i="31"/>
  <c r="I404" i="31"/>
  <c r="H404" i="31"/>
  <c r="G404" i="31"/>
  <c r="N403" i="31"/>
  <c r="K403" i="31"/>
  <c r="K402" i="31"/>
  <c r="I402" i="31"/>
  <c r="H402" i="31"/>
  <c r="G402" i="31"/>
  <c r="K401" i="31"/>
  <c r="K400" i="31"/>
  <c r="N399" i="31"/>
  <c r="K399" i="31"/>
  <c r="K398" i="31"/>
  <c r="J398" i="31"/>
  <c r="I398" i="31"/>
  <c r="H398" i="31"/>
  <c r="G398" i="31"/>
  <c r="N397" i="31"/>
  <c r="K397" i="31"/>
  <c r="N394" i="31"/>
  <c r="K394" i="31"/>
  <c r="N392" i="31"/>
  <c r="K392" i="31"/>
  <c r="K391" i="31"/>
  <c r="I391" i="31"/>
  <c r="H391" i="31"/>
  <c r="G391" i="31"/>
  <c r="N388" i="31"/>
  <c r="K388" i="31"/>
  <c r="K387" i="31"/>
  <c r="K386" i="31"/>
  <c r="N385" i="31"/>
  <c r="K385" i="31"/>
  <c r="K384" i="31"/>
  <c r="I384" i="31"/>
  <c r="H384" i="31"/>
  <c r="G384" i="31"/>
  <c r="N383" i="31"/>
  <c r="K383" i="31"/>
  <c r="K382" i="31"/>
  <c r="N381" i="31"/>
  <c r="K381" i="31"/>
  <c r="K380" i="31"/>
  <c r="I380" i="31"/>
  <c r="H380" i="31"/>
  <c r="G380" i="31"/>
  <c r="K379" i="31"/>
  <c r="I379" i="31"/>
  <c r="H379" i="31"/>
  <c r="G379" i="31"/>
  <c r="K378" i="31"/>
  <c r="I378" i="31"/>
  <c r="H378" i="31"/>
  <c r="G378" i="31"/>
  <c r="K377" i="31"/>
  <c r="I377" i="31"/>
  <c r="H377" i="31"/>
  <c r="G377" i="31"/>
  <c r="K376" i="31"/>
  <c r="I376" i="31"/>
  <c r="H376" i="31"/>
  <c r="G376" i="31"/>
  <c r="K375" i="31"/>
  <c r="I375" i="31"/>
  <c r="H375" i="31"/>
  <c r="G375" i="31"/>
  <c r="N374" i="31"/>
  <c r="K374" i="31"/>
  <c r="K373" i="31"/>
  <c r="I373" i="31"/>
  <c r="H373" i="31"/>
  <c r="G373" i="31"/>
  <c r="K372" i="31"/>
  <c r="I372" i="31"/>
  <c r="H372" i="31"/>
  <c r="G372" i="31"/>
  <c r="K371" i="31"/>
  <c r="I371" i="31"/>
  <c r="H371" i="31"/>
  <c r="G371" i="31"/>
  <c r="K370" i="31"/>
  <c r="I370" i="31"/>
  <c r="H370" i="31"/>
  <c r="G370" i="31"/>
  <c r="N369" i="31"/>
  <c r="K369" i="31"/>
  <c r="T368" i="31"/>
  <c r="N368" i="31"/>
  <c r="K367" i="31"/>
  <c r="I367" i="31"/>
  <c r="H367" i="31"/>
  <c r="G367" i="31"/>
  <c r="N366" i="31"/>
  <c r="K366" i="31"/>
  <c r="K365" i="31"/>
  <c r="I365" i="31"/>
  <c r="H365" i="31"/>
  <c r="G365" i="31"/>
  <c r="N364" i="31"/>
  <c r="K364" i="31"/>
  <c r="K363" i="31"/>
  <c r="I363" i="31"/>
  <c r="H363" i="31"/>
  <c r="G363" i="31"/>
  <c r="N362" i="31"/>
  <c r="K362" i="31"/>
  <c r="K361" i="31"/>
  <c r="K360" i="31"/>
  <c r="N359" i="31"/>
  <c r="K359" i="31"/>
  <c r="N358" i="31"/>
  <c r="K358" i="31"/>
  <c r="K357" i="31"/>
  <c r="I357" i="31"/>
  <c r="H357" i="31"/>
  <c r="G357" i="31"/>
  <c r="N356" i="31"/>
  <c r="K356" i="31"/>
  <c r="K355" i="31"/>
  <c r="I355" i="31"/>
  <c r="H355" i="31"/>
  <c r="G355" i="31"/>
  <c r="N354" i="31"/>
  <c r="K354" i="31"/>
  <c r="K353" i="31"/>
  <c r="I353" i="31"/>
  <c r="H353" i="31"/>
  <c r="G353" i="31"/>
  <c r="N352" i="31"/>
  <c r="K352" i="31"/>
  <c r="K351" i="31"/>
  <c r="J351" i="31"/>
  <c r="I351" i="31"/>
  <c r="H351" i="31"/>
  <c r="G351" i="31"/>
  <c r="N350" i="31"/>
  <c r="K350" i="31"/>
  <c r="K349" i="31"/>
  <c r="N348" i="31"/>
  <c r="K348" i="31"/>
  <c r="N347" i="31"/>
  <c r="K347" i="31"/>
  <c r="K346" i="31"/>
  <c r="I346" i="31"/>
  <c r="H346" i="31"/>
  <c r="G346" i="31"/>
  <c r="K345" i="31"/>
  <c r="I345" i="31"/>
  <c r="H345" i="31"/>
  <c r="G345" i="31"/>
  <c r="N344" i="31"/>
  <c r="K344" i="31"/>
  <c r="K343" i="31"/>
  <c r="I343" i="31"/>
  <c r="H343" i="31"/>
  <c r="G343" i="31"/>
  <c r="N342" i="31"/>
  <c r="K342" i="31"/>
  <c r="K341" i="31"/>
  <c r="I341" i="31"/>
  <c r="H341" i="31"/>
  <c r="G341" i="31"/>
  <c r="N340" i="31"/>
  <c r="K340" i="31"/>
  <c r="K339" i="31"/>
  <c r="I339" i="31"/>
  <c r="H339" i="31"/>
  <c r="G339" i="31"/>
  <c r="K338" i="31"/>
  <c r="I338" i="31"/>
  <c r="H338" i="31"/>
  <c r="G338" i="31"/>
  <c r="N337" i="31"/>
  <c r="K337" i="31"/>
  <c r="K336" i="31"/>
  <c r="I336" i="31"/>
  <c r="H336" i="31"/>
  <c r="G336" i="31"/>
  <c r="N335" i="31"/>
  <c r="K335" i="31"/>
  <c r="K334" i="31"/>
  <c r="I334" i="31"/>
  <c r="H334" i="31"/>
  <c r="G334" i="31"/>
  <c r="N333" i="31"/>
  <c r="K333" i="31"/>
  <c r="T332" i="31"/>
  <c r="N332" i="31"/>
  <c r="K331" i="31"/>
  <c r="I331" i="31"/>
  <c r="H331" i="31"/>
  <c r="G331" i="31"/>
  <c r="K330" i="31"/>
  <c r="I330" i="31"/>
  <c r="H330" i="31"/>
  <c r="G330" i="31"/>
  <c r="N329" i="31"/>
  <c r="K329" i="31"/>
  <c r="K328" i="31"/>
  <c r="N327" i="31"/>
  <c r="K327" i="31"/>
  <c r="N326" i="31"/>
  <c r="K326" i="31"/>
  <c r="K325" i="31"/>
  <c r="N324" i="31"/>
  <c r="K324" i="31"/>
  <c r="K323" i="31"/>
  <c r="N322" i="31"/>
  <c r="K322" i="31"/>
  <c r="K321" i="31"/>
  <c r="N320" i="31"/>
  <c r="K320" i="31"/>
  <c r="K319" i="31"/>
  <c r="I319" i="31"/>
  <c r="H319" i="31"/>
  <c r="G319" i="31"/>
  <c r="N318" i="31"/>
  <c r="K318" i="31"/>
  <c r="K317" i="31"/>
  <c r="I317" i="31"/>
  <c r="H317" i="31"/>
  <c r="G317" i="31"/>
  <c r="K316" i="31"/>
  <c r="I316" i="31"/>
  <c r="H316" i="31"/>
  <c r="G316" i="31"/>
  <c r="N315" i="31"/>
  <c r="K315" i="31"/>
  <c r="K314" i="31"/>
  <c r="I314" i="31"/>
  <c r="H314" i="31"/>
  <c r="G314" i="31"/>
  <c r="K313" i="31"/>
  <c r="I313" i="31"/>
  <c r="H313" i="31"/>
  <c r="G313" i="31"/>
  <c r="N312" i="31"/>
  <c r="K312" i="31"/>
  <c r="T311" i="31"/>
  <c r="N311" i="31"/>
  <c r="T310" i="31"/>
  <c r="N310" i="31"/>
  <c r="T309" i="31"/>
  <c r="N309" i="31"/>
  <c r="K307" i="31"/>
  <c r="N306" i="31"/>
  <c r="K306" i="31"/>
  <c r="K305" i="31"/>
  <c r="K304" i="31"/>
  <c r="N303" i="31"/>
  <c r="K303" i="31"/>
  <c r="K302" i="31"/>
  <c r="K301" i="31"/>
  <c r="K300" i="31"/>
  <c r="N299" i="31"/>
  <c r="K299" i="31"/>
  <c r="T298" i="31"/>
  <c r="N298" i="31"/>
  <c r="N297" i="31"/>
  <c r="K297" i="31"/>
  <c r="N296" i="31"/>
  <c r="K296" i="31"/>
  <c r="K295" i="31"/>
  <c r="I295" i="31"/>
  <c r="H295" i="31"/>
  <c r="G295" i="31"/>
  <c r="N294" i="31"/>
  <c r="K294" i="31"/>
  <c r="T293" i="31"/>
  <c r="N293" i="31"/>
  <c r="N292" i="31"/>
  <c r="K292" i="31"/>
  <c r="N291" i="31"/>
  <c r="K291" i="31"/>
  <c r="N290" i="31"/>
  <c r="K290" i="31"/>
  <c r="N289" i="31"/>
  <c r="K289" i="31"/>
  <c r="K288" i="31"/>
  <c r="I288" i="31"/>
  <c r="H288" i="31"/>
  <c r="G288" i="31"/>
  <c r="N287" i="31"/>
  <c r="K287" i="31"/>
  <c r="T286" i="31"/>
  <c r="N286" i="31"/>
  <c r="N285" i="31"/>
  <c r="K285" i="31"/>
  <c r="N284" i="31"/>
  <c r="K284" i="31"/>
  <c r="N283" i="31"/>
  <c r="K283" i="31"/>
  <c r="N282" i="31"/>
  <c r="K282" i="31"/>
  <c r="N281" i="31"/>
  <c r="K281" i="31"/>
  <c r="K280" i="31"/>
  <c r="N279" i="31"/>
  <c r="K279" i="31"/>
  <c r="N278" i="31"/>
  <c r="K278" i="31"/>
  <c r="N277" i="31"/>
  <c r="K277" i="31"/>
  <c r="K276" i="31"/>
  <c r="N275" i="31"/>
  <c r="K275" i="31"/>
  <c r="N274" i="31"/>
  <c r="K274" i="31"/>
  <c r="K273" i="31"/>
  <c r="N272" i="31"/>
  <c r="K272" i="31"/>
  <c r="T271" i="31"/>
  <c r="N271" i="31"/>
  <c r="N270" i="31"/>
  <c r="K270" i="31"/>
  <c r="K269" i="31"/>
  <c r="K268" i="31"/>
  <c r="N267" i="31"/>
  <c r="K267" i="31"/>
  <c r="N266" i="31"/>
  <c r="K266" i="31"/>
  <c r="K265" i="31"/>
  <c r="N264" i="31"/>
  <c r="K264" i="31"/>
  <c r="T263" i="31"/>
  <c r="N263" i="31"/>
  <c r="N262" i="31"/>
  <c r="K262" i="31"/>
  <c r="K261" i="31"/>
  <c r="N260" i="31"/>
  <c r="K260" i="31"/>
  <c r="N259" i="31"/>
  <c r="K259" i="31"/>
  <c r="K258" i="31"/>
  <c r="N257" i="31"/>
  <c r="K257" i="31"/>
  <c r="N256" i="31"/>
  <c r="K256" i="31"/>
  <c r="K255" i="31"/>
  <c r="N254" i="31"/>
  <c r="K254" i="31"/>
  <c r="N253" i="31"/>
  <c r="K253" i="31"/>
  <c r="K252" i="31"/>
  <c r="N251" i="31"/>
  <c r="K251" i="31"/>
  <c r="T250" i="31"/>
  <c r="N250" i="31"/>
  <c r="N249" i="31"/>
  <c r="K249" i="31"/>
  <c r="N248" i="31"/>
  <c r="K248" i="31"/>
  <c r="K247" i="31"/>
  <c r="N246" i="31"/>
  <c r="K246" i="31"/>
  <c r="K245" i="31"/>
  <c r="K244" i="31"/>
  <c r="N243" i="31"/>
  <c r="K243" i="31"/>
  <c r="K242" i="31"/>
  <c r="I242" i="31"/>
  <c r="H242" i="31"/>
  <c r="G242" i="31"/>
  <c r="N241" i="31"/>
  <c r="K241" i="31"/>
  <c r="T240" i="31"/>
  <c r="N240" i="31"/>
  <c r="N239" i="31"/>
  <c r="K239" i="31"/>
  <c r="N238" i="31"/>
  <c r="K238" i="31"/>
  <c r="K237" i="31"/>
  <c r="N236" i="31"/>
  <c r="K236" i="31"/>
  <c r="T233" i="31"/>
  <c r="N233" i="31"/>
  <c r="N232" i="31"/>
  <c r="K232" i="31"/>
  <c r="K231" i="31"/>
  <c r="J231" i="31"/>
  <c r="N230" i="31"/>
  <c r="K230" i="31"/>
  <c r="K229" i="31"/>
  <c r="N228" i="31"/>
  <c r="K228" i="31"/>
  <c r="T227" i="31"/>
  <c r="N227" i="31"/>
  <c r="T226" i="31"/>
  <c r="N226" i="31"/>
  <c r="N225" i="31"/>
  <c r="K225" i="31"/>
  <c r="T224" i="31"/>
  <c r="N224" i="31"/>
  <c r="N223" i="31"/>
  <c r="K223" i="31"/>
  <c r="N222" i="31"/>
  <c r="K222" i="31"/>
  <c r="K221" i="31"/>
  <c r="N220" i="31"/>
  <c r="K220" i="31"/>
  <c r="K219" i="31"/>
  <c r="N218" i="31"/>
  <c r="K218" i="31"/>
  <c r="K217" i="31"/>
  <c r="N216" i="31"/>
  <c r="K216" i="31"/>
  <c r="K215" i="31"/>
  <c r="I215" i="31"/>
  <c r="H215" i="31"/>
  <c r="G215" i="31"/>
  <c r="N214" i="31"/>
  <c r="K214" i="31"/>
  <c r="K213" i="31"/>
  <c r="N212" i="31"/>
  <c r="K212" i="31"/>
  <c r="T211" i="31"/>
  <c r="N211" i="31"/>
  <c r="K210" i="31"/>
  <c r="I210" i="31"/>
  <c r="H210" i="31"/>
  <c r="G210" i="31"/>
  <c r="N209" i="31"/>
  <c r="K209" i="31"/>
  <c r="T208" i="31"/>
  <c r="N208" i="31"/>
  <c r="K207" i="31"/>
  <c r="N206" i="31"/>
  <c r="K206" i="31"/>
  <c r="N205" i="31"/>
  <c r="K205" i="31"/>
  <c r="N204" i="31"/>
  <c r="K204" i="31"/>
  <c r="K203" i="31"/>
  <c r="K201" i="31"/>
  <c r="N199" i="31"/>
  <c r="K199" i="31"/>
  <c r="K198" i="31"/>
  <c r="K197" i="31"/>
  <c r="N196" i="31"/>
  <c r="K196" i="31"/>
  <c r="K195" i="31"/>
  <c r="N194" i="31"/>
  <c r="K194" i="31"/>
  <c r="K193" i="31"/>
  <c r="N192" i="31"/>
  <c r="K192" i="31"/>
  <c r="K191" i="31"/>
  <c r="N190" i="31"/>
  <c r="K190" i="31"/>
  <c r="K189" i="31"/>
  <c r="I189" i="31"/>
  <c r="H189" i="31"/>
  <c r="G189" i="31"/>
  <c r="N188" i="31"/>
  <c r="K188" i="31"/>
  <c r="K186" i="31"/>
  <c r="N185" i="31"/>
  <c r="K185" i="31"/>
  <c r="K184" i="31"/>
  <c r="I184" i="31"/>
  <c r="H184" i="31"/>
  <c r="G184" i="31"/>
  <c r="K183" i="31"/>
  <c r="I183" i="31"/>
  <c r="H183" i="31"/>
  <c r="G183" i="31"/>
  <c r="N182" i="31"/>
  <c r="K182" i="31"/>
  <c r="K181" i="31"/>
  <c r="I181" i="31"/>
  <c r="H181" i="31"/>
  <c r="G181" i="31"/>
  <c r="K180" i="31"/>
  <c r="I180" i="31"/>
  <c r="H180" i="31"/>
  <c r="G180" i="31"/>
  <c r="N179" i="31"/>
  <c r="K179" i="31"/>
  <c r="K178" i="31"/>
  <c r="I178" i="31"/>
  <c r="H178" i="31"/>
  <c r="G178" i="31"/>
  <c r="K177" i="31"/>
  <c r="I177" i="31"/>
  <c r="H177" i="31"/>
  <c r="G177" i="31"/>
  <c r="N176" i="31"/>
  <c r="K176" i="31"/>
  <c r="T175" i="31"/>
  <c r="N175" i="31"/>
  <c r="N174" i="31"/>
  <c r="K174" i="31"/>
  <c r="N173" i="31"/>
  <c r="K173" i="31"/>
  <c r="K172" i="31"/>
  <c r="N171" i="31"/>
  <c r="K171" i="31"/>
  <c r="K170" i="31"/>
  <c r="N169" i="31"/>
  <c r="K169" i="31"/>
  <c r="T168" i="31"/>
  <c r="N168" i="31"/>
  <c r="K167" i="31"/>
  <c r="K166" i="31"/>
  <c r="N165" i="31"/>
  <c r="K165" i="31"/>
  <c r="K164" i="31"/>
  <c r="I164" i="31"/>
  <c r="H164" i="31"/>
  <c r="G164" i="31"/>
  <c r="K163" i="31"/>
  <c r="I163" i="31"/>
  <c r="H163" i="31"/>
  <c r="G163" i="31"/>
  <c r="K162" i="31"/>
  <c r="I162" i="31"/>
  <c r="H162" i="31"/>
  <c r="G162" i="31"/>
  <c r="N161" i="31"/>
  <c r="K161" i="31"/>
  <c r="N159" i="31"/>
  <c r="K159" i="31"/>
  <c r="K158" i="31"/>
  <c r="I158" i="31"/>
  <c r="H158" i="31"/>
  <c r="G158" i="31"/>
  <c r="N157" i="31"/>
  <c r="K157" i="31"/>
  <c r="K156" i="31"/>
  <c r="I156" i="31"/>
  <c r="H156" i="31"/>
  <c r="G156" i="31"/>
  <c r="N155" i="31"/>
  <c r="K155" i="31"/>
  <c r="T154" i="31"/>
  <c r="N154" i="31"/>
  <c r="T153" i="31"/>
  <c r="N153" i="31"/>
  <c r="T152" i="31"/>
  <c r="N152" i="31"/>
  <c r="M147" i="31"/>
  <c r="F147" i="31"/>
  <c r="M146" i="31"/>
  <c r="F146" i="31"/>
  <c r="M144" i="31"/>
  <c r="F144" i="31"/>
  <c r="F142" i="31"/>
  <c r="F141" i="31"/>
  <c r="L133" i="31"/>
  <c r="K133" i="31"/>
  <c r="N131" i="31"/>
  <c r="K131" i="31"/>
  <c r="D131" i="31"/>
  <c r="N130" i="31"/>
  <c r="K130" i="31"/>
  <c r="D130" i="31"/>
  <c r="N129" i="31"/>
  <c r="K129" i="31"/>
  <c r="D129" i="31"/>
  <c r="N128" i="31"/>
  <c r="K128" i="31"/>
  <c r="D128" i="31"/>
  <c r="N127" i="31"/>
  <c r="K127" i="31"/>
  <c r="D127" i="31"/>
  <c r="N126" i="31"/>
  <c r="K126" i="31"/>
  <c r="D126" i="31"/>
  <c r="N125" i="31"/>
  <c r="K125" i="31"/>
  <c r="D125" i="31"/>
  <c r="N124" i="31"/>
  <c r="K124" i="31"/>
  <c r="D124" i="31"/>
  <c r="N123" i="31"/>
  <c r="K123" i="31"/>
  <c r="D123" i="31"/>
  <c r="N122" i="31"/>
  <c r="K122" i="31"/>
  <c r="D122" i="31"/>
  <c r="N121" i="31"/>
  <c r="K121" i="31"/>
  <c r="D121" i="31"/>
  <c r="N120" i="31"/>
  <c r="K120" i="31"/>
  <c r="D120" i="31"/>
  <c r="N119" i="31"/>
  <c r="K119" i="31"/>
  <c r="D119" i="31"/>
  <c r="N118" i="31"/>
  <c r="K118" i="31"/>
  <c r="D118" i="31"/>
  <c r="N117" i="31"/>
  <c r="K117" i="31"/>
  <c r="D117" i="31"/>
  <c r="T116" i="31"/>
  <c r="N116" i="31"/>
  <c r="K116" i="31"/>
  <c r="N115" i="31"/>
  <c r="K115" i="31"/>
  <c r="D115" i="31"/>
  <c r="N114" i="31"/>
  <c r="K114" i="31"/>
  <c r="D114" i="31"/>
  <c r="N113" i="31"/>
  <c r="K113" i="31"/>
  <c r="D113" i="31"/>
  <c r="N112" i="31"/>
  <c r="K112" i="31"/>
  <c r="D112" i="31"/>
  <c r="N111" i="31"/>
  <c r="K111" i="31"/>
  <c r="D111" i="31"/>
  <c r="N110" i="31"/>
  <c r="K110" i="31"/>
  <c r="D110" i="31"/>
  <c r="N109" i="31"/>
  <c r="K109" i="31"/>
  <c r="D109" i="31"/>
  <c r="N108" i="31"/>
  <c r="K108" i="31"/>
  <c r="D108" i="31"/>
  <c r="T107" i="31"/>
  <c r="N107" i="31"/>
  <c r="K107" i="31"/>
  <c r="T106" i="31"/>
  <c r="N106" i="31"/>
  <c r="K106" i="31"/>
  <c r="I106" i="31"/>
  <c r="C106" i="31"/>
  <c r="N104" i="31"/>
  <c r="K104" i="31"/>
  <c r="D104" i="31"/>
  <c r="N103" i="31"/>
  <c r="K103" i="31"/>
  <c r="D103" i="31"/>
  <c r="N102" i="31"/>
  <c r="K102" i="31"/>
  <c r="D102" i="31"/>
  <c r="N101" i="31"/>
  <c r="K101" i="31"/>
  <c r="D101" i="31"/>
  <c r="N100" i="31"/>
  <c r="K100" i="31"/>
  <c r="D100" i="31"/>
  <c r="N99" i="31"/>
  <c r="K99" i="31"/>
  <c r="D99" i="31"/>
  <c r="N98" i="31"/>
  <c r="K98" i="31"/>
  <c r="D98" i="31"/>
  <c r="N97" i="31"/>
  <c r="K97" i="31"/>
  <c r="D97" i="31"/>
  <c r="N96" i="31"/>
  <c r="K96" i="31"/>
  <c r="D96" i="31"/>
  <c r="T95" i="31"/>
  <c r="N95" i="31"/>
  <c r="K95" i="31"/>
  <c r="N94" i="31"/>
  <c r="K94" i="31"/>
  <c r="D94" i="31"/>
  <c r="N93" i="31"/>
  <c r="K93" i="31"/>
  <c r="D93" i="31"/>
  <c r="N92" i="31"/>
  <c r="K92" i="31"/>
  <c r="D92" i="31"/>
  <c r="N91" i="31"/>
  <c r="K91" i="31"/>
  <c r="D91" i="31"/>
  <c r="N90" i="31"/>
  <c r="K90" i="31"/>
  <c r="D90" i="31"/>
  <c r="N89" i="31"/>
  <c r="K89" i="31"/>
  <c r="D89" i="31"/>
  <c r="T88" i="31"/>
  <c r="N88" i="31"/>
  <c r="K88" i="31"/>
  <c r="T87" i="31"/>
  <c r="N87" i="31"/>
  <c r="K87" i="31"/>
  <c r="I87" i="31"/>
  <c r="C87" i="31"/>
  <c r="I85" i="31"/>
  <c r="M83" i="31"/>
  <c r="F83" i="31"/>
  <c r="M82" i="31"/>
  <c r="F82" i="31"/>
  <c r="M80" i="31"/>
  <c r="F80" i="31"/>
  <c r="F78" i="31"/>
  <c r="F77" i="31"/>
  <c r="L37" i="31"/>
  <c r="M35" i="31"/>
  <c r="M34" i="31"/>
  <c r="H34" i="31"/>
  <c r="M32" i="31"/>
  <c r="M30" i="31"/>
  <c r="D30" i="31"/>
  <c r="M29" i="31"/>
  <c r="D29" i="31"/>
  <c r="E22" i="31"/>
  <c r="E19" i="31"/>
  <c r="E16" i="31"/>
  <c r="O13" i="31"/>
  <c r="E13" i="31"/>
  <c r="O12" i="31"/>
  <c r="F12" i="31"/>
  <c r="F9" i="31"/>
  <c r="O7" i="31"/>
  <c r="F7" i="31"/>
  <c r="F4" i="31"/>
  <c r="N595" i="41"/>
  <c r="K595" i="41"/>
  <c r="K594" i="41"/>
  <c r="N593" i="41"/>
  <c r="K593" i="41"/>
  <c r="N592" i="41"/>
  <c r="K592" i="41"/>
  <c r="N591" i="41"/>
  <c r="K591" i="41"/>
  <c r="X590" i="41"/>
  <c r="W590" i="41"/>
  <c r="T590" i="41"/>
  <c r="N590" i="41"/>
  <c r="K589" i="41"/>
  <c r="N588" i="41"/>
  <c r="K588" i="41"/>
  <c r="K587" i="41"/>
  <c r="K586" i="41"/>
  <c r="N585" i="41"/>
  <c r="K585" i="41"/>
  <c r="N584" i="41"/>
  <c r="K584" i="41"/>
  <c r="K583" i="41"/>
  <c r="I583" i="41"/>
  <c r="H583" i="41"/>
  <c r="G583" i="41"/>
  <c r="K582" i="41"/>
  <c r="N581" i="41"/>
  <c r="K581" i="41"/>
  <c r="N580" i="41"/>
  <c r="N579" i="41"/>
  <c r="K579" i="41"/>
  <c r="K578" i="41"/>
  <c r="I578" i="41"/>
  <c r="H578" i="41"/>
  <c r="G578" i="41"/>
  <c r="N576" i="41"/>
  <c r="K576" i="41"/>
  <c r="K575" i="41"/>
  <c r="I575" i="41"/>
  <c r="H575" i="41"/>
  <c r="G575" i="41"/>
  <c r="K574" i="41"/>
  <c r="I574" i="41"/>
  <c r="H574" i="41"/>
  <c r="G574" i="41"/>
  <c r="K573" i="41"/>
  <c r="I573" i="41"/>
  <c r="H573" i="41"/>
  <c r="G573" i="41"/>
  <c r="K572" i="41"/>
  <c r="I572" i="41"/>
  <c r="H572" i="41"/>
  <c r="G572" i="41"/>
  <c r="N571" i="41"/>
  <c r="K571" i="41"/>
  <c r="K570" i="41"/>
  <c r="I570" i="41"/>
  <c r="H570" i="41"/>
  <c r="G570" i="41"/>
  <c r="K569" i="41"/>
  <c r="K568" i="41"/>
  <c r="I568" i="41"/>
  <c r="H568" i="41"/>
  <c r="G568" i="41"/>
  <c r="N567" i="41"/>
  <c r="K567" i="41"/>
  <c r="K566" i="41"/>
  <c r="K565" i="41"/>
  <c r="K564" i="41"/>
  <c r="N563" i="41"/>
  <c r="K563" i="41"/>
  <c r="K562" i="41"/>
  <c r="I562" i="41"/>
  <c r="H562" i="41"/>
  <c r="G562" i="41"/>
  <c r="K561" i="41"/>
  <c r="I561" i="41"/>
  <c r="H561" i="41"/>
  <c r="G561" i="41"/>
  <c r="N560" i="41"/>
  <c r="K560" i="41"/>
  <c r="K559" i="41"/>
  <c r="N558" i="41"/>
  <c r="K558" i="41"/>
  <c r="K557" i="41"/>
  <c r="K556" i="41"/>
  <c r="N555" i="41"/>
  <c r="K555" i="41"/>
  <c r="K554" i="41"/>
  <c r="K553" i="41"/>
  <c r="J553" i="41"/>
  <c r="N552" i="41"/>
  <c r="K552" i="41"/>
  <c r="K551" i="41"/>
  <c r="N550" i="41"/>
  <c r="K550" i="41"/>
  <c r="N549" i="41"/>
  <c r="K549" i="41"/>
  <c r="K548" i="41"/>
  <c r="N547" i="41"/>
  <c r="K547" i="41"/>
  <c r="K546" i="41"/>
  <c r="K545" i="41"/>
  <c r="N544" i="41"/>
  <c r="K544" i="41"/>
  <c r="N543" i="41"/>
  <c r="K543" i="41"/>
  <c r="K542" i="41"/>
  <c r="I542" i="41"/>
  <c r="H542" i="41"/>
  <c r="G542" i="41"/>
  <c r="K541" i="41"/>
  <c r="I541" i="41"/>
  <c r="H541" i="41"/>
  <c r="G541" i="41"/>
  <c r="K540" i="41"/>
  <c r="K539" i="41"/>
  <c r="K538" i="41"/>
  <c r="N537" i="41"/>
  <c r="K537" i="41"/>
  <c r="K536" i="41"/>
  <c r="J536" i="41"/>
  <c r="N535" i="41"/>
  <c r="K535" i="41"/>
  <c r="K534" i="41"/>
  <c r="I534" i="41"/>
  <c r="H534" i="41"/>
  <c r="G534" i="41"/>
  <c r="N533" i="41"/>
  <c r="K533" i="41"/>
  <c r="N532" i="41"/>
  <c r="K532" i="41"/>
  <c r="N531" i="41"/>
  <c r="K531" i="41"/>
  <c r="N530" i="41"/>
  <c r="K530" i="41"/>
  <c r="N529" i="41"/>
  <c r="K529" i="41"/>
  <c r="K528" i="41"/>
  <c r="I528" i="41"/>
  <c r="H528" i="41"/>
  <c r="G528" i="41"/>
  <c r="K527" i="41"/>
  <c r="K526" i="41"/>
  <c r="N525" i="41"/>
  <c r="K525" i="41"/>
  <c r="N524" i="41"/>
  <c r="K524" i="41"/>
  <c r="K523" i="41"/>
  <c r="I523" i="41"/>
  <c r="H523" i="41"/>
  <c r="G523" i="41"/>
  <c r="N522" i="41"/>
  <c r="K522" i="41"/>
  <c r="K521" i="41"/>
  <c r="I521" i="41"/>
  <c r="H521" i="41"/>
  <c r="G521" i="41"/>
  <c r="N520" i="41"/>
  <c r="K520" i="41"/>
  <c r="K519" i="41"/>
  <c r="I519" i="41"/>
  <c r="H519" i="41"/>
  <c r="G519" i="41"/>
  <c r="K518" i="41"/>
  <c r="N517" i="41"/>
  <c r="K517" i="41"/>
  <c r="N516" i="41"/>
  <c r="K516" i="41"/>
  <c r="K515" i="41"/>
  <c r="N514" i="41"/>
  <c r="K514" i="41"/>
  <c r="N513" i="41"/>
  <c r="K513" i="41"/>
  <c r="K512" i="41"/>
  <c r="K511" i="41"/>
  <c r="I511" i="41"/>
  <c r="H511" i="41"/>
  <c r="G511" i="41"/>
  <c r="N510" i="41"/>
  <c r="K510" i="41"/>
  <c r="K509" i="41"/>
  <c r="J509" i="41"/>
  <c r="N508" i="41"/>
  <c r="K508" i="41"/>
  <c r="K507" i="41"/>
  <c r="I507" i="41"/>
  <c r="H507" i="41"/>
  <c r="G507" i="41"/>
  <c r="K506" i="41"/>
  <c r="I506" i="41"/>
  <c r="H506" i="41"/>
  <c r="G506" i="41"/>
  <c r="N505" i="41"/>
  <c r="K505" i="41"/>
  <c r="K504" i="41"/>
  <c r="I504" i="41"/>
  <c r="H504" i="41"/>
  <c r="G504" i="41"/>
  <c r="K503" i="41"/>
  <c r="I503" i="41"/>
  <c r="H503" i="41"/>
  <c r="G503" i="41"/>
  <c r="K502" i="41"/>
  <c r="I502" i="41"/>
  <c r="H502" i="41"/>
  <c r="G502" i="41"/>
  <c r="K501" i="41"/>
  <c r="I501" i="41"/>
  <c r="H501" i="41"/>
  <c r="G501" i="41"/>
  <c r="N500" i="41"/>
  <c r="K500" i="41"/>
  <c r="N499" i="41"/>
  <c r="K499" i="41"/>
  <c r="N498" i="41"/>
  <c r="K498" i="41"/>
  <c r="N497" i="41"/>
  <c r="K497" i="41"/>
  <c r="K496" i="41"/>
  <c r="I496" i="41"/>
  <c r="H496" i="41"/>
  <c r="G496" i="41"/>
  <c r="K495" i="41"/>
  <c r="I495" i="41"/>
  <c r="H495" i="41"/>
  <c r="G495" i="41"/>
  <c r="K494" i="41"/>
  <c r="N493" i="41"/>
  <c r="K493" i="41"/>
  <c r="N492" i="41"/>
  <c r="K492" i="41"/>
  <c r="K491" i="41"/>
  <c r="I491" i="41"/>
  <c r="H491" i="41"/>
  <c r="G491" i="41"/>
  <c r="N490" i="41"/>
  <c r="K490" i="41"/>
  <c r="N489" i="41"/>
  <c r="K489" i="41"/>
  <c r="K488" i="41"/>
  <c r="I488" i="41"/>
  <c r="H488" i="41"/>
  <c r="G488" i="41"/>
  <c r="K487" i="41"/>
  <c r="K486" i="41"/>
  <c r="I486" i="41"/>
  <c r="H486" i="41"/>
  <c r="G486" i="41"/>
  <c r="N485" i="41"/>
  <c r="K485" i="41"/>
  <c r="K484" i="41"/>
  <c r="J484" i="41"/>
  <c r="N483" i="41"/>
  <c r="K483" i="41"/>
  <c r="K482" i="41"/>
  <c r="I482" i="41"/>
  <c r="H482" i="41"/>
  <c r="G482" i="41"/>
  <c r="K481" i="41"/>
  <c r="I481" i="41"/>
  <c r="H481" i="41"/>
  <c r="G481" i="41"/>
  <c r="N480" i="41"/>
  <c r="K480" i="41"/>
  <c r="K479" i="41"/>
  <c r="I479" i="41"/>
  <c r="H479" i="41"/>
  <c r="G479" i="41"/>
  <c r="K478" i="41"/>
  <c r="I478" i="41"/>
  <c r="H478" i="41"/>
  <c r="G478" i="41"/>
  <c r="N477" i="41"/>
  <c r="K477" i="41"/>
  <c r="N476" i="41"/>
  <c r="K476" i="41"/>
  <c r="N475" i="41"/>
  <c r="K475" i="41"/>
  <c r="N474" i="41"/>
  <c r="K474" i="41"/>
  <c r="K473" i="41"/>
  <c r="I473" i="41"/>
  <c r="H473" i="41"/>
  <c r="G473" i="41"/>
  <c r="K472" i="41"/>
  <c r="I472" i="41"/>
  <c r="H472" i="41"/>
  <c r="G472" i="41"/>
  <c r="K471" i="41"/>
  <c r="N470" i="41"/>
  <c r="K470" i="41"/>
  <c r="N469" i="41"/>
  <c r="K469" i="41"/>
  <c r="K468" i="41"/>
  <c r="N467" i="41"/>
  <c r="K467" i="41"/>
  <c r="N466" i="41"/>
  <c r="K466" i="41"/>
  <c r="K465" i="41"/>
  <c r="I465" i="41"/>
  <c r="H465" i="41"/>
  <c r="G465" i="41"/>
  <c r="K464" i="41"/>
  <c r="K463" i="41"/>
  <c r="I463" i="41"/>
  <c r="H463" i="41"/>
  <c r="G463" i="41"/>
  <c r="N462" i="41"/>
  <c r="K462" i="41"/>
  <c r="K461" i="41"/>
  <c r="J461" i="41"/>
  <c r="N460" i="41"/>
  <c r="K460" i="41"/>
  <c r="K459" i="41"/>
  <c r="I459" i="41"/>
  <c r="H459" i="41"/>
  <c r="G459" i="41"/>
  <c r="K458" i="41"/>
  <c r="I458" i="41"/>
  <c r="H458" i="41"/>
  <c r="G458" i="41"/>
  <c r="N457" i="41"/>
  <c r="K457" i="41"/>
  <c r="N456" i="41"/>
  <c r="K456" i="41"/>
  <c r="N455" i="41"/>
  <c r="K455" i="41"/>
  <c r="N454" i="41"/>
  <c r="K454" i="41"/>
  <c r="N453" i="41"/>
  <c r="K453" i="41"/>
  <c r="K452" i="41"/>
  <c r="I452" i="41"/>
  <c r="H452" i="41"/>
  <c r="G452" i="41"/>
  <c r="K451" i="41"/>
  <c r="I451" i="41"/>
  <c r="H451" i="41"/>
  <c r="G451" i="41"/>
  <c r="K450" i="41"/>
  <c r="K449" i="41"/>
  <c r="I449" i="41"/>
  <c r="H449" i="41"/>
  <c r="G449" i="41"/>
  <c r="K448" i="41"/>
  <c r="I448" i="41"/>
  <c r="H448" i="41"/>
  <c r="G448" i="41"/>
  <c r="N447" i="41"/>
  <c r="K447" i="41"/>
  <c r="N446" i="41"/>
  <c r="K446" i="41"/>
  <c r="K445" i="41"/>
  <c r="I445" i="41"/>
  <c r="H445" i="41"/>
  <c r="G445" i="41"/>
  <c r="K444" i="41"/>
  <c r="I444" i="41"/>
  <c r="H444" i="41"/>
  <c r="G444" i="41"/>
  <c r="N443" i="41"/>
  <c r="K443" i="41"/>
  <c r="K442" i="41"/>
  <c r="I442" i="41"/>
  <c r="H442" i="41"/>
  <c r="G442" i="41"/>
  <c r="K441" i="41"/>
  <c r="K440" i="41"/>
  <c r="I440" i="41"/>
  <c r="H440" i="41"/>
  <c r="G440" i="41"/>
  <c r="K439" i="41"/>
  <c r="I439" i="41"/>
  <c r="H439" i="41"/>
  <c r="G439" i="41"/>
  <c r="N438" i="41"/>
  <c r="K438" i="41"/>
  <c r="K437" i="41"/>
  <c r="J437" i="41"/>
  <c r="N436" i="41"/>
  <c r="K436" i="41"/>
  <c r="K435" i="41"/>
  <c r="I435" i="41"/>
  <c r="H435" i="41"/>
  <c r="G435" i="41"/>
  <c r="K434" i="41"/>
  <c r="I434" i="41"/>
  <c r="H434" i="41"/>
  <c r="G434" i="41"/>
  <c r="K433" i="41"/>
  <c r="I433" i="41"/>
  <c r="H433" i="41"/>
  <c r="G433" i="41"/>
  <c r="N432" i="41"/>
  <c r="K432" i="41"/>
  <c r="N431" i="41"/>
  <c r="K431" i="41"/>
  <c r="K430" i="41"/>
  <c r="I430" i="41"/>
  <c r="H430" i="41"/>
  <c r="G430" i="41"/>
  <c r="K429" i="41"/>
  <c r="I429" i="41"/>
  <c r="H429" i="41"/>
  <c r="G429" i="41"/>
  <c r="N428" i="41"/>
  <c r="K428" i="41"/>
  <c r="N427" i="41"/>
  <c r="K427" i="41"/>
  <c r="K426" i="41"/>
  <c r="I426" i="41"/>
  <c r="H426" i="41"/>
  <c r="G426" i="41"/>
  <c r="K425" i="41"/>
  <c r="I425" i="41"/>
  <c r="H425" i="41"/>
  <c r="G425" i="41"/>
  <c r="K424" i="41"/>
  <c r="K423" i="41"/>
  <c r="I423" i="41"/>
  <c r="H423" i="41"/>
  <c r="G423" i="41"/>
  <c r="K422" i="41"/>
  <c r="I422" i="41"/>
  <c r="H422" i="41"/>
  <c r="G422" i="41"/>
  <c r="N421" i="41"/>
  <c r="K421" i="41"/>
  <c r="N420" i="41"/>
  <c r="K420" i="41"/>
  <c r="K419" i="41"/>
  <c r="I419" i="41"/>
  <c r="H419" i="41"/>
  <c r="G419" i="41"/>
  <c r="K418" i="41"/>
  <c r="I418" i="41"/>
  <c r="H418" i="41"/>
  <c r="G418" i="41"/>
  <c r="N417" i="41"/>
  <c r="K417" i="41"/>
  <c r="K416" i="41"/>
  <c r="K415" i="41"/>
  <c r="N414" i="41"/>
  <c r="K414" i="41"/>
  <c r="N413" i="41"/>
  <c r="K413" i="41"/>
  <c r="K412" i="41"/>
  <c r="I412" i="41"/>
  <c r="H412" i="41"/>
  <c r="G412" i="41"/>
  <c r="K411" i="41"/>
  <c r="K410" i="41"/>
  <c r="I410" i="41"/>
  <c r="H410" i="41"/>
  <c r="G410" i="41"/>
  <c r="K409" i="41"/>
  <c r="I409" i="41"/>
  <c r="H409" i="41"/>
  <c r="G409" i="41"/>
  <c r="N408" i="41"/>
  <c r="K408" i="41"/>
  <c r="K407" i="41"/>
  <c r="J407" i="41"/>
  <c r="N406" i="41"/>
  <c r="K406" i="41"/>
  <c r="K405" i="41"/>
  <c r="I405" i="41"/>
  <c r="H405" i="41"/>
  <c r="G405" i="41"/>
  <c r="K404" i="41"/>
  <c r="I404" i="41"/>
  <c r="H404" i="41"/>
  <c r="G404" i="41"/>
  <c r="K403" i="41"/>
  <c r="I403" i="41"/>
  <c r="H403" i="41"/>
  <c r="G403" i="41"/>
  <c r="N402" i="41"/>
  <c r="K402" i="41"/>
  <c r="N401" i="41"/>
  <c r="K401" i="41"/>
  <c r="K400" i="41"/>
  <c r="I400" i="41"/>
  <c r="H400" i="41"/>
  <c r="G400" i="41"/>
  <c r="K399" i="41"/>
  <c r="I399" i="41"/>
  <c r="H399" i="41"/>
  <c r="G399" i="41"/>
  <c r="N398" i="41"/>
  <c r="K398" i="41"/>
  <c r="N397" i="41"/>
  <c r="K397" i="41"/>
  <c r="K396" i="41"/>
  <c r="I396" i="41"/>
  <c r="H396" i="41"/>
  <c r="G396" i="41"/>
  <c r="K395" i="41"/>
  <c r="I395" i="41"/>
  <c r="H395" i="41"/>
  <c r="G395" i="41"/>
  <c r="K394" i="41"/>
  <c r="T393" i="41"/>
  <c r="N393" i="41"/>
  <c r="K393" i="41"/>
  <c r="T392" i="41"/>
  <c r="N392" i="41"/>
  <c r="K391" i="41"/>
  <c r="I391" i="41"/>
  <c r="H391" i="41"/>
  <c r="G391" i="41"/>
  <c r="K390" i="41"/>
  <c r="I390" i="41"/>
  <c r="H390" i="41"/>
  <c r="G390" i="41"/>
  <c r="N389" i="41"/>
  <c r="K389" i="41"/>
  <c r="K388" i="41"/>
  <c r="I388" i="41"/>
  <c r="H388" i="41"/>
  <c r="G388" i="41"/>
  <c r="K387" i="41"/>
  <c r="I387" i="41"/>
  <c r="H387" i="41"/>
  <c r="G387" i="41"/>
  <c r="W386" i="41"/>
  <c r="V386" i="41"/>
  <c r="N386" i="41"/>
  <c r="K386" i="41"/>
  <c r="K385" i="41"/>
  <c r="I385" i="41"/>
  <c r="H385" i="41"/>
  <c r="G385" i="41"/>
  <c r="K384" i="41"/>
  <c r="I384" i="41"/>
  <c r="H384" i="41"/>
  <c r="G384" i="41"/>
  <c r="K383" i="41"/>
  <c r="I383" i="41"/>
  <c r="H383" i="41"/>
  <c r="G383" i="41"/>
  <c r="K382" i="41"/>
  <c r="I382" i="41"/>
  <c r="H382" i="41"/>
  <c r="G382" i="41"/>
  <c r="K381" i="41"/>
  <c r="I381" i="41"/>
  <c r="H381" i="41"/>
  <c r="G381" i="41"/>
  <c r="N380" i="41"/>
  <c r="K380" i="41"/>
  <c r="K379" i="41"/>
  <c r="I379" i="41"/>
  <c r="H379" i="41"/>
  <c r="G379" i="41"/>
  <c r="K378" i="41"/>
  <c r="K377" i="41"/>
  <c r="K376" i="41"/>
  <c r="I376" i="41"/>
  <c r="H376" i="41"/>
  <c r="G376" i="41"/>
  <c r="K375" i="41"/>
  <c r="W374" i="41"/>
  <c r="N374" i="41"/>
  <c r="K374" i="41"/>
  <c r="K373" i="41"/>
  <c r="I373" i="41"/>
  <c r="H373" i="41"/>
  <c r="G373" i="41"/>
  <c r="K372" i="41"/>
  <c r="I372" i="41"/>
  <c r="H372" i="41"/>
  <c r="G372" i="41"/>
  <c r="W371" i="41"/>
  <c r="N371" i="41"/>
  <c r="K371" i="41"/>
  <c r="K370" i="41"/>
  <c r="I370" i="41"/>
  <c r="H370" i="41"/>
  <c r="G370" i="41"/>
  <c r="K369" i="41"/>
  <c r="I369" i="41"/>
  <c r="H369" i="41"/>
  <c r="G369" i="41"/>
  <c r="K368" i="41"/>
  <c r="I368" i="41"/>
  <c r="H368" i="41"/>
  <c r="G368" i="41"/>
  <c r="W367" i="41"/>
  <c r="N367" i="41"/>
  <c r="K367" i="41"/>
  <c r="K366" i="41"/>
  <c r="I366" i="41"/>
  <c r="H366" i="41"/>
  <c r="G366" i="41"/>
  <c r="W365" i="41"/>
  <c r="N365" i="41"/>
  <c r="K365" i="41"/>
  <c r="T364" i="41"/>
  <c r="N364" i="41"/>
  <c r="K363" i="41"/>
  <c r="I363" i="41"/>
  <c r="H363" i="41"/>
  <c r="G363" i="41"/>
  <c r="K362" i="41"/>
  <c r="I362" i="41"/>
  <c r="H362" i="41"/>
  <c r="G362" i="41"/>
  <c r="N361" i="41"/>
  <c r="K361" i="41"/>
  <c r="K360" i="41"/>
  <c r="I360" i="41"/>
  <c r="H360" i="41"/>
  <c r="G360" i="41"/>
  <c r="K359" i="41"/>
  <c r="I359" i="41"/>
  <c r="H359" i="41"/>
  <c r="G359" i="41"/>
  <c r="N358" i="41"/>
  <c r="K358" i="41"/>
  <c r="K357" i="41"/>
  <c r="I357" i="41"/>
  <c r="H357" i="41"/>
  <c r="G357" i="41"/>
  <c r="K356" i="41"/>
  <c r="I356" i="41"/>
  <c r="H356" i="41"/>
  <c r="G356" i="41"/>
  <c r="K355" i="41"/>
  <c r="I355" i="41"/>
  <c r="H355" i="41"/>
  <c r="G355" i="41"/>
  <c r="N354" i="41"/>
  <c r="K354" i="41"/>
  <c r="N353" i="41"/>
  <c r="K353" i="41"/>
  <c r="K352" i="41"/>
  <c r="I352" i="41"/>
  <c r="H352" i="41"/>
  <c r="G352" i="41"/>
  <c r="K351" i="41"/>
  <c r="I351" i="41"/>
  <c r="H351" i="41"/>
  <c r="G351" i="41"/>
  <c r="N350" i="41"/>
  <c r="K350" i="41"/>
  <c r="K349" i="41"/>
  <c r="I349" i="41"/>
  <c r="H349" i="41"/>
  <c r="G349" i="41"/>
  <c r="K348" i="41"/>
  <c r="I348" i="41"/>
  <c r="H348" i="41"/>
  <c r="G348" i="41"/>
  <c r="N347" i="41"/>
  <c r="K347" i="41"/>
  <c r="T346" i="41"/>
  <c r="N346" i="41"/>
  <c r="K345" i="41"/>
  <c r="I345" i="41"/>
  <c r="H345" i="41"/>
  <c r="G345" i="41"/>
  <c r="K344" i="41"/>
  <c r="I344" i="41"/>
  <c r="H344" i="41"/>
  <c r="G344" i="41"/>
  <c r="N343" i="41"/>
  <c r="K343" i="41"/>
  <c r="T342" i="41"/>
  <c r="N342" i="41"/>
  <c r="K341" i="41"/>
  <c r="N340" i="41"/>
  <c r="K340" i="41"/>
  <c r="K339" i="41"/>
  <c r="N338" i="41"/>
  <c r="K338" i="41"/>
  <c r="N337" i="41"/>
  <c r="K337" i="41"/>
  <c r="K336" i="41"/>
  <c r="N335" i="41"/>
  <c r="K335" i="41"/>
  <c r="K334" i="41"/>
  <c r="N333" i="41"/>
  <c r="K333" i="41"/>
  <c r="K332" i="41"/>
  <c r="N331" i="41"/>
  <c r="K331" i="41"/>
  <c r="K330" i="41"/>
  <c r="I330" i="41"/>
  <c r="H330" i="41"/>
  <c r="G330" i="41"/>
  <c r="K329" i="41"/>
  <c r="I329" i="41"/>
  <c r="H329" i="41"/>
  <c r="G329" i="41"/>
  <c r="K328" i="41"/>
  <c r="I328" i="41"/>
  <c r="H328" i="41"/>
  <c r="G328" i="41"/>
  <c r="N327" i="41"/>
  <c r="K327" i="41"/>
  <c r="K326" i="41"/>
  <c r="I326" i="41"/>
  <c r="H326" i="41"/>
  <c r="G326" i="41"/>
  <c r="K325" i="41"/>
  <c r="J325" i="41"/>
  <c r="I325" i="41"/>
  <c r="H325" i="41"/>
  <c r="G325" i="41"/>
  <c r="K324" i="41"/>
  <c r="J324" i="41"/>
  <c r="I324" i="41"/>
  <c r="H324" i="41"/>
  <c r="G324" i="41"/>
  <c r="K323" i="41"/>
  <c r="I323" i="41"/>
  <c r="H323" i="41"/>
  <c r="G323" i="41"/>
  <c r="K322" i="41"/>
  <c r="I322" i="41"/>
  <c r="H322" i="41"/>
  <c r="G322" i="41"/>
  <c r="N321" i="41"/>
  <c r="K321" i="41"/>
  <c r="T320" i="41"/>
  <c r="N320" i="41"/>
  <c r="T319" i="41"/>
  <c r="N319" i="41"/>
  <c r="T318" i="41"/>
  <c r="N318" i="41"/>
  <c r="N316" i="41"/>
  <c r="K316" i="41"/>
  <c r="K315" i="41"/>
  <c r="N314" i="41"/>
  <c r="K314" i="41"/>
  <c r="N313" i="41"/>
  <c r="K313" i="41"/>
  <c r="N312" i="41"/>
  <c r="K312" i="41"/>
  <c r="X311" i="41"/>
  <c r="W311" i="41"/>
  <c r="T311" i="41"/>
  <c r="N311" i="41"/>
  <c r="N310" i="41"/>
  <c r="K310" i="41"/>
  <c r="N309" i="41"/>
  <c r="N308" i="41"/>
  <c r="K308" i="41"/>
  <c r="N306" i="41"/>
  <c r="K306" i="41"/>
  <c r="K305" i="41"/>
  <c r="I305" i="41"/>
  <c r="H305" i="41"/>
  <c r="G305" i="41"/>
  <c r="K304" i="41"/>
  <c r="I304" i="41"/>
  <c r="H304" i="41"/>
  <c r="G304" i="41"/>
  <c r="K303" i="41"/>
  <c r="I303" i="41"/>
  <c r="H303" i="41"/>
  <c r="G303" i="41"/>
  <c r="N302" i="41"/>
  <c r="K302" i="41"/>
  <c r="K301" i="41"/>
  <c r="K300" i="41"/>
  <c r="I300" i="41"/>
  <c r="H300" i="41"/>
  <c r="G300" i="41"/>
  <c r="N299" i="41"/>
  <c r="K299" i="41"/>
  <c r="K297" i="41"/>
  <c r="K296" i="41"/>
  <c r="N295" i="41"/>
  <c r="K295" i="41"/>
  <c r="K294" i="41"/>
  <c r="I294" i="41"/>
  <c r="H294" i="41"/>
  <c r="G294" i="41"/>
  <c r="N293" i="41"/>
  <c r="K293" i="41"/>
  <c r="K292" i="41"/>
  <c r="N291" i="41"/>
  <c r="K291" i="41"/>
  <c r="K290" i="41"/>
  <c r="K289" i="41"/>
  <c r="N288" i="41"/>
  <c r="K288" i="41"/>
  <c r="K287" i="41"/>
  <c r="K286" i="41"/>
  <c r="J286" i="41"/>
  <c r="N285" i="41"/>
  <c r="K285" i="41"/>
  <c r="K284" i="41"/>
  <c r="N283" i="41"/>
  <c r="K283" i="41"/>
  <c r="N282" i="41"/>
  <c r="K282" i="41"/>
  <c r="K281" i="41"/>
  <c r="N280" i="41"/>
  <c r="K280" i="41"/>
  <c r="K279" i="41"/>
  <c r="K278" i="41"/>
  <c r="N277" i="41"/>
  <c r="K277" i="41"/>
  <c r="N276" i="41"/>
  <c r="K276" i="41"/>
  <c r="K275" i="41"/>
  <c r="I275" i="41"/>
  <c r="H275" i="41"/>
  <c r="G275" i="41"/>
  <c r="K274" i="41"/>
  <c r="N273" i="41"/>
  <c r="K273" i="41"/>
  <c r="N272" i="41"/>
  <c r="K272" i="41"/>
  <c r="K271" i="41"/>
  <c r="N270" i="41"/>
  <c r="K270" i="41"/>
  <c r="N269" i="41"/>
  <c r="K269" i="41"/>
  <c r="K268" i="41"/>
  <c r="K267" i="41"/>
  <c r="I267" i="41"/>
  <c r="H267" i="41"/>
  <c r="G267" i="41"/>
  <c r="N266" i="41"/>
  <c r="K266" i="41"/>
  <c r="K265" i="41"/>
  <c r="J265" i="41"/>
  <c r="N264" i="41"/>
  <c r="K264" i="41"/>
  <c r="K263" i="41"/>
  <c r="I263" i="41"/>
  <c r="H263" i="41"/>
  <c r="G263" i="41"/>
  <c r="N262" i="41"/>
  <c r="K262" i="41"/>
  <c r="K261" i="41"/>
  <c r="I261" i="41"/>
  <c r="H261" i="41"/>
  <c r="G261" i="41"/>
  <c r="N260" i="41"/>
  <c r="K260" i="41"/>
  <c r="N259" i="41"/>
  <c r="K259" i="41"/>
  <c r="N258" i="41"/>
  <c r="K258" i="41"/>
  <c r="N257" i="41"/>
  <c r="K257" i="41"/>
  <c r="K256" i="41"/>
  <c r="I256" i="41"/>
  <c r="H256" i="41"/>
  <c r="G256" i="41"/>
  <c r="K255" i="41"/>
  <c r="N254" i="41"/>
  <c r="K254" i="41"/>
  <c r="N253" i="41"/>
  <c r="K253" i="41"/>
  <c r="K252" i="41"/>
  <c r="I252" i="41"/>
  <c r="H252" i="41"/>
  <c r="G252" i="41"/>
  <c r="N251" i="41"/>
  <c r="K251" i="41"/>
  <c r="N250" i="41"/>
  <c r="K250" i="41"/>
  <c r="K249" i="41"/>
  <c r="K248" i="41"/>
  <c r="I248" i="41"/>
  <c r="H248" i="41"/>
  <c r="G248" i="41"/>
  <c r="N247" i="41"/>
  <c r="K247" i="41"/>
  <c r="K246" i="41"/>
  <c r="J246" i="41"/>
  <c r="N245" i="41"/>
  <c r="K245" i="41"/>
  <c r="K244" i="41"/>
  <c r="I244" i="41"/>
  <c r="H244" i="41"/>
  <c r="G244" i="41"/>
  <c r="N243" i="41"/>
  <c r="K243" i="41"/>
  <c r="K242" i="41"/>
  <c r="I242" i="41"/>
  <c r="H242" i="41"/>
  <c r="G242" i="41"/>
  <c r="N241" i="41"/>
  <c r="K241" i="41"/>
  <c r="N240" i="41"/>
  <c r="K240" i="41"/>
  <c r="N239" i="41"/>
  <c r="K239" i="41"/>
  <c r="N238" i="41"/>
  <c r="K238" i="41"/>
  <c r="K237" i="41"/>
  <c r="I237" i="41"/>
  <c r="H237" i="41"/>
  <c r="G237" i="41"/>
  <c r="K236" i="41"/>
  <c r="N235" i="41"/>
  <c r="K235" i="41"/>
  <c r="N234" i="41"/>
  <c r="K234" i="41"/>
  <c r="K233" i="41"/>
  <c r="N232" i="41"/>
  <c r="K232" i="41"/>
  <c r="N231" i="41"/>
  <c r="K231" i="41"/>
  <c r="K230" i="41"/>
  <c r="K229" i="41"/>
  <c r="I229" i="41"/>
  <c r="H229" i="41"/>
  <c r="G229" i="41"/>
  <c r="N228" i="41"/>
  <c r="K228" i="41"/>
  <c r="K227" i="41"/>
  <c r="J227" i="41"/>
  <c r="N226" i="41"/>
  <c r="K226" i="41"/>
  <c r="K225" i="41"/>
  <c r="I225" i="41"/>
  <c r="H225" i="41"/>
  <c r="G225" i="41"/>
  <c r="N224" i="41"/>
  <c r="K224" i="41"/>
  <c r="N223" i="41"/>
  <c r="K223" i="41"/>
  <c r="N222" i="41"/>
  <c r="K222" i="41"/>
  <c r="N221" i="41"/>
  <c r="K221" i="41"/>
  <c r="N220" i="41"/>
  <c r="K220" i="41"/>
  <c r="K219" i="41"/>
  <c r="I219" i="41"/>
  <c r="H219" i="41"/>
  <c r="G219" i="41"/>
  <c r="K218" i="41"/>
  <c r="K217" i="41"/>
  <c r="I217" i="41"/>
  <c r="H217" i="41"/>
  <c r="G217" i="41"/>
  <c r="N216" i="41"/>
  <c r="K216" i="41"/>
  <c r="N215" i="41"/>
  <c r="K215" i="41"/>
  <c r="K214" i="41"/>
  <c r="I214" i="41"/>
  <c r="H214" i="41"/>
  <c r="G214" i="41"/>
  <c r="N213" i="41"/>
  <c r="K213" i="41"/>
  <c r="K212" i="41"/>
  <c r="K211" i="41"/>
  <c r="I211" i="41"/>
  <c r="H211" i="41"/>
  <c r="G211" i="41"/>
  <c r="K210" i="41"/>
  <c r="I210" i="41"/>
  <c r="H210" i="41"/>
  <c r="G210" i="41"/>
  <c r="N209" i="41"/>
  <c r="K209" i="41"/>
  <c r="K208" i="41"/>
  <c r="J208" i="41"/>
  <c r="N207" i="41"/>
  <c r="K207" i="41"/>
  <c r="K206" i="41"/>
  <c r="I206" i="41"/>
  <c r="H206" i="41"/>
  <c r="G206" i="41"/>
  <c r="K205" i="41"/>
  <c r="I205" i="41"/>
  <c r="H205" i="41"/>
  <c r="G205" i="41"/>
  <c r="N204" i="41"/>
  <c r="K204" i="41"/>
  <c r="N203" i="41"/>
  <c r="K203" i="41"/>
  <c r="K202" i="41"/>
  <c r="I202" i="41"/>
  <c r="H202" i="41"/>
  <c r="G202" i="41"/>
  <c r="N201" i="41"/>
  <c r="K201" i="41"/>
  <c r="N200" i="41"/>
  <c r="K200" i="41"/>
  <c r="K199" i="41"/>
  <c r="I199" i="41"/>
  <c r="H199" i="41"/>
  <c r="G199" i="41"/>
  <c r="K198" i="41"/>
  <c r="K197" i="41"/>
  <c r="I197" i="41"/>
  <c r="H197" i="41"/>
  <c r="G197" i="41"/>
  <c r="N196" i="41"/>
  <c r="K196" i="41"/>
  <c r="N195" i="41"/>
  <c r="K195" i="41"/>
  <c r="K194" i="41"/>
  <c r="I194" i="41"/>
  <c r="H194" i="41"/>
  <c r="G194" i="41"/>
  <c r="N193" i="41"/>
  <c r="K193" i="41"/>
  <c r="K192" i="41"/>
  <c r="K191" i="41"/>
  <c r="N190" i="41"/>
  <c r="K190" i="41"/>
  <c r="N189" i="41"/>
  <c r="K189" i="41"/>
  <c r="K188" i="41"/>
  <c r="K187" i="41"/>
  <c r="I187" i="41"/>
  <c r="H187" i="41"/>
  <c r="G187" i="41"/>
  <c r="K186" i="41"/>
  <c r="I186" i="41"/>
  <c r="H186" i="41"/>
  <c r="G186" i="41"/>
  <c r="N185" i="41"/>
  <c r="K185" i="41"/>
  <c r="K184" i="41"/>
  <c r="J184" i="41"/>
  <c r="N183" i="41"/>
  <c r="K183" i="41"/>
  <c r="K182" i="41"/>
  <c r="I182" i="41"/>
  <c r="H182" i="41"/>
  <c r="G182" i="41"/>
  <c r="K181" i="41"/>
  <c r="I181" i="41"/>
  <c r="H181" i="41"/>
  <c r="G181" i="41"/>
  <c r="N180" i="41"/>
  <c r="K180" i="41"/>
  <c r="N179" i="41"/>
  <c r="K179" i="41"/>
  <c r="K178" i="41"/>
  <c r="I178" i="41"/>
  <c r="H178" i="41"/>
  <c r="G178" i="41"/>
  <c r="N177" i="41"/>
  <c r="K177" i="41"/>
  <c r="N176" i="41"/>
  <c r="K176" i="41"/>
  <c r="K175" i="41"/>
  <c r="I175" i="41"/>
  <c r="H175" i="41"/>
  <c r="G175" i="41"/>
  <c r="K174" i="41"/>
  <c r="N173" i="41"/>
  <c r="K173" i="41"/>
  <c r="T172" i="41"/>
  <c r="N172" i="41"/>
  <c r="K171" i="41"/>
  <c r="I171" i="41"/>
  <c r="H171" i="41"/>
  <c r="G171" i="41"/>
  <c r="N170" i="41"/>
  <c r="K170" i="41"/>
  <c r="K169" i="41"/>
  <c r="I169" i="41"/>
  <c r="H169" i="41"/>
  <c r="G169" i="41"/>
  <c r="W168" i="41"/>
  <c r="V168" i="41"/>
  <c r="N168" i="41"/>
  <c r="K168" i="41"/>
  <c r="K167" i="41"/>
  <c r="I167" i="41"/>
  <c r="H167" i="41"/>
  <c r="G167" i="41"/>
  <c r="K166" i="41"/>
  <c r="I166" i="41"/>
  <c r="H166" i="41"/>
  <c r="G166" i="41"/>
  <c r="N165" i="41"/>
  <c r="K165" i="41"/>
  <c r="K164" i="41"/>
  <c r="K163" i="41"/>
  <c r="I163" i="41"/>
  <c r="H163" i="41"/>
  <c r="G163" i="41"/>
  <c r="K162" i="41"/>
  <c r="W161" i="41"/>
  <c r="N161" i="41"/>
  <c r="K161" i="41"/>
  <c r="K160" i="41"/>
  <c r="I160" i="41"/>
  <c r="H160" i="41"/>
  <c r="G160" i="41"/>
  <c r="W159" i="41"/>
  <c r="N159" i="41"/>
  <c r="K159" i="41"/>
  <c r="K158" i="41"/>
  <c r="I158" i="41"/>
  <c r="H158" i="41"/>
  <c r="G158" i="41"/>
  <c r="W157" i="41"/>
  <c r="N157" i="41"/>
  <c r="K157" i="41"/>
  <c r="T156" i="41"/>
  <c r="N156" i="41"/>
  <c r="K155" i="41"/>
  <c r="I155" i="41"/>
  <c r="H155" i="41"/>
  <c r="G155" i="41"/>
  <c r="N154" i="41"/>
  <c r="K154" i="41"/>
  <c r="K153" i="41"/>
  <c r="I153" i="41"/>
  <c r="H153" i="41"/>
  <c r="G153" i="41"/>
  <c r="N152" i="41"/>
  <c r="K152" i="41"/>
  <c r="K151" i="41"/>
  <c r="I151" i="41"/>
  <c r="H151" i="41"/>
  <c r="G151" i="41"/>
  <c r="K150" i="41"/>
  <c r="I150" i="41"/>
  <c r="H150" i="41"/>
  <c r="G150" i="41"/>
  <c r="N149" i="41"/>
  <c r="K149" i="41"/>
  <c r="N148" i="41"/>
  <c r="K148" i="41"/>
  <c r="K147" i="41"/>
  <c r="I147" i="41"/>
  <c r="H147" i="41"/>
  <c r="G147" i="41"/>
  <c r="N146" i="41"/>
  <c r="K146" i="41"/>
  <c r="K145" i="41"/>
  <c r="I145" i="41"/>
  <c r="H145" i="41"/>
  <c r="G145" i="41"/>
  <c r="N144" i="41"/>
  <c r="K144" i="41"/>
  <c r="T143" i="41"/>
  <c r="N143" i="41"/>
  <c r="K142" i="41"/>
  <c r="I142" i="41"/>
  <c r="H142" i="41"/>
  <c r="G142" i="41"/>
  <c r="N141" i="41"/>
  <c r="K141" i="41"/>
  <c r="T140" i="41"/>
  <c r="N140" i="41"/>
  <c r="K139" i="41"/>
  <c r="N138" i="41"/>
  <c r="K138" i="41"/>
  <c r="N137" i="41"/>
  <c r="K137" i="41"/>
  <c r="K136" i="41"/>
  <c r="N135" i="41"/>
  <c r="K135" i="41"/>
  <c r="K134" i="41"/>
  <c r="N133" i="41"/>
  <c r="K133" i="41"/>
  <c r="K132" i="41"/>
  <c r="N131" i="41"/>
  <c r="K131" i="41"/>
  <c r="K130" i="41"/>
  <c r="I130" i="41"/>
  <c r="H130" i="41"/>
  <c r="G130" i="41"/>
  <c r="N129" i="41"/>
  <c r="K129" i="41"/>
  <c r="K128" i="41"/>
  <c r="J128" i="41"/>
  <c r="I128" i="41"/>
  <c r="H128" i="41"/>
  <c r="G128" i="41"/>
  <c r="K127" i="41"/>
  <c r="I127" i="41"/>
  <c r="H127" i="41"/>
  <c r="G127" i="41"/>
  <c r="N126" i="41"/>
  <c r="K126" i="41"/>
  <c r="T125" i="41"/>
  <c r="N125" i="41"/>
  <c r="T124" i="41"/>
  <c r="N124" i="41"/>
  <c r="T123" i="41"/>
  <c r="N123" i="41"/>
  <c r="M118" i="41"/>
  <c r="F118" i="41"/>
  <c r="M117" i="41"/>
  <c r="F117" i="41"/>
  <c r="M115" i="41"/>
  <c r="F115" i="41"/>
  <c r="F113" i="41"/>
  <c r="F112" i="41"/>
  <c r="L104" i="41"/>
  <c r="K104" i="41"/>
  <c r="N102" i="41"/>
  <c r="K102" i="41"/>
  <c r="D102" i="41"/>
  <c r="N101" i="41"/>
  <c r="K101" i="41"/>
  <c r="D101" i="41"/>
  <c r="N100" i="41"/>
  <c r="K100" i="41"/>
  <c r="D100" i="41"/>
  <c r="N99" i="41"/>
  <c r="K99" i="41"/>
  <c r="D99" i="41"/>
  <c r="N98" i="41"/>
  <c r="K98" i="41"/>
  <c r="D98" i="41"/>
  <c r="N97" i="41"/>
  <c r="K97" i="41"/>
  <c r="D97" i="41"/>
  <c r="N96" i="41"/>
  <c r="K96" i="41"/>
  <c r="N95" i="41"/>
  <c r="K95" i="41"/>
  <c r="I95" i="41"/>
  <c r="C95" i="41"/>
  <c r="N94" i="41"/>
  <c r="K94" i="41"/>
  <c r="D94" i="41"/>
  <c r="N93" i="41"/>
  <c r="K93" i="41"/>
  <c r="D93" i="41"/>
  <c r="N92" i="41"/>
  <c r="K92" i="41"/>
  <c r="D92" i="41"/>
  <c r="N91" i="41"/>
  <c r="K91" i="41"/>
  <c r="D91" i="41"/>
  <c r="N90" i="41"/>
  <c r="K90" i="41"/>
  <c r="D90" i="41"/>
  <c r="N89" i="41"/>
  <c r="K89" i="41"/>
  <c r="D89" i="41"/>
  <c r="T88" i="41"/>
  <c r="N88" i="41"/>
  <c r="K88" i="41"/>
  <c r="T87" i="41"/>
  <c r="N87" i="41"/>
  <c r="K87" i="41"/>
  <c r="I87" i="41"/>
  <c r="C87" i="41"/>
  <c r="I85" i="41"/>
  <c r="M83" i="41"/>
  <c r="F83" i="41"/>
  <c r="M82" i="41"/>
  <c r="F82" i="41"/>
  <c r="M80" i="41"/>
  <c r="F80" i="41"/>
  <c r="F78" i="41"/>
  <c r="F77" i="41"/>
  <c r="L37" i="41"/>
  <c r="M35" i="41"/>
  <c r="M34" i="41"/>
  <c r="H34" i="41"/>
  <c r="M32" i="41"/>
  <c r="M30" i="41"/>
  <c r="D30" i="41"/>
  <c r="M29" i="41"/>
  <c r="D29" i="41"/>
  <c r="E22" i="41"/>
  <c r="E19" i="41"/>
  <c r="E16" i="41"/>
  <c r="O13" i="41"/>
  <c r="E13" i="41"/>
  <c r="O12" i="41"/>
  <c r="F12" i="41"/>
  <c r="F9" i="41"/>
  <c r="O7" i="41"/>
  <c r="F7" i="41"/>
  <c r="F4" i="41"/>
  <c r="N282" i="2"/>
  <c r="K282" i="2"/>
  <c r="N281" i="2"/>
  <c r="K281" i="2"/>
  <c r="N280" i="2"/>
  <c r="K280" i="2"/>
  <c r="AB279" i="2"/>
  <c r="AA279" i="2"/>
  <c r="Z279" i="2"/>
  <c r="Y279" i="2"/>
  <c r="X279" i="2"/>
  <c r="W279" i="2"/>
  <c r="N279" i="2"/>
  <c r="K279" i="2"/>
  <c r="AB278" i="2"/>
  <c r="AA278" i="2"/>
  <c r="Z278" i="2"/>
  <c r="Y278" i="2"/>
  <c r="X278" i="2"/>
  <c r="W278" i="2"/>
  <c r="N278" i="2"/>
  <c r="K278" i="2"/>
  <c r="K277" i="2"/>
  <c r="N276" i="2"/>
  <c r="K276" i="2"/>
  <c r="N275" i="2"/>
  <c r="K275" i="2"/>
  <c r="N274" i="2"/>
  <c r="K274" i="2"/>
  <c r="T273" i="2"/>
  <c r="N273" i="2"/>
  <c r="K272" i="2"/>
  <c r="I272" i="2"/>
  <c r="H272" i="2"/>
  <c r="G272" i="2"/>
  <c r="K271" i="2"/>
  <c r="I271" i="2"/>
  <c r="H271" i="2"/>
  <c r="G271" i="2"/>
  <c r="K270" i="2"/>
  <c r="I270" i="2"/>
  <c r="H270" i="2"/>
  <c r="G270" i="2"/>
  <c r="AA269" i="2"/>
  <c r="N269" i="2"/>
  <c r="K269" i="2"/>
  <c r="K268" i="2"/>
  <c r="I268" i="2"/>
  <c r="H268" i="2"/>
  <c r="G268" i="2"/>
  <c r="Z265" i="2"/>
  <c r="N265" i="2"/>
  <c r="K265" i="2"/>
  <c r="N264" i="2"/>
  <c r="K264" i="2"/>
  <c r="K263" i="2"/>
  <c r="I263" i="2"/>
  <c r="H263" i="2"/>
  <c r="G263" i="2"/>
  <c r="Y262" i="2"/>
  <c r="N262" i="2"/>
  <c r="K262" i="2"/>
  <c r="K261" i="2"/>
  <c r="I261" i="2"/>
  <c r="H261" i="2"/>
  <c r="G261" i="2"/>
  <c r="N260" i="2"/>
  <c r="K260" i="2"/>
  <c r="K259" i="2"/>
  <c r="I259" i="2"/>
  <c r="H259" i="2"/>
  <c r="G259" i="2"/>
  <c r="Z258" i="2"/>
  <c r="N258" i="2"/>
  <c r="K258" i="2"/>
  <c r="Z257" i="2"/>
  <c r="N257" i="2"/>
  <c r="K257" i="2"/>
  <c r="Z256" i="2"/>
  <c r="N256" i="2"/>
  <c r="K256" i="2"/>
  <c r="K255" i="2"/>
  <c r="J255" i="2"/>
  <c r="Z254" i="2"/>
  <c r="N254" i="2"/>
  <c r="K254" i="2"/>
  <c r="K253" i="2"/>
  <c r="J253" i="2"/>
  <c r="K252" i="2"/>
  <c r="J252" i="2"/>
  <c r="Z251" i="2"/>
  <c r="N251" i="2"/>
  <c r="K251" i="2"/>
  <c r="K250" i="2"/>
  <c r="N249" i="2"/>
  <c r="K249" i="2"/>
  <c r="N247" i="2"/>
  <c r="K247" i="2"/>
  <c r="N245" i="2"/>
  <c r="K245" i="2"/>
  <c r="N243" i="2"/>
  <c r="K243" i="2"/>
  <c r="K242" i="2"/>
  <c r="K241" i="2"/>
  <c r="K240" i="2"/>
  <c r="K239" i="2"/>
  <c r="N238" i="2"/>
  <c r="K238" i="2"/>
  <c r="K237" i="2"/>
  <c r="I237" i="2"/>
  <c r="H237" i="2"/>
  <c r="G237" i="2"/>
  <c r="K236" i="2"/>
  <c r="I236" i="2"/>
  <c r="H236" i="2"/>
  <c r="G236" i="2"/>
  <c r="AA235" i="2"/>
  <c r="Z235" i="2"/>
  <c r="X235" i="2"/>
  <c r="W235" i="2"/>
  <c r="N235" i="2"/>
  <c r="K235" i="2"/>
  <c r="K234" i="2"/>
  <c r="I234" i="2"/>
  <c r="H234" i="2"/>
  <c r="G234" i="2"/>
  <c r="AA233" i="2"/>
  <c r="V233" i="2"/>
  <c r="N233" i="2"/>
  <c r="K233" i="2"/>
  <c r="K232" i="2"/>
  <c r="I232" i="2"/>
  <c r="H232" i="2"/>
  <c r="G232" i="2"/>
  <c r="K231" i="2"/>
  <c r="I231" i="2"/>
  <c r="H231" i="2"/>
  <c r="G231" i="2"/>
  <c r="K230" i="2"/>
  <c r="I230" i="2"/>
  <c r="H230" i="2"/>
  <c r="G230" i="2"/>
  <c r="K229" i="2"/>
  <c r="I229" i="2"/>
  <c r="H229" i="2"/>
  <c r="G229" i="2"/>
  <c r="AA228" i="2"/>
  <c r="V228" i="2"/>
  <c r="N228" i="2"/>
  <c r="K228" i="2"/>
  <c r="K227" i="2"/>
  <c r="I227" i="2"/>
  <c r="H227" i="2"/>
  <c r="G227" i="2"/>
  <c r="K226" i="2"/>
  <c r="I226" i="2"/>
  <c r="H226" i="2"/>
  <c r="G226" i="2"/>
  <c r="K225" i="2"/>
  <c r="I225" i="2"/>
  <c r="H225" i="2"/>
  <c r="G225" i="2"/>
  <c r="K224" i="2"/>
  <c r="I224" i="2"/>
  <c r="H224" i="2"/>
  <c r="G224" i="2"/>
  <c r="AA223" i="2"/>
  <c r="N223" i="2"/>
  <c r="K223" i="2"/>
  <c r="K222" i="2"/>
  <c r="I222" i="2"/>
  <c r="H222" i="2"/>
  <c r="G222" i="2"/>
  <c r="K221" i="2"/>
  <c r="I221" i="2"/>
  <c r="H221" i="2"/>
  <c r="G221" i="2"/>
  <c r="Z220" i="2"/>
  <c r="N220" i="2"/>
  <c r="K220" i="2"/>
  <c r="K219" i="2"/>
  <c r="I219" i="2"/>
  <c r="H219" i="2"/>
  <c r="G219" i="2"/>
  <c r="K218" i="2"/>
  <c r="I218" i="2"/>
  <c r="H218" i="2"/>
  <c r="G218" i="2"/>
  <c r="K217" i="2"/>
  <c r="I217" i="2"/>
  <c r="H217" i="2"/>
  <c r="G217" i="2"/>
  <c r="Z216" i="2"/>
  <c r="V216" i="2"/>
  <c r="N216" i="2"/>
  <c r="K216" i="2"/>
  <c r="K215" i="2"/>
  <c r="I215" i="2"/>
  <c r="H215" i="2"/>
  <c r="G215" i="2"/>
  <c r="Z214" i="2"/>
  <c r="N214" i="2"/>
  <c r="K214" i="2"/>
  <c r="K213" i="2"/>
  <c r="I213" i="2"/>
  <c r="H213" i="2"/>
  <c r="G213" i="2"/>
  <c r="K212" i="2"/>
  <c r="I212" i="2"/>
  <c r="H212" i="2"/>
  <c r="G212" i="2"/>
  <c r="Z211" i="2"/>
  <c r="N211" i="2"/>
  <c r="K211" i="2"/>
  <c r="K210" i="2"/>
  <c r="I210" i="2"/>
  <c r="H210" i="2"/>
  <c r="G210" i="2"/>
  <c r="K209" i="2"/>
  <c r="I209" i="2"/>
  <c r="H209" i="2"/>
  <c r="G209" i="2"/>
  <c r="Z208" i="2"/>
  <c r="N208" i="2"/>
  <c r="K208" i="2"/>
  <c r="K207" i="2"/>
  <c r="I207" i="2"/>
  <c r="H207" i="2"/>
  <c r="G207" i="2"/>
  <c r="K206" i="2"/>
  <c r="I206" i="2"/>
  <c r="H206" i="2"/>
  <c r="G206" i="2"/>
  <c r="Z205" i="2"/>
  <c r="N205" i="2"/>
  <c r="K205" i="2"/>
  <c r="K204" i="2"/>
  <c r="I204" i="2"/>
  <c r="H204" i="2"/>
  <c r="G204" i="2"/>
  <c r="AA203" i="2"/>
  <c r="N203" i="2"/>
  <c r="K203" i="2"/>
  <c r="K202" i="2"/>
  <c r="I202" i="2"/>
  <c r="H202" i="2"/>
  <c r="G202" i="2"/>
  <c r="K201" i="2"/>
  <c r="I201" i="2"/>
  <c r="H201" i="2"/>
  <c r="G201" i="2"/>
  <c r="K200" i="2"/>
  <c r="I200" i="2"/>
  <c r="H200" i="2"/>
  <c r="G200" i="2"/>
  <c r="AA199" i="2"/>
  <c r="N199" i="2"/>
  <c r="K199" i="2"/>
  <c r="K198" i="2"/>
  <c r="I198" i="2"/>
  <c r="H198" i="2"/>
  <c r="G198" i="2"/>
  <c r="X197" i="2"/>
  <c r="V197" i="2"/>
  <c r="N197" i="2"/>
  <c r="K197" i="2"/>
  <c r="K196" i="2"/>
  <c r="I196" i="2"/>
  <c r="H196" i="2"/>
  <c r="G196" i="2"/>
  <c r="W195" i="2"/>
  <c r="N195" i="2"/>
  <c r="K195" i="2"/>
  <c r="K194" i="2"/>
  <c r="I194" i="2"/>
  <c r="H194" i="2"/>
  <c r="G194" i="2"/>
  <c r="K193" i="2"/>
  <c r="I193" i="2"/>
  <c r="H193" i="2"/>
  <c r="G193" i="2"/>
  <c r="K192" i="2"/>
  <c r="I192" i="2"/>
  <c r="H192" i="2"/>
  <c r="G192" i="2"/>
  <c r="K191" i="2"/>
  <c r="I191" i="2"/>
  <c r="H191" i="2"/>
  <c r="G191" i="2"/>
  <c r="W190" i="2"/>
  <c r="N190" i="2"/>
  <c r="K190" i="2"/>
  <c r="K189" i="2"/>
  <c r="I189" i="2"/>
  <c r="H189" i="2"/>
  <c r="G189" i="2"/>
  <c r="K188" i="2"/>
  <c r="I188" i="2"/>
  <c r="H188" i="2"/>
  <c r="G188" i="2"/>
  <c r="K187" i="2"/>
  <c r="I187" i="2"/>
  <c r="H187" i="2"/>
  <c r="G187" i="2"/>
  <c r="W186" i="2"/>
  <c r="V186" i="2"/>
  <c r="N186" i="2"/>
  <c r="K186" i="2"/>
  <c r="K185" i="2"/>
  <c r="I185" i="2"/>
  <c r="H185" i="2"/>
  <c r="G185" i="2"/>
  <c r="W184" i="2"/>
  <c r="V184" i="2"/>
  <c r="N184" i="2"/>
  <c r="K184" i="2"/>
  <c r="K183" i="2"/>
  <c r="I183" i="2"/>
  <c r="H183" i="2"/>
  <c r="G183" i="2"/>
  <c r="K182" i="2"/>
  <c r="I182" i="2"/>
  <c r="H182" i="2"/>
  <c r="G182" i="2"/>
  <c r="W181" i="2"/>
  <c r="N181" i="2"/>
  <c r="K181" i="2"/>
  <c r="K180" i="2"/>
  <c r="I180" i="2"/>
  <c r="H180" i="2"/>
  <c r="G180" i="2"/>
  <c r="K179" i="2"/>
  <c r="I179" i="2"/>
  <c r="H179" i="2"/>
  <c r="G179" i="2"/>
  <c r="W178" i="2"/>
  <c r="N178" i="2"/>
  <c r="K178" i="2"/>
  <c r="K177" i="2"/>
  <c r="I177" i="2"/>
  <c r="H177" i="2"/>
  <c r="G177" i="2"/>
  <c r="K176" i="2"/>
  <c r="I176" i="2"/>
  <c r="H176" i="2"/>
  <c r="G176" i="2"/>
  <c r="K175" i="2"/>
  <c r="I175" i="2"/>
  <c r="H175" i="2"/>
  <c r="G175" i="2"/>
  <c r="K174" i="2"/>
  <c r="I174" i="2"/>
  <c r="H174" i="2"/>
  <c r="G174" i="2"/>
  <c r="K173" i="2"/>
  <c r="I173" i="2"/>
  <c r="H173" i="2"/>
  <c r="G173" i="2"/>
  <c r="K172" i="2"/>
  <c r="I172" i="2"/>
  <c r="H172" i="2"/>
  <c r="G172" i="2"/>
  <c r="K171" i="2"/>
  <c r="I171" i="2"/>
  <c r="H171" i="2"/>
  <c r="G171" i="2"/>
  <c r="K170" i="2"/>
  <c r="I170" i="2"/>
  <c r="H170" i="2"/>
  <c r="G170" i="2"/>
  <c r="K169" i="2"/>
  <c r="I169" i="2"/>
  <c r="H169" i="2"/>
  <c r="G169" i="2"/>
  <c r="K168" i="2"/>
  <c r="I168" i="2"/>
  <c r="H168" i="2"/>
  <c r="G168" i="2"/>
  <c r="K167" i="2"/>
  <c r="I167" i="2"/>
  <c r="H167" i="2"/>
  <c r="G167" i="2"/>
  <c r="X166" i="2"/>
  <c r="N166" i="2"/>
  <c r="K166" i="2"/>
  <c r="K165" i="2"/>
  <c r="I165" i="2"/>
  <c r="H165" i="2"/>
  <c r="G165" i="2"/>
  <c r="K164" i="2"/>
  <c r="I164" i="2"/>
  <c r="H164" i="2"/>
  <c r="G164" i="2"/>
  <c r="X163" i="2"/>
  <c r="V163" i="2"/>
  <c r="N163" i="2"/>
  <c r="K163" i="2"/>
  <c r="K162" i="2"/>
  <c r="I162" i="2"/>
  <c r="H162" i="2"/>
  <c r="G162" i="2"/>
  <c r="K161" i="2"/>
  <c r="I161" i="2"/>
  <c r="H161" i="2"/>
  <c r="G161" i="2"/>
  <c r="K160" i="2"/>
  <c r="I160" i="2"/>
  <c r="H160" i="2"/>
  <c r="G160" i="2"/>
  <c r="X159" i="2"/>
  <c r="N159" i="2"/>
  <c r="K159" i="2"/>
  <c r="T158" i="2"/>
  <c r="N158" i="2"/>
  <c r="K157" i="2"/>
  <c r="I157" i="2"/>
  <c r="H157" i="2"/>
  <c r="G157" i="2"/>
  <c r="W156" i="2"/>
  <c r="V156" i="2"/>
  <c r="N156" i="2"/>
  <c r="K156" i="2"/>
  <c r="T155" i="2"/>
  <c r="N155" i="2"/>
  <c r="T154" i="2"/>
  <c r="N154" i="2"/>
  <c r="AB153" i="2"/>
  <c r="AA153" i="2"/>
  <c r="Z153" i="2"/>
  <c r="Y153" i="2"/>
  <c r="X153" i="2"/>
  <c r="W153" i="2"/>
  <c r="V153" i="2"/>
  <c r="U153" i="2"/>
  <c r="T153" i="2"/>
  <c r="N153" i="2"/>
  <c r="N151" i="2"/>
  <c r="K151" i="2"/>
  <c r="N150" i="2"/>
  <c r="K150" i="2"/>
  <c r="AB149" i="2"/>
  <c r="AA149" i="2"/>
  <c r="Z149" i="2"/>
  <c r="Y149" i="2"/>
  <c r="X149" i="2"/>
  <c r="W149" i="2"/>
  <c r="N149" i="2"/>
  <c r="K149" i="2"/>
  <c r="AB148" i="2"/>
  <c r="AA148" i="2"/>
  <c r="Z148" i="2"/>
  <c r="Y148" i="2"/>
  <c r="X148" i="2"/>
  <c r="W148" i="2"/>
  <c r="N148" i="2"/>
  <c r="K148" i="2"/>
  <c r="K147" i="2"/>
  <c r="N146" i="2"/>
  <c r="K146" i="2"/>
  <c r="N145" i="2"/>
  <c r="K145" i="2"/>
  <c r="N144" i="2"/>
  <c r="K144" i="2"/>
  <c r="T143" i="2"/>
  <c r="N143" i="2"/>
  <c r="K142" i="2"/>
  <c r="I142" i="2"/>
  <c r="H142" i="2"/>
  <c r="G142" i="2"/>
  <c r="AA141" i="2"/>
  <c r="N141" i="2"/>
  <c r="K141" i="2"/>
  <c r="Z139" i="2"/>
  <c r="N139" i="2"/>
  <c r="K139" i="2"/>
  <c r="K138" i="2"/>
  <c r="I138" i="2"/>
  <c r="H138" i="2"/>
  <c r="G138" i="2"/>
  <c r="K137" i="2"/>
  <c r="I137" i="2"/>
  <c r="H137" i="2"/>
  <c r="G137" i="2"/>
  <c r="AA136" i="2"/>
  <c r="V136" i="2"/>
  <c r="N136" i="2"/>
  <c r="K136" i="2"/>
  <c r="K135" i="2"/>
  <c r="I135" i="2"/>
  <c r="H135" i="2"/>
  <c r="G135" i="2"/>
  <c r="K134" i="2"/>
  <c r="I134" i="2"/>
  <c r="H134" i="2"/>
  <c r="G134" i="2"/>
  <c r="AA133" i="2"/>
  <c r="N133" i="2"/>
  <c r="K133" i="2"/>
  <c r="K132" i="2"/>
  <c r="I132" i="2"/>
  <c r="H132" i="2"/>
  <c r="G132" i="2"/>
  <c r="K131" i="2"/>
  <c r="I131" i="2"/>
  <c r="H131" i="2"/>
  <c r="G131" i="2"/>
  <c r="Z130" i="2"/>
  <c r="V130" i="2"/>
  <c r="N130" i="2"/>
  <c r="K130" i="2"/>
  <c r="K129" i="2"/>
  <c r="I129" i="2"/>
  <c r="H129" i="2"/>
  <c r="G129" i="2"/>
  <c r="Z128" i="2"/>
  <c r="N128" i="2"/>
  <c r="K128" i="2"/>
  <c r="K127" i="2"/>
  <c r="I127" i="2"/>
  <c r="H127" i="2"/>
  <c r="G127" i="2"/>
  <c r="AA126" i="2"/>
  <c r="N126" i="2"/>
  <c r="K126" i="2"/>
  <c r="K125" i="2"/>
  <c r="I125" i="2"/>
  <c r="H125" i="2"/>
  <c r="G125" i="2"/>
  <c r="W124" i="2"/>
  <c r="N124" i="2"/>
  <c r="K124" i="2"/>
  <c r="K123" i="2"/>
  <c r="I123" i="2"/>
  <c r="H123" i="2"/>
  <c r="G123" i="2"/>
  <c r="W122" i="2"/>
  <c r="V122" i="2"/>
  <c r="N122" i="2"/>
  <c r="K122" i="2"/>
  <c r="K121" i="2"/>
  <c r="I121" i="2"/>
  <c r="H121" i="2"/>
  <c r="G121" i="2"/>
  <c r="K120" i="2"/>
  <c r="I120" i="2"/>
  <c r="H120" i="2"/>
  <c r="G120" i="2"/>
  <c r="X119" i="2"/>
  <c r="N119" i="2"/>
  <c r="K119" i="2"/>
  <c r="T118" i="2"/>
  <c r="N118" i="2"/>
  <c r="T117" i="2"/>
  <c r="N117" i="2"/>
  <c r="AB116" i="2"/>
  <c r="AA116" i="2"/>
  <c r="Z116" i="2"/>
  <c r="Y116" i="2"/>
  <c r="X116" i="2"/>
  <c r="W116" i="2"/>
  <c r="V116" i="2"/>
  <c r="U116" i="2"/>
  <c r="T116" i="2"/>
  <c r="N116" i="2"/>
  <c r="M111" i="2"/>
  <c r="F111" i="2"/>
  <c r="M110" i="2"/>
  <c r="F110" i="2"/>
  <c r="M108" i="2"/>
  <c r="F108" i="2"/>
  <c r="F106" i="2"/>
  <c r="F105" i="2"/>
  <c r="L97" i="2"/>
  <c r="K97" i="2"/>
  <c r="N95" i="2"/>
  <c r="K95" i="2"/>
  <c r="D95" i="2"/>
  <c r="N94" i="2"/>
  <c r="K94" i="2"/>
  <c r="D94" i="2"/>
  <c r="N93" i="2"/>
  <c r="K93" i="2"/>
  <c r="D93" i="2"/>
  <c r="N92" i="2"/>
  <c r="K92" i="2"/>
  <c r="N91" i="2"/>
  <c r="K91" i="2"/>
  <c r="I91" i="2"/>
  <c r="C91" i="2"/>
  <c r="N90" i="2"/>
  <c r="K90" i="2"/>
  <c r="D90" i="2"/>
  <c r="N89" i="2"/>
  <c r="K89" i="2"/>
  <c r="D89" i="2"/>
  <c r="N88" i="2"/>
  <c r="K88" i="2"/>
  <c r="N87" i="2"/>
  <c r="K87" i="2"/>
  <c r="C87" i="2"/>
  <c r="I85" i="2"/>
  <c r="M83" i="2"/>
  <c r="F83" i="2"/>
  <c r="M82" i="2"/>
  <c r="F82" i="2"/>
  <c r="M80" i="2"/>
  <c r="F80" i="2"/>
  <c r="F78" i="2"/>
  <c r="F77" i="2"/>
  <c r="L37" i="2"/>
  <c r="M35" i="2"/>
  <c r="M34" i="2"/>
  <c r="H34" i="2"/>
  <c r="M32" i="2"/>
  <c r="M30" i="2"/>
  <c r="D30" i="2"/>
  <c r="M29" i="2"/>
  <c r="D29" i="2"/>
  <c r="E22" i="2"/>
  <c r="E19" i="2"/>
  <c r="E16" i="2"/>
  <c r="O13" i="2"/>
  <c r="E13" i="2"/>
  <c r="O12" i="2"/>
  <c r="F12" i="2"/>
  <c r="F9" i="2"/>
  <c r="O7" i="2"/>
  <c r="F7" i="2"/>
  <c r="F4" i="2"/>
  <c r="AW148" i="1"/>
  <c r="AT144" i="1"/>
  <c r="AN144" i="1"/>
  <c r="AI144" i="1"/>
  <c r="AA144" i="1"/>
  <c r="AT143" i="1"/>
  <c r="AN143" i="1"/>
  <c r="AI143" i="1"/>
  <c r="AA143" i="1"/>
  <c r="AT142" i="1"/>
  <c r="AN142" i="1"/>
  <c r="AI142" i="1"/>
  <c r="AA142" i="1"/>
  <c r="AT141" i="1"/>
  <c r="AN141" i="1"/>
  <c r="AI141" i="1"/>
  <c r="AA141" i="1"/>
  <c r="AT140" i="1"/>
  <c r="AN140" i="1"/>
  <c r="AI140" i="1"/>
  <c r="AA140" i="1"/>
  <c r="AT139" i="1"/>
  <c r="AN139" i="1"/>
  <c r="AI139" i="1"/>
  <c r="AA139" i="1"/>
  <c r="AT138" i="1"/>
  <c r="AN138" i="1"/>
  <c r="AI138" i="1"/>
  <c r="AA138" i="1"/>
  <c r="AT137" i="1"/>
  <c r="AN137" i="1"/>
  <c r="AI137" i="1"/>
  <c r="AA137" i="1"/>
  <c r="AZ136" i="1"/>
  <c r="AY136" i="1"/>
  <c r="AT136" i="1"/>
  <c r="AN136" i="1"/>
  <c r="AG136" i="1"/>
  <c r="AZ134" i="1"/>
  <c r="AY134" i="1"/>
  <c r="AT134" i="1"/>
  <c r="AN134" i="1"/>
  <c r="AG134" i="1"/>
  <c r="D134" i="1"/>
  <c r="AZ133" i="1"/>
  <c r="AY133" i="1"/>
  <c r="AT133" i="1"/>
  <c r="AN133" i="1"/>
  <c r="AG133" i="1"/>
  <c r="D133" i="1"/>
  <c r="D132" i="1"/>
  <c r="AZ131" i="1"/>
  <c r="AY131" i="1"/>
  <c r="AT131" i="1"/>
  <c r="AN131" i="1"/>
  <c r="AG131" i="1"/>
  <c r="D131" i="1"/>
  <c r="AZ130" i="1"/>
  <c r="AY130" i="1"/>
  <c r="AT130" i="1"/>
  <c r="AN130" i="1"/>
  <c r="AG130" i="1"/>
  <c r="D130" i="1"/>
  <c r="D129" i="1"/>
  <c r="D128" i="1"/>
  <c r="AS127" i="1"/>
  <c r="AZ125" i="1"/>
  <c r="AY125" i="1"/>
  <c r="AT125" i="1"/>
  <c r="AN125" i="1"/>
  <c r="AG125" i="1"/>
  <c r="D125" i="1"/>
  <c r="AZ124" i="1"/>
  <c r="AY124" i="1"/>
  <c r="AT124" i="1"/>
  <c r="AN124" i="1"/>
  <c r="AG124" i="1"/>
  <c r="D124" i="1"/>
  <c r="AZ123" i="1"/>
  <c r="AY123" i="1"/>
  <c r="AT123" i="1"/>
  <c r="AN123" i="1"/>
  <c r="AG123" i="1"/>
  <c r="D123" i="1"/>
  <c r="AT122" i="1"/>
  <c r="AS122" i="1"/>
  <c r="AN122" i="1"/>
  <c r="AG122" i="1"/>
  <c r="AZ120" i="1"/>
  <c r="AY120" i="1"/>
  <c r="AT120" i="1"/>
  <c r="AN120" i="1"/>
  <c r="AG120" i="1"/>
  <c r="D120" i="1"/>
  <c r="AZ119" i="1"/>
  <c r="AY119" i="1"/>
  <c r="AT119" i="1"/>
  <c r="AN119" i="1"/>
  <c r="AG119" i="1"/>
  <c r="D119" i="1"/>
  <c r="AT118" i="1"/>
  <c r="AS118" i="1"/>
  <c r="AN118" i="1"/>
  <c r="AG118" i="1"/>
  <c r="AT114" i="1"/>
  <c r="AN114" i="1"/>
  <c r="AI114" i="1"/>
  <c r="AA114" i="1"/>
  <c r="AT113" i="1"/>
  <c r="AN113" i="1"/>
  <c r="AI113" i="1"/>
  <c r="AA113" i="1"/>
  <c r="AT112" i="1"/>
  <c r="AN112" i="1"/>
  <c r="AI112" i="1"/>
  <c r="AA112" i="1"/>
  <c r="AT111" i="1"/>
  <c r="AN111" i="1"/>
  <c r="AI111" i="1"/>
  <c r="AA111" i="1"/>
  <c r="AT110" i="1"/>
  <c r="AN110" i="1"/>
  <c r="AI110" i="1"/>
  <c r="AA110" i="1"/>
  <c r="AT109" i="1"/>
  <c r="AN109" i="1"/>
  <c r="AI109" i="1"/>
  <c r="AA109" i="1"/>
  <c r="AT108" i="1"/>
  <c r="AN108" i="1"/>
  <c r="AI108" i="1"/>
  <c r="AA108" i="1"/>
  <c r="AT107" i="1"/>
  <c r="AN107" i="1"/>
  <c r="AI107" i="1"/>
  <c r="AA107" i="1"/>
  <c r="AT106" i="1"/>
  <c r="AN106" i="1"/>
  <c r="AG106" i="1"/>
  <c r="AT104" i="1"/>
  <c r="AN104" i="1"/>
  <c r="AG104" i="1"/>
  <c r="D104" i="1"/>
  <c r="AT103" i="1"/>
  <c r="AN103" i="1"/>
  <c r="AG103" i="1"/>
  <c r="D103" i="1"/>
  <c r="D102" i="1"/>
  <c r="AT101" i="1"/>
  <c r="AN101" i="1"/>
  <c r="AG101" i="1"/>
  <c r="D101" i="1"/>
  <c r="AT100" i="1"/>
  <c r="AN100" i="1"/>
  <c r="AG100" i="1"/>
  <c r="D100" i="1"/>
  <c r="D99" i="1"/>
  <c r="D98" i="1"/>
  <c r="AS97" i="1"/>
  <c r="AT95" i="1"/>
  <c r="AN95" i="1"/>
  <c r="AG95" i="1"/>
  <c r="D95" i="1"/>
  <c r="AT94" i="1"/>
  <c r="AN94" i="1"/>
  <c r="AG94" i="1"/>
  <c r="D94" i="1"/>
  <c r="AT93" i="1"/>
  <c r="AS93" i="1"/>
  <c r="AN93" i="1"/>
  <c r="AG93" i="1"/>
  <c r="AT91" i="1"/>
  <c r="AN91" i="1"/>
  <c r="AG91" i="1"/>
  <c r="D91" i="1"/>
  <c r="AT90" i="1"/>
  <c r="AN90" i="1"/>
  <c r="AG90" i="1"/>
  <c r="D90" i="1"/>
  <c r="AT89" i="1"/>
  <c r="AN89" i="1"/>
  <c r="AG89" i="1"/>
  <c r="AM85" i="1"/>
  <c r="I85" i="1"/>
  <c r="AM84" i="1"/>
  <c r="I84" i="1"/>
  <c r="AM82" i="1"/>
  <c r="I82" i="1"/>
  <c r="I80" i="1"/>
  <c r="I79" i="1"/>
  <c r="W37" i="1"/>
  <c r="W36" i="1"/>
  <c r="W35" i="1"/>
  <c r="AK34" i="1"/>
  <c r="D29" i="1"/>
  <c r="D28" i="1"/>
  <c r="AN102" i="1" l="1"/>
  <c r="AT102" i="1"/>
  <c r="AY132" i="1"/>
  <c r="AZ132" i="1" s="1"/>
  <c r="AT132" i="1"/>
  <c r="AN132" i="1"/>
  <c r="D193" i="25"/>
  <c r="G129" i="36"/>
  <c r="G142" i="36" s="1"/>
  <c r="AG99" i="1" s="1"/>
  <c r="AN99" i="1" s="1"/>
  <c r="H89" i="22"/>
  <c r="H104" i="22" s="1"/>
  <c r="AG128" i="1" s="1"/>
  <c r="AY128" i="1" s="1"/>
  <c r="AZ128" i="1" s="1"/>
  <c r="AT98" i="1"/>
  <c r="AN98" i="1"/>
  <c r="AG127" i="1"/>
  <c r="AY129" i="1"/>
  <c r="AZ129" i="1" s="1"/>
  <c r="AN129" i="1"/>
  <c r="AT129" i="1"/>
  <c r="AY99" i="1"/>
  <c r="AZ99" i="1" s="1"/>
  <c r="AG97" i="1" l="1"/>
  <c r="AT99" i="1"/>
  <c r="AT128" i="1"/>
  <c r="AN128" i="1"/>
  <c r="AN97" i="1"/>
  <c r="AN116" i="1" s="1"/>
  <c r="AN127" i="1"/>
  <c r="AN146" i="1" s="1"/>
  <c r="AN148" i="1" s="1"/>
  <c r="AG116" i="1"/>
  <c r="AT97" i="1"/>
  <c r="AT127" i="1"/>
  <c r="AG146" i="1"/>
  <c r="AY148" i="1" l="1"/>
  <c r="AZ148" i="1" s="1"/>
  <c r="AT146" i="1"/>
  <c r="AK29" i="1"/>
  <c r="AT116" i="1"/>
  <c r="AK28" i="1"/>
  <c r="AK31" i="1" s="1"/>
  <c r="AG148" i="1"/>
  <c r="AT148" i="1" s="1"/>
  <c r="W33" i="1" l="1"/>
  <c r="AK33" i="1" s="1"/>
  <c r="AK39" i="1" s="1"/>
</calcChain>
</file>

<file path=xl/sharedStrings.xml><?xml version="1.0" encoding="utf-8"?>
<sst xmlns="http://schemas.openxmlformats.org/spreadsheetml/2006/main" count="7146" uniqueCount="2538">
  <si>
    <t/>
  </si>
  <si>
    <t>SOUHRNNÝ LIST STAVBY</t>
  </si>
  <si>
    <t>Kód:</t>
  </si>
  <si>
    <t>Stavba:</t>
  </si>
  <si>
    <t>JKSO:</t>
  </si>
  <si>
    <t>CC-CZ:</t>
  </si>
  <si>
    <t>Místo:</t>
  </si>
  <si>
    <t>Datum:</t>
  </si>
  <si>
    <t>Objednatel:</t>
  </si>
  <si>
    <t>IČ:</t>
  </si>
  <si>
    <t>DIČ:</t>
  </si>
  <si>
    <t>Zhotovitel:</t>
  </si>
  <si>
    <t xml:space="preserve"> </t>
  </si>
  <si>
    <t>Projektant:</t>
  </si>
  <si>
    <t>Zpracovatel:</t>
  </si>
  <si>
    <t>Jakub Kulhavý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</si>
  <si>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</si>
  <si>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</si>
  <si>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</si>
  <si>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</si>
  <si>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</si>
  <si>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</si>
  <si>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</si>
  <si>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</si>
  <si>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</si>
  <si>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</si>
  <si>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</si>
  <si>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</si>
  <si>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</si>
  <si>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</si>
  <si>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</si>
  <si>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</si>
  <si>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</si>
  <si>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</si>
  <si>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Kód</t>
  </si>
  <si>
    <t>Objekt</t>
  </si>
  <si>
    <t>Cena bez DPH [CZK]</t>
  </si>
  <si>
    <t>Cena s DPH [CZK]</t>
  </si>
  <si>
    <t>KRYCÍ LIST ROZPOČTU</t>
  </si>
  <si>
    <t>Objekt:</t>
  </si>
  <si>
    <t>REKAPITULACE ROZPOČTU</t>
  </si>
  <si>
    <t>Kód - Popis</t>
  </si>
  <si>
    <t>Cena celkem [CZK]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</si>
  <si>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</si>
  <si>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</si>
  <si>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</si>
  <si>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</si>
  <si>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6 - Úpravy povrchů, podlahy a osazování výplní</t>
  </si>
  <si>
    <t>PSV - Práce a dodávky PSV</t>
  </si>
  <si>
    <t xml:space="preserve">    711 - Izolace proti vodě, vlhkosti a plynům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</si>
  <si>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</si>
  <si>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</si>
  <si>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</si>
  <si>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775 - Podlahy skládané</t>
  </si>
  <si>
    <t xml:space="preserve">    784 - Dokončovací práce - malby a tapety</t>
  </si>
  <si>
    <t>ROZPOČET</t>
  </si>
  <si>
    <t>PČ</t>
  </si>
  <si>
    <t>Typ</t>
  </si>
  <si>
    <t>Popis</t>
  </si>
  <si>
    <t>MJ</t>
  </si>
  <si>
    <t>Množství</t>
  </si>
  <si>
    <t>J.cena [CZK]</t>
  </si>
  <si>
    <t>K</t>
  </si>
  <si>
    <t>m2</t>
  </si>
  <si>
    <t>m3</t>
  </si>
  <si>
    <t>M</t>
  </si>
  <si>
    <t>t</t>
  </si>
  <si>
    <t>kus</t>
  </si>
  <si>
    <t>m</t>
  </si>
  <si>
    <t>R</t>
  </si>
  <si>
    <t>%</t>
  </si>
  <si>
    <t>713121111</t>
  </si>
  <si>
    <t>Montáž izolace tepelné podlah volně kladenými rohožemi, pásy, dílci, deskami 1 vrstva</t>
  </si>
  <si>
    <t>kpl</t>
  </si>
  <si>
    <t xml:space="preserve">    94 - Lešení</t>
  </si>
  <si>
    <t xml:space="preserve">    998 - Přesuny hmot pro HSV</t>
  </si>
  <si>
    <t>Provedení izolace proti zemní vlhkosti vodorovné za studena nátěrem penetračním</t>
  </si>
  <si>
    <t>11163150</t>
  </si>
  <si>
    <t>lak asfaltový penetrační</t>
  </si>
  <si>
    <t>Provedení izolace proti zemní vlhkosti pásy přitavením vodorovné NAIP</t>
  </si>
  <si>
    <t>711141559</t>
  </si>
  <si>
    <t>bm</t>
  </si>
  <si>
    <t>1.NP</t>
  </si>
  <si>
    <t>2.NP</t>
  </si>
  <si>
    <t>944511111</t>
  </si>
  <si>
    <t>Montáž ochranné sítě z textilie z umělých vláken</t>
  </si>
  <si>
    <t>944511211</t>
  </si>
  <si>
    <t>Příplatek k ochranné síti za první a ZKD den použití</t>
  </si>
  <si>
    <t>944511811</t>
  </si>
  <si>
    <t>Demontáž ochranné sítě z textilie z umělých vláken</t>
  </si>
  <si>
    <t>784181121</t>
  </si>
  <si>
    <t>Hloubková jednonásobná penetrace podkladu v místnostech výšky do 3,80 m</t>
  </si>
  <si>
    <t>784211101</t>
  </si>
  <si>
    <t>Dvojnásobné bílé malby ze směsí za mokra výborně otěruvzdorných v místnostech výšky do 3,80 m</t>
  </si>
  <si>
    <t>Seznam revizí:</t>
  </si>
  <si>
    <t xml:space="preserve">Celkové náklady </t>
  </si>
  <si>
    <t>Celkové náklady</t>
  </si>
  <si>
    <t>Zásyp jam, šachet, rýh nebo kolem objektů sypaninou se zhutněním</t>
  </si>
  <si>
    <t xml:space="preserve">    9 - Ostatní konstrukce a práce, bourání</t>
  </si>
  <si>
    <t xml:space="preserve">    712 - Povlakové krytiny</t>
  </si>
  <si>
    <t>998</t>
  </si>
  <si>
    <t>3) Technologie</t>
  </si>
  <si>
    <t>Celkové náklady za stavbu</t>
  </si>
  <si>
    <t>omítky</t>
  </si>
  <si>
    <t>SDK</t>
  </si>
  <si>
    <t xml:space="preserve">    783 - Dokončovací práce - nátěry</t>
  </si>
  <si>
    <t>Poznámka:</t>
  </si>
  <si>
    <t>Výpis materiálu osahuje dodávku základního materiálu pro danou akci. Dodávka akce se předpokládá včetně souvisejícího doplňkového, podružného a montážního materiálu tak, aby celé dílo bylo bezvadné a funkční a splňovalo všechny předpisy, které se na ně vztahují.
Níže uvedený popis je pouze zkráceným popisem z PD, před oceněním je nutné detailně prostudovat přesnou specifikaci uvedenou v příslušné části PD.</t>
  </si>
  <si>
    <t>174151101</t>
  </si>
  <si>
    <t>Uložení sypaniny na skládky nebo meziskládky</t>
  </si>
  <si>
    <t>místnosti dle tabulky</t>
  </si>
  <si>
    <t>Montáž lešení řadového modulového lehkého zatížení do 200 kg/m2 š do 0,9 m v do 10 m</t>
  </si>
  <si>
    <t>Příplatek k lešení řadovému modulovému lehkému š 0,9 m v do 25 m za první a ZKD den použití</t>
  </si>
  <si>
    <t>Demontáž lešení prostorového modulového lehkého bez podlah zatížení do 200 kg/m2 v do 10 m</t>
  </si>
  <si>
    <t>Přesun hmot pro budovy zděné v do 10 m</t>
  </si>
  <si>
    <t>711192.991</t>
  </si>
  <si>
    <t>Systémové průchodky hydroizolací</t>
  </si>
  <si>
    <t>fólie PE vyztužená pro parotěsnou vrstvu (reakce na oheň - třída F) 140g/m2</t>
  </si>
  <si>
    <t>geotextilie netkaná separační, ochranná, filtrační, drenážní PP 300g/m2</t>
  </si>
  <si>
    <t>Zařízení staveniště, včetně návozu a likvidace</t>
  </si>
  <si>
    <t>Úklid stavby - průběžný a finální, včetně likvidace odpadů</t>
  </si>
  <si>
    <t>Dokladová část - projekt skutečného provedení a veškeré doklady nutné ke kolaudaci a předání díla</t>
  </si>
  <si>
    <t>fasáda</t>
  </si>
  <si>
    <t xml:space="preserve">    771 - Podlahy z dlaždic</t>
  </si>
  <si>
    <t>SOUHRNNÝ VÝKAZ VÝMĚR, DODÁVEK A PRACÍ</t>
  </si>
  <si>
    <r>
      <t>Pozn.:</t>
    </r>
    <r>
      <rPr>
        <b/>
        <sz val="10"/>
        <rFont val="Arial CE"/>
        <family val="2"/>
        <charset val="238"/>
      </rPr>
      <t>Zhotovitel je povinen vykázat množství dodávek a prací a související ocenění dle svého propočtu. Zhotovitel je zodpovědný za množství výměr, dodávek a prací uvedených ve výkazech výměr, dodávek a prací přiložených zhotovitelem k jeho nabídce.</t>
    </r>
  </si>
  <si>
    <t>položka , popis</t>
  </si>
  <si>
    <t>měrná jednotka</t>
  </si>
  <si>
    <t>jednotková cena [Kč]</t>
  </si>
  <si>
    <t>poznámka</t>
  </si>
  <si>
    <t>Veškeré materiály a výrobky je možné nahradit jinými za dodržení podmínky stejných či lepších technických vlastností.</t>
  </si>
  <si>
    <t>bez DPH</t>
  </si>
  <si>
    <t>KONEČNÁ - ÚPLNÁ NABÍDKOVÁ CENA DODAVATELE ZA PLNĚ FUNKČNÍ KOMPLET ZTI</t>
  </si>
  <si>
    <t>K ceně materiálu jsou připočteny veškeré montážní a zemní práce,nátěry,tlakové zkoušky</t>
  </si>
  <si>
    <t>a revize,včetně pomocných konstrukcí - táhel,konzol a závěsů.V celkové nabídce dodavatele</t>
  </si>
  <si>
    <t>je zahrnut i odvoz suti na skládku.</t>
  </si>
  <si>
    <t>Tato specifikace množství je nedílnou součástí celého projektu pro výběr dodavatele dané akce. Ceny pro každou položku veškerý související materiál a práce včetně kompletní montáže, tak jak je uvedeno v technické zprávě. Ceny zařízení, která jsou ve výkresech označena jako celek musí být pro kompletní zařízení, tak jak je uvedeno v technické zprávě . Povinností dodavatele je překontrolovat výše uvedenou specifikaci a případný chybějící materiál doplnit a ocenit.</t>
  </si>
  <si>
    <t xml:space="preserve">Výpis materiálu osahuje dodávku základního materiálu pro danou akci. Dodávka akce se předpokládá včetně souvisejícího doplňkového, podružného a montážního materiálu tak, aby celé zřízení bylo funkční a splňovalo všechny předpisy, které se na ně vztahují.  Součástí potrubí jsou ne jen kolena, oblouky, redukce, uložení, šroubení ale i odvzdušnění, vypouštění a podpěry, konzoly a závěsy a veškeré ocelové konstrukce potřebné k uložení potrubí, propláchnutí soustavy, .... Závitové armatury budou dodány včetně potřebných připojovacích šroubení, konopí, fermeže .... Přírubové a bezpřírubové armatury  budou dodány včetně potřebných protipřírub, těsnění, šroubů .... Manometry jsou včetně smyčky a trojcestného manometrického kohoutu. Teploměry jsou včetně návarku a jímky. Napojení čerpadel a zařízení je myšleno včetně připojovacích šroubení resp. protipřírub, .... </t>
  </si>
  <si>
    <t>Veškeré použité výrobky musí mít osvědčení o schválení k provozu v České republice.</t>
  </si>
  <si>
    <t>U zařízení, kde není uvedeno množství (odvzdušnění, vypouštění, izolace, nátěry,….) určí potenciální dodavatel cenu odborným odhadem (odvzdušnění,...),          resp. množství vyplývá z předchozích položek (izolace,….).</t>
  </si>
  <si>
    <t>Pozice</t>
  </si>
  <si>
    <t>cena / mj</t>
  </si>
  <si>
    <t>1</t>
  </si>
  <si>
    <t>ks</t>
  </si>
  <si>
    <t>2</t>
  </si>
  <si>
    <t>3</t>
  </si>
  <si>
    <t>Cena celkem bez DPH</t>
  </si>
  <si>
    <t>1.1</t>
  </si>
  <si>
    <t>1.2</t>
  </si>
  <si>
    <t>1.3</t>
  </si>
  <si>
    <t>1.4</t>
  </si>
  <si>
    <t>1.5</t>
  </si>
  <si>
    <t>1.6</t>
  </si>
  <si>
    <t>1.7</t>
  </si>
  <si>
    <t>1.8</t>
  </si>
  <si>
    <t>1.10</t>
  </si>
  <si>
    <t>1.11</t>
  </si>
  <si>
    <t>popis</t>
  </si>
  <si>
    <t>odkazy</t>
  </si>
  <si>
    <t>Zakrytí výplní otvorů a svislých ploch fólií přilepenou lepící páskou</t>
  </si>
  <si>
    <t>fasádní výplně oboustranně</t>
  </si>
  <si>
    <t>Lešení pomocné pro objekty pozemních staveb s lešeňovou podlahou v do 1,9 m zatížení do 150 kg/m2</t>
  </si>
  <si>
    <t>pro výstavbu - podlahová plocha</t>
  </si>
  <si>
    <t>GLASTEK 40</t>
  </si>
  <si>
    <t>přesahy</t>
  </si>
  <si>
    <t>Provedení izolace proti zemní vlhkosti svislé z nopové fólie</t>
  </si>
  <si>
    <t>fólie profilovaná (nopová) drenážní HDPE s nakašírovanou filtrační textilií s výškou nopů 8mm</t>
  </si>
  <si>
    <t>Izolace pod dlažbu nátěrem nebo stěrkou ve dvou vrstvách</t>
  </si>
  <si>
    <t>Izolace těsnícími pásy mezi podlahou a stěnou</t>
  </si>
  <si>
    <t>Montáž podlah keramických velkoformátových hladkých lepených flexibilním lepidlem přes 4 do 6 ks/m2</t>
  </si>
  <si>
    <t>dlažba velkoformátová keramická slinutá protiskluzná do interiéru i exteriéru pro vysoké mechanické namáhání přes 4 do 6ks/m2</t>
  </si>
  <si>
    <t xml:space="preserve">    781 - Keramické obklady</t>
  </si>
  <si>
    <t>781493.R001</t>
  </si>
  <si>
    <t>4</t>
  </si>
  <si>
    <t>5</t>
  </si>
  <si>
    <t>6</t>
  </si>
  <si>
    <t>7</t>
  </si>
  <si>
    <t>8</t>
  </si>
  <si>
    <t>V jednotlivých položkách je obsažena cena za zhotovení ev. výrobní dokumentace, veškeré přípravné práce, odzkoušení a revize veškerého zařízení a instalací, systémové prostupy konstrukcemi, požární ucpávky dle PBS, koordinace s ostatními profesemi, stavební přípomoce, vypracování ev. provozních řádů, návodů na údržbu a provoz, vypracování servisního plánu, dokumentace skutečného provedení, veškerý podružný materiál, značení potrubí informačními  štítky, proplach a desinfekci potrubí, napuštěnění i vypuštění systému při montáži, zaregulování systému, pomocný spojovací materiál, závěsovou techniku a úložné konstrukce- závěsy, pomocná lešení, dopravu veškerého materiálu atd..</t>
  </si>
  <si>
    <t>Vertikální přesun hmot na stavbě - stavební výtahy, manipulátory a jeřáby</t>
  </si>
  <si>
    <t>Poznámky:</t>
  </si>
  <si>
    <t xml:space="preserve"> - položky uvedené v soupisu prací a dodávek je nutné ocenit včetně veškerých potřebných nákladů na práci a materiál tak, aby byla zajištěna plná a bezpodmínečná bezvadná funkčnost dokončeného předaného díla</t>
  </si>
  <si>
    <t xml:space="preserve"> - předložením oceněného soupisu prací a dodávek Zhotovitel prohlašuje, že si veškeré položky a výměry zkontroloval a předložená cenová nabídka zahrnuje veškeré náklady pro provedení bezvadného funkčního díla dl uvedené PD</t>
  </si>
  <si>
    <t>1.1.1</t>
  </si>
  <si>
    <t>1.2.1</t>
  </si>
  <si>
    <t>Na Základě:</t>
  </si>
  <si>
    <t>Na základě:</t>
  </si>
  <si>
    <t>odkaz</t>
  </si>
  <si>
    <t>naložení výkopku pro přesun na skládku</t>
  </si>
  <si>
    <t>Vodorovné přemístění přes 9 000 do 10000 m výkopku/sypaniny z horniny třídy těžitelnosti I skupiny 1 až 3</t>
  </si>
  <si>
    <t>celková vzdálenost tam a zpět do 35km</t>
  </si>
  <si>
    <t>poplatek za recyklační skládku</t>
  </si>
  <si>
    <t>množství v m3 x sypná hmotnost zeminy 1,6</t>
  </si>
  <si>
    <t>Poplatek za uložení zeminy a kamení na recyklační skládce (skládkovné) kód odpadu 17 05 04</t>
  </si>
  <si>
    <t xml:space="preserve">Nakládání výkopku z hornin třídy těžitelnosti I skupiny 1 až 3 přes 100 m3	</t>
  </si>
  <si>
    <t xml:space="preserve">Příplatek k vodorovnému přemístění výkopku/sypaniny z horniny třídy těžitelnosti I skupiny 1 až 3 ZKD 1000 m přes 10000 m	</t>
  </si>
  <si>
    <t>998.R001</t>
  </si>
  <si>
    <t>CZK / m2 HPP</t>
  </si>
  <si>
    <t>m2 HPP</t>
  </si>
  <si>
    <t>CZK bez DPH / m2HPP</t>
  </si>
  <si>
    <t>vrchní</t>
  </si>
  <si>
    <t xml:space="preserve">pás asfaltový natavitelný modifikovaný SBS tl 4,0mm s vložkou ze skleněné tkaniny a spalitelnou PE fólií nebo jemnozrnným minerálním posypem na horním povrchu	</t>
  </si>
  <si>
    <t xml:space="preserve">711491172	</t>
  </si>
  <si>
    <t>Provedení doplňků izolace proti vodě na vodorovné ploše z textilií vrstva ochranná</t>
  </si>
  <si>
    <t>přesun na skládku - výkopek</t>
  </si>
  <si>
    <t xml:space="preserve">Podklad ze štěrkodrtě ŠD plochy do 100 m2 tl 150 mm	</t>
  </si>
  <si>
    <t>Zpevněné a nezpevněné plochy</t>
  </si>
  <si>
    <t>Celková cena</t>
  </si>
  <si>
    <t>2.1</t>
  </si>
  <si>
    <t>2.3</t>
  </si>
  <si>
    <t>2.2</t>
  </si>
  <si>
    <t>2.6</t>
  </si>
  <si>
    <t>2.4</t>
  </si>
  <si>
    <t>2.5</t>
  </si>
  <si>
    <t>3.1</t>
  </si>
  <si>
    <t>4.1</t>
  </si>
  <si>
    <t>4.2</t>
  </si>
  <si>
    <t>4.3</t>
  </si>
  <si>
    <t>4.4</t>
  </si>
  <si>
    <t>4.5</t>
  </si>
  <si>
    <t>3.2</t>
  </si>
  <si>
    <t>3.3</t>
  </si>
  <si>
    <t>3.4</t>
  </si>
  <si>
    <t>5.1</t>
  </si>
  <si>
    <t>5.2</t>
  </si>
  <si>
    <t>6.1</t>
  </si>
  <si>
    <t>6.2</t>
  </si>
  <si>
    <t>6.3</t>
  </si>
  <si>
    <t>7.1</t>
  </si>
  <si>
    <t>7.2</t>
  </si>
  <si>
    <t>8.1</t>
  </si>
  <si>
    <t>3.5</t>
  </si>
  <si>
    <t>3.6</t>
  </si>
  <si>
    <t>1.3.1</t>
  </si>
  <si>
    <t>1.3.2</t>
  </si>
  <si>
    <t>1.3.3</t>
  </si>
  <si>
    <t>Svítidla</t>
  </si>
  <si>
    <t>výkopek celkem</t>
  </si>
  <si>
    <t>1.NP odpoče otvorů</t>
  </si>
  <si>
    <t>odkazy a vzorec</t>
  </si>
  <si>
    <t xml:space="preserve">Mazanina tl přes 50 do 80 mm z betonu prostého bez zvýšených nároků na prostředí tř. C 20/25	</t>
  </si>
  <si>
    <t>Příplatek k mazaninám za přidání skleněných vláken pro objemové vyztužení 3 kg/m3</t>
  </si>
  <si>
    <t xml:space="preserve">Provedení povlakové krytiny střech do 10° termoplastickou fólií PVC rozvinutím a natažením v ploše	</t>
  </si>
  <si>
    <t xml:space="preserve">Provedení povlakové krytina střech do 10° spoj 2 pásů fólií PVC horkovzdušným navařením	</t>
  </si>
  <si>
    <t xml:space="preserve">Provedení povlakové krytiny střech do 10° provedení rohů a koutů navařením izolačních tvarovek	</t>
  </si>
  <si>
    <t>Povlakové krytiny střech do 10° z tvarovaných poplastovaných lišt délky 2 m koutová lišta vnitřní rš 100 mm</t>
  </si>
  <si>
    <t xml:space="preserve">Povlakové krytiny střech do 10° z tvarovaných poplastovaných lišt délky 2 m stěnová lišta vyhnutá rš 70 mm	</t>
  </si>
  <si>
    <t xml:space="preserve">lišta L koutová vnitřní z poplastovaného plechu (PVC-P) rš 100mm	</t>
  </si>
  <si>
    <t xml:space="preserve">lišta stěnová vyhnutá z poplastovaného plechu (PVC-P) rš 70mm	</t>
  </si>
  <si>
    <t xml:space="preserve">Spojovací prostředky krovů, bednění, laťování, nadstřešních konstrukcí	</t>
  </si>
  <si>
    <t xml:space="preserve">Ztužující výplň otvoru pro dveře pro příčky do 2,75 m zátěž křídla do 25 kg	</t>
  </si>
  <si>
    <t>odpočet obklad</t>
  </si>
  <si>
    <t xml:space="preserve">    5 - Komunikace a venkovní plochy</t>
  </si>
  <si>
    <t>Osazení chodníkového obrubníku betonového ležatého s boční opěrou do lože z betonu prostého</t>
  </si>
  <si>
    <t xml:space="preserve">obrubník betonový chodníkový 1000x80x250mm	</t>
  </si>
  <si>
    <t xml:space="preserve">    9 - Ostatní konstrukce a práce - drobné objekty a oplocení</t>
  </si>
  <si>
    <t>jednotková cena</t>
  </si>
  <si>
    <t>4.6</t>
  </si>
  <si>
    <t>4.7</t>
  </si>
  <si>
    <t>4.8</t>
  </si>
  <si>
    <t>4.9</t>
  </si>
  <si>
    <t>4.10</t>
  </si>
  <si>
    <t>Další nákady</t>
  </si>
  <si>
    <t xml:space="preserve">Údaje s jednotkou délky budou před objednáním přeměřeny na konstrukcích a objednány dle skutečné délky.  </t>
  </si>
  <si>
    <t xml:space="preserve">Firma provádějící nabídku je povinna materiál přepočítat. </t>
  </si>
  <si>
    <t>V případě položky neuvedené ve výkazu materiálu, bude ocenění takové položky provedeno ve zvláštní části nabídky</t>
  </si>
  <si>
    <t>1) Zařízení</t>
  </si>
  <si>
    <t>2) Potrubí a tvarovky venkovního rozvodu (vnější průměr x tl.stěny)</t>
  </si>
  <si>
    <t>3) Potrubí vnitřního rozvodu (značeno PPR)</t>
  </si>
  <si>
    <t>Studená voda:</t>
  </si>
  <si>
    <t>Teplá voda:</t>
  </si>
  <si>
    <t>4) Izolace potrubí (značeného PPR)</t>
  </si>
  <si>
    <t>Studená voda - PE návleky:</t>
  </si>
  <si>
    <t>Páska na přelepení spojů samolepící</t>
  </si>
  <si>
    <t>Teplá voda - kaučuková izolace, lepené spoje:</t>
  </si>
  <si>
    <t>22x13 Kaučukový návlek hadice</t>
  </si>
  <si>
    <t>Samolepící izolační páska 15m/50mm Kaučuk</t>
  </si>
  <si>
    <t>Lepidlo (balení 220g) pro kaučukové izolace</t>
  </si>
  <si>
    <t>Objímka kovová (pro PPR 20) 20-23 pozink</t>
  </si>
  <si>
    <t>Objímka kovová (pro PPR 25) 25-30 pozink</t>
  </si>
  <si>
    <t>Objímka kovová (pro PPR 32) 31-38 pozink</t>
  </si>
  <si>
    <t>Vrut pro objímku, 80mm M 8 pozink</t>
  </si>
  <si>
    <t>Hmoždinky 12mm plast</t>
  </si>
  <si>
    <t>Pračky, myčky</t>
  </si>
  <si>
    <t>Pračkový ventil</t>
  </si>
  <si>
    <t>Pračkový podomítkový sifon</t>
  </si>
  <si>
    <t>Kulový kohout páčka DN 25 R910</t>
  </si>
  <si>
    <t>Vypouštěcí kohout s kovovou páčkou DN 15 R608D</t>
  </si>
  <si>
    <t>Kanalizační trubky hladké 160 KG-SN4</t>
  </si>
  <si>
    <t>Kanalizační trubky hladké 110 KG-SN4</t>
  </si>
  <si>
    <t>Kanalizační trubky hladké 125 KG-SN4</t>
  </si>
  <si>
    <t>Redukce 160/125 KG-SN4/8</t>
  </si>
  <si>
    <t>Objímka kovová (pro 110) 102-116</t>
  </si>
  <si>
    <t>Vrut pro objímku, 80mm M 8</t>
  </si>
  <si>
    <t>Hmoždinky 12mm</t>
  </si>
  <si>
    <t>Kanalizační trubky hladké 50 HT</t>
  </si>
  <si>
    <t>Kanalizační trubky hladké 110 HT</t>
  </si>
  <si>
    <t>Koleno 50 45o HT</t>
  </si>
  <si>
    <t>Koleno 50 87o HT</t>
  </si>
  <si>
    <t>Koleno 110 45o HT</t>
  </si>
  <si>
    <t>Odbočka 50/50 87o HT</t>
  </si>
  <si>
    <t>Odbočka 75/50 87o HT</t>
  </si>
  <si>
    <t>Odbočka 110/50 87o HT</t>
  </si>
  <si>
    <t>Odbočka 110/110 87o HT</t>
  </si>
  <si>
    <t>Redukce 50/32 HT</t>
  </si>
  <si>
    <t>Redukce 110/50 HT</t>
  </si>
  <si>
    <t>Objímka kovová (pro 50) 48-54</t>
  </si>
  <si>
    <t>Objímka kovová (pro 75) 72-78</t>
  </si>
  <si>
    <t>Bezpečnostní ventil MK3/4 MK3/4</t>
  </si>
  <si>
    <t>Izolace - měď</t>
  </si>
  <si>
    <t>PE Návleky</t>
  </si>
  <si>
    <t>15x15 PE návleky pouzdro</t>
  </si>
  <si>
    <t>18x15 PE návleky pouzdro</t>
  </si>
  <si>
    <t>3.1.1</t>
  </si>
  <si>
    <t>3.1.2</t>
  </si>
  <si>
    <t>3.1.3</t>
  </si>
  <si>
    <t>Minerální vlna s hliníkovou fólií</t>
  </si>
  <si>
    <t>22x20 min.vlna s hliníkovou folií vinuté pouzdro</t>
  </si>
  <si>
    <t>28x20 min.vlna s hliníkovou folií vinuté pouzdro</t>
  </si>
  <si>
    <t>Al páska 50mm/50m samolepící hliníková páska</t>
  </si>
  <si>
    <t>Upevnění potrubí - měď</t>
  </si>
  <si>
    <t>Objímka (pro 22x1) kovová 20-23</t>
  </si>
  <si>
    <t>Objímka (pro 28x1) kovová 25-30</t>
  </si>
  <si>
    <t>Vrut pro kov. objímku 80mm M 8</t>
  </si>
  <si>
    <t>Napojení těles</t>
  </si>
  <si>
    <t>Napojení těles (VK na Cu, rohové)</t>
  </si>
  <si>
    <t>Termostatická hlavice M30x1,5 DX</t>
  </si>
  <si>
    <t>Napojení těles (koupelnové středové na Cu, univerzální)</t>
  </si>
  <si>
    <t>Svěrné šroubení na měď G 3/4 3831-15351</t>
  </si>
  <si>
    <t>9</t>
  </si>
  <si>
    <t>9.1</t>
  </si>
  <si>
    <t>9.2</t>
  </si>
  <si>
    <t>9.3</t>
  </si>
  <si>
    <t>9.4</t>
  </si>
  <si>
    <t>9.5</t>
  </si>
  <si>
    <t>Závitové armatury</t>
  </si>
  <si>
    <t>10</t>
  </si>
  <si>
    <t>10.1</t>
  </si>
  <si>
    <t>Mosazné tvarovky</t>
  </si>
  <si>
    <t>Šroubení topenářské přímé DN 25 SP603</t>
  </si>
  <si>
    <t>11</t>
  </si>
  <si>
    <t>11.1</t>
  </si>
  <si>
    <t>11.2</t>
  </si>
  <si>
    <t>Bourání a demolice</t>
  </si>
  <si>
    <t>obkopání objektu</t>
  </si>
  <si>
    <t xml:space="preserve">Hloubení nezapažených rýh šířky do 800 mm v nesoudržných horninách třídy těžitelnosti I skupiny 3 ručně	</t>
  </si>
  <si>
    <t>Odstranění podkladu z betonu prostého tl přes 100 do 150 mm strojně pl přes 50 do 200 m2</t>
  </si>
  <si>
    <t>plocha dvoru</t>
  </si>
  <si>
    <t>m3OP</t>
  </si>
  <si>
    <t xml:space="preserve">Vybourání schodišťových stupňů ze zdi cihelné jednostranně	</t>
  </si>
  <si>
    <t xml:space="preserve">Otlučení (osekání) vnitřní vápenné nebo vápenocementové omítky stěn v rozsahu přes 50 do 100 %	</t>
  </si>
  <si>
    <t>obklady 1.NP</t>
  </si>
  <si>
    <t>Odsekání a odebrání obkladů stěn z vnitřních obkládaček plochy přes 1 m2</t>
  </si>
  <si>
    <t xml:space="preserve">Otlučení (osekání) vnější vápenné nebo vápenocementové omítky stupně členitosti 1 a 2 v rozsahu přes 80 do 100 %	</t>
  </si>
  <si>
    <t xml:space="preserve">Vyškrabání spár zdiva cihelného mimo komínového	</t>
  </si>
  <si>
    <t>okna 1.NP</t>
  </si>
  <si>
    <t>okna 2.NP</t>
  </si>
  <si>
    <t>okna 3.NP</t>
  </si>
  <si>
    <t xml:space="preserve">Vyvěšení nebo zavěšení dřevěných křídel dveří pl do 2 m2	</t>
  </si>
  <si>
    <t xml:space="preserve">Vybourání dřevěných rámů oken jednoduchých včetně křídel pl do 2 m2	</t>
  </si>
  <si>
    <t>Bourání zdiva z cihel pálených nebo vápenopískových na MV nebo MVC do 1 m3</t>
  </si>
  <si>
    <t>zdivo 1.NP - parapety</t>
  </si>
  <si>
    <t xml:space="preserve">Bourání schodišťových stupňů betonových zhotovených na místě	</t>
  </si>
  <si>
    <t xml:space="preserve">Demontáž klozetu Kombi	</t>
  </si>
  <si>
    <t xml:space="preserve">Demontáž umyvadel bez výtokových armatur	</t>
  </si>
  <si>
    <t xml:space="preserve">Demontáž baterie nástěnné do G 3 / 4	</t>
  </si>
  <si>
    <t xml:space="preserve">Demontáž podlah z dlaždic keramických kladených do malty	</t>
  </si>
  <si>
    <t xml:space="preserve">Demontáž podlah s polštáři z prken tloušťky do 32 mm	</t>
  </si>
  <si>
    <t xml:space="preserve">965082923	</t>
  </si>
  <si>
    <t xml:space="preserve">Odstranění násypů pod podlahami tl do 100 mm pl přes 2 m2	</t>
  </si>
  <si>
    <t xml:space="preserve">965042141	</t>
  </si>
  <si>
    <t xml:space="preserve">Bourání podkladů pod dlažby nebo mazanin betonových nebo z litého asfaltu tl do 100 mm pl přes 4 m2	</t>
  </si>
  <si>
    <t xml:space="preserve">Příplatek k demontáži krytiny keramické hladké do suti za sklon přes 30°	</t>
  </si>
  <si>
    <t xml:space="preserve">Demontáž laťování střech z latí osové vzdálenosti do 0,22 m	</t>
  </si>
  <si>
    <t xml:space="preserve">Vybourání dřevěných rámů oken jednoduchých včetně křídel pl do 4 m2	</t>
  </si>
  <si>
    <t>dveře 1.NP</t>
  </si>
  <si>
    <t>dveře 2.NP</t>
  </si>
  <si>
    <t xml:space="preserve">    997 - Přesuny suti</t>
  </si>
  <si>
    <t xml:space="preserve">Poplatek za uložení stavebního odpadu na recyklační skládce (skládkovné) z prostého betonu kód odpadu 17 01 01	</t>
  </si>
  <si>
    <t xml:space="preserve">Poplatek za uložení stavebního odpadu na recyklační skládce (skládkovné) cihelného kód odpadu 17 01 02	</t>
  </si>
  <si>
    <t xml:space="preserve">Poplatek za uložení stavebního odpadu na recyklační skládce (skládkovné) z tašek a keramických výrobků kód odpadu 17 01 03	</t>
  </si>
  <si>
    <t xml:space="preserve">Poplatek za uložení stavebního odpadu na recyklační skládce (skládkovné) směsného stavebního a demoličního kód odpadu 17 09 04	</t>
  </si>
  <si>
    <t xml:space="preserve">Poplatek za uložení na skládce (skládkovné) stavebního odpadu dřevěného kód odpadu 17 02 01	</t>
  </si>
  <si>
    <t>Vnitrostaveništní doprava suti a vybouraných hmot pro budovy v přes 9 do 12 m ručně</t>
  </si>
  <si>
    <t>Odvoz suti a vybouraných hmot na skládku nebo meziskládku do 1 km se složením</t>
  </si>
  <si>
    <t>Příplatek k odvozu suti a vybouraných hmot na skládku ZKD 1 km přes 1 km</t>
  </si>
  <si>
    <t>Stavební úpravy objektu</t>
  </si>
  <si>
    <t>2) Stavební práce a dodávky</t>
  </si>
  <si>
    <t>podkopání základů</t>
  </si>
  <si>
    <t>Postupné podbetonování základového zdiva prostým betonem tř. C 25/30</t>
  </si>
  <si>
    <t>podbetonování základu</t>
  </si>
  <si>
    <t xml:space="preserve">Hloubená vykopávka pod základy v hornině třídy těžitelnosti I skupiny 3 ručně	</t>
  </si>
  <si>
    <t>odpoče otvorů</t>
  </si>
  <si>
    <t xml:space="preserve">Válcované nosníky č.14 až 22 dodatečně osazované do připravených otvorů	</t>
  </si>
  <si>
    <t xml:space="preserve">Válcované nosníky do č.12 dodatečně osazované do připravených otvorů	</t>
  </si>
  <si>
    <t>P1</t>
  </si>
  <si>
    <t>P2</t>
  </si>
  <si>
    <t xml:space="preserve">974031666	</t>
  </si>
  <si>
    <t xml:space="preserve">Vysekání rýh ve zdivu cihelném pro vtahování nosníků hl do 150 mm v do 250 mm	</t>
  </si>
  <si>
    <t xml:space="preserve">Spárování spárovací maltou vnitřních pohledových ploch stropů z cihel	</t>
  </si>
  <si>
    <t xml:space="preserve">Spárování spárovací maltou vnitřních pohledových ploch stěn z cihel	</t>
  </si>
  <si>
    <t xml:space="preserve">Penetrační nátěr vnějších stěn nanášený ručně	</t>
  </si>
  <si>
    <t xml:space="preserve">Sanační jednovrstvá omítka vnějších stěn nanášená ručně	</t>
  </si>
  <si>
    <t>skladba St.3</t>
  </si>
  <si>
    <t xml:space="preserve">Separační vrstva z geotextilie	</t>
  </si>
  <si>
    <t xml:space="preserve">Násyp pod podlahy z keramzitu	</t>
  </si>
  <si>
    <t xml:space="preserve">Separační vrstva z PE fólie	</t>
  </si>
  <si>
    <t xml:space="preserve">Krycí dvojnásobný silikátový nátěr omítek stupně členitosti 1 a 2	</t>
  </si>
  <si>
    <t xml:space="preserve">Hydrofobizační transparentní silikonový nátěr omítek stupně členitosti 1 a 2	</t>
  </si>
  <si>
    <t>Výztuž mazanin svařovanými sítěmi Kari</t>
  </si>
  <si>
    <t>Provedení izolace proti zemní vlhkosti hydroizolační stěrkou svislé na zdivu, 2 vrstvy</t>
  </si>
  <si>
    <t>Provedení izolace proti zemní vlhkosti hydroizolační stěrkou vodorovné na betonu, 2 vrstvy</t>
  </si>
  <si>
    <t>kg</t>
  </si>
  <si>
    <t>EPS 120</t>
  </si>
  <si>
    <t xml:space="preserve">28375927	</t>
  </si>
  <si>
    <t xml:space="preserve">deska EPS 200 pro konstrukce s velmi vysokým zatížením λ=0,034 tl 120mm	</t>
  </si>
  <si>
    <t>MW 20</t>
  </si>
  <si>
    <t>deska čedičová minerální pro snížení kročejového hluku (max. zatížení 5 kN/m2) tl 20mm</t>
  </si>
  <si>
    <t xml:space="preserve">pás tepelně izolační univerzální λ=0,032-0,033 tl 120mm	</t>
  </si>
  <si>
    <t xml:space="preserve">pás tepelně izolační univerzální λ=0,032-0,033 tl 200mm	</t>
  </si>
  <si>
    <t>Provedení povlakové krytiny střech do 10° za studena lakem penetračním nebo asfaltovým</t>
  </si>
  <si>
    <t>Provedení povlakové krytiny střech do 10° pásy NAIP přitavením v plné ploše</t>
  </si>
  <si>
    <t>Montáž izolace tepelné střech plochých kladené volně 1 vrstva rohoží, pásů, dílců, desek</t>
  </si>
  <si>
    <t xml:space="preserve">Montáž izolace tepelné střech plochých kladené volně, spádová vrstva	</t>
  </si>
  <si>
    <t xml:space="preserve">28376143	</t>
  </si>
  <si>
    <t>klín izolační EPS 200 spád do 5%</t>
  </si>
  <si>
    <t xml:space="preserve">Povlakové krytiny střech plochých do 10° podkladní textilní vrstvy	</t>
  </si>
  <si>
    <t xml:space="preserve">Provedení povlakové krytiny střech do 10° násypem z hrubého kameniva tl 50 mm	</t>
  </si>
  <si>
    <t xml:space="preserve">kamenivo dekorační (kačírek) frakce 8/16	</t>
  </si>
  <si>
    <t xml:space="preserve">763111433	</t>
  </si>
  <si>
    <t>SDK příčka tl 125 mm profil CW+UW 75 desky 2xH2 12,5 bez izolace EI 60</t>
  </si>
  <si>
    <t>skladba St.5</t>
  </si>
  <si>
    <t xml:space="preserve">Montáž parotěsné zábrany do SDK podhledu	</t>
  </si>
  <si>
    <t>podhledy</t>
  </si>
  <si>
    <t xml:space="preserve">763131752	</t>
  </si>
  <si>
    <t xml:space="preserve">Montáž jedné vrstvy tepelné izolace do SDK podhledu	</t>
  </si>
  <si>
    <t xml:space="preserve">    765 - Konstrukce pokrývačské</t>
  </si>
  <si>
    <t xml:space="preserve">Krytina keramická bobrovka režná korunové krytí sklonu do 30° na sucho	</t>
  </si>
  <si>
    <t>Příplatek k montáži krytiny keramické za připevňovací prostředky za sklon přes 30° do 40°</t>
  </si>
  <si>
    <t>odhad</t>
  </si>
  <si>
    <t>izolace koupelny a WC</t>
  </si>
  <si>
    <t>Montáž podlah keramických hladkých lepených flexibilním lepidlem přes 19 do 22 ks/m2</t>
  </si>
  <si>
    <t xml:space="preserve">dlažba keramická hutná reliéfní do interiéru přes 19 do 22ks/m2	</t>
  </si>
  <si>
    <t xml:space="preserve">Podlahy spárování silikonem	</t>
  </si>
  <si>
    <t>Montáž soklů z dlaždic keramických rovných flexibilní lepidlo v přes 90 do 120 mm</t>
  </si>
  <si>
    <t>sokl z materiálu dlažby velkoformát, řezáno vodním paprskem</t>
  </si>
  <si>
    <t>597.R001</t>
  </si>
  <si>
    <t xml:space="preserve">Nátěr penetrační na podlahu	</t>
  </si>
  <si>
    <t xml:space="preserve">Pastování a leštění podlahovin ručně	</t>
  </si>
  <si>
    <t xml:space="preserve">    777 - Podlahy lité</t>
  </si>
  <si>
    <t xml:space="preserve">Krycí epoxidový průmyslový nátěr podlahy	</t>
  </si>
  <si>
    <t xml:space="preserve">Tuhé napojení lité podlahy na stěnu nebo sokl	</t>
  </si>
  <si>
    <t xml:space="preserve">Montáž obkladů vnitřních keramických hladkých přes 22 do 25 ks/m2 lepených flexibilním lepidlem	</t>
  </si>
  <si>
    <t xml:space="preserve">obklad keramický reliéfní pro interiér přes 22 do 25ks/m2	</t>
  </si>
  <si>
    <t xml:space="preserve">    772 - Podlahy kamenné</t>
  </si>
  <si>
    <t>Dlažby z kamene oprava - očištění dlažby z kamene tryskáním pískem</t>
  </si>
  <si>
    <t xml:space="preserve">Dlažby z kamene oprava - očištění dlažby z kamene vysátím	</t>
  </si>
  <si>
    <t xml:space="preserve">Dlažby z kamene oprava - nátěr impregnační a zpevňující	</t>
  </si>
  <si>
    <t xml:space="preserve">772591923	</t>
  </si>
  <si>
    <t xml:space="preserve">Dlažby z kamene oprava - nátěr uzavírací transparentní	</t>
  </si>
  <si>
    <t xml:space="preserve"> =1,7*2*hmotnost</t>
  </si>
  <si>
    <t>odkaz a výpočet</t>
  </si>
  <si>
    <t xml:space="preserve"> =4</t>
  </si>
  <si>
    <t>odkaz a vzorec</t>
  </si>
  <si>
    <t>Venkovní objekty, plochy a oplocení</t>
  </si>
  <si>
    <t>skladba E.1</t>
  </si>
  <si>
    <t>Kladení betonové dlažby komunikací pro pěší do lože z kameniva velikosti přes 0,09 do 0,25 m2 pl do 50 m2</t>
  </si>
  <si>
    <t>Rozprostření ornice tl vrstvy přes 250 do 300 mm v rovině nebo ve svahu do 1:5 ručně</t>
  </si>
  <si>
    <t>zelené plochy</t>
  </si>
  <si>
    <t>dovoz nakupované zeminy</t>
  </si>
  <si>
    <t>množství nakupované zeminy x 35 - 10 km</t>
  </si>
  <si>
    <t>naložení ornice pro přesun na stavbu</t>
  </si>
  <si>
    <t xml:space="preserve">zemina pro terénní úpravy - ornice	</t>
  </si>
  <si>
    <t>nákup ornice</t>
  </si>
  <si>
    <t>Založení parterového trávníku výsevem pl do 1000 m2 v rovině a ve svahu do 1:5</t>
  </si>
  <si>
    <t>00572420</t>
  </si>
  <si>
    <t xml:space="preserve">osivo směs travní parková okrasná	</t>
  </si>
  <si>
    <t>Montáž vázaných kcí krovů pravidelných z hraněného řeziva průřezové pl přes 120 do 224 cm2</t>
  </si>
  <si>
    <t>skladba S.5</t>
  </si>
  <si>
    <t>Výrobky a specifikace</t>
  </si>
  <si>
    <t>O.1</t>
  </si>
  <si>
    <t>O.2</t>
  </si>
  <si>
    <t>O.3</t>
  </si>
  <si>
    <t>O.4</t>
  </si>
  <si>
    <t>O.5</t>
  </si>
  <si>
    <t>O.6</t>
  </si>
  <si>
    <t>D.1</t>
  </si>
  <si>
    <t>D.2</t>
  </si>
  <si>
    <t>D.3</t>
  </si>
  <si>
    <t>D.4</t>
  </si>
  <si>
    <t>D.5</t>
  </si>
  <si>
    <t>K.1</t>
  </si>
  <si>
    <t>K.2</t>
  </si>
  <si>
    <t>K.3</t>
  </si>
  <si>
    <t>K.4</t>
  </si>
  <si>
    <t>Z.1</t>
  </si>
  <si>
    <t>Z.3</t>
  </si>
  <si>
    <t>20x2.2 PP-RTC EVO</t>
  </si>
  <si>
    <t>25x2.3 PP-RTC EVO</t>
  </si>
  <si>
    <t>32x2.9 PP-RTC EVO</t>
  </si>
  <si>
    <t>22x10 PE návleky pouzdro</t>
  </si>
  <si>
    <t>28x10 PE návleky pouzdro</t>
  </si>
  <si>
    <t>35x10 PE návleky pouzdro</t>
  </si>
  <si>
    <t>Dřezy kuchyňské - dodávka kuchyně</t>
  </si>
  <si>
    <t>Bourací práce, průrazy, drážkování, atd. ..</t>
  </si>
  <si>
    <t>Úklid pro provedený bouracích a zednických pracech</t>
  </si>
  <si>
    <t>Manipulace a doprava s vešlerým materiálem</t>
  </si>
  <si>
    <t>Tlaková zkouška</t>
  </si>
  <si>
    <t>Kompletní uvedení do provozu</t>
  </si>
  <si>
    <t>Fotodokumentace - podrobná ( postup prací )</t>
  </si>
  <si>
    <t xml:space="preserve">Dokumentace skutečného provedení trubních rozvodů </t>
  </si>
  <si>
    <t>paré</t>
  </si>
  <si>
    <t>Hrubé zednické začištění drážek a průrazů pro potrubí</t>
  </si>
  <si>
    <t>Tvarovky pro potrubí 20</t>
  </si>
  <si>
    <t>Tvarovky pro potrubí 25</t>
  </si>
  <si>
    <t>Tvarovky pro potrubí 32</t>
  </si>
  <si>
    <t>Proplach a dezinfekce potrubí domovního vodovodu</t>
  </si>
  <si>
    <t>Zkouška těsnosti</t>
  </si>
  <si>
    <t>Zemní práce - výkop + lože + zásyp</t>
  </si>
  <si>
    <t>8) Splašková kanalizace v objektu – standardní (polypropylen)</t>
  </si>
  <si>
    <t>Koleno 32 87o HT</t>
  </si>
  <si>
    <t>Redukce 75/50 HT</t>
  </si>
  <si>
    <t>9) Upevnění potrubí</t>
  </si>
  <si>
    <t>10) Prvky pro přivzdušnění potrubí</t>
  </si>
  <si>
    <t>Přivzdušňovací ventil 50-75 HL905N</t>
  </si>
  <si>
    <t>Kryt přivzdušňovacího ventilu bílý 125x125 HL905.1</t>
  </si>
  <si>
    <t>D.1.4.1 - ZTI vodovod</t>
  </si>
  <si>
    <t>D.1.4.1 - ZTI kanalizace</t>
  </si>
  <si>
    <t>D.1.4.2 - plynovod</t>
  </si>
  <si>
    <t>1) Potrubí – svařovaná ocel</t>
  </si>
  <si>
    <t>DN32 (42,4x3,25) mat 11 353</t>
  </si>
  <si>
    <t>2) Upevnění potrubí - svařovaná ocel</t>
  </si>
  <si>
    <t>Objímka kovová (pro DN 32) 40-46</t>
  </si>
  <si>
    <t>Vrut pro objímku, 120mm M 8 pozink</t>
  </si>
  <si>
    <t>Průrazy včetně chrániček</t>
  </si>
  <si>
    <t>Revize plynu</t>
  </si>
  <si>
    <t>D.1.4.4  - Ústřední vytápění</t>
  </si>
  <si>
    <t>Zařízení, zdroje, aparáty, regulace</t>
  </si>
  <si>
    <t>Trubka DN 80/125 mm, délka 0,5 m</t>
  </si>
  <si>
    <t>Expanze</t>
  </si>
  <si>
    <t>2.1.1</t>
  </si>
  <si>
    <t>2.1.2</t>
  </si>
  <si>
    <t>Úprava vody</t>
  </si>
  <si>
    <t>Sada pro plnění soustavy UT</t>
  </si>
  <si>
    <t>Fillsoft II (bez náplně) FS</t>
  </si>
  <si>
    <t>Náplň pro Fillsoft demineralizaci 3000 x odH (Al-xx vým.) FS</t>
  </si>
  <si>
    <t>Fillguard Mini – měření vodivosti FG</t>
  </si>
  <si>
    <t>5.1.1</t>
  </si>
  <si>
    <t>Oběhová čerpadla</t>
  </si>
  <si>
    <t>Šroubení k čerpadlu DN25, 1“x6/4“, mosaz OČ1</t>
  </si>
  <si>
    <t>15x1 měď polotvrdá R250</t>
  </si>
  <si>
    <t>18x1 měď polotvrdá R250</t>
  </si>
  <si>
    <t>22x1 měď polotvrdá R250</t>
  </si>
  <si>
    <t>28x1 měď tvrdá R290</t>
  </si>
  <si>
    <t>Potrubí – měď KTO International</t>
  </si>
  <si>
    <t>7.1.1</t>
  </si>
  <si>
    <t>Objímka (pro 18x1) kovová 17-19</t>
  </si>
  <si>
    <t>9.6</t>
  </si>
  <si>
    <t>10.2</t>
  </si>
  <si>
    <t>Vekolux šroubení vypouštěcí přímé Rp1/2</t>
  </si>
  <si>
    <t>Plastová krytka šroubení bílá</t>
  </si>
  <si>
    <t>12</t>
  </si>
  <si>
    <t>12.1</t>
  </si>
  <si>
    <t>12.2</t>
  </si>
  <si>
    <t>12.3</t>
  </si>
  <si>
    <t>12.4</t>
  </si>
  <si>
    <t>12.5</t>
  </si>
  <si>
    <t>12.6</t>
  </si>
  <si>
    <t>12.7</t>
  </si>
  <si>
    <t>12.8</t>
  </si>
  <si>
    <t>13</t>
  </si>
  <si>
    <t>13.1</t>
  </si>
  <si>
    <t>Zprovoznění a komplexní vyzkoušení zařízení</t>
  </si>
  <si>
    <t>Dokumentace skutečného provedení</t>
  </si>
  <si>
    <t>Zaškolení obsluhy</t>
  </si>
  <si>
    <t>14</t>
  </si>
  <si>
    <t>14.1</t>
  </si>
  <si>
    <t>14.4</t>
  </si>
  <si>
    <t>14.7</t>
  </si>
  <si>
    <t>14.8</t>
  </si>
  <si>
    <t>14.10</t>
  </si>
  <si>
    <t>hod</t>
  </si>
  <si>
    <t>Topná zkouška včetně protokolu</t>
  </si>
  <si>
    <t>Tvarovky pro potrubí 15x1</t>
  </si>
  <si>
    <t>Tvarovky pro potrubí 18x1</t>
  </si>
  <si>
    <t>Tvarovky pro potrubí 22x1</t>
  </si>
  <si>
    <t>Tvarovky pro potrubí 28x1</t>
  </si>
  <si>
    <t>2.7</t>
  </si>
  <si>
    <t>Revize elektro silnoproud</t>
  </si>
  <si>
    <t>CYA 25</t>
  </si>
  <si>
    <t>7.3</t>
  </si>
  <si>
    <t>7.4</t>
  </si>
  <si>
    <t>7.5</t>
  </si>
  <si>
    <t>7.6</t>
  </si>
  <si>
    <t>Hromosvod</t>
  </si>
  <si>
    <t>Stavební úpravy, vestavba a přístavba stávajícího objektu</t>
  </si>
  <si>
    <t>Mírové náměstí 23/12, Bílina - p.č. 124, 125/1, 125/2, 125/3, k.ú. Bílina (604208)</t>
  </si>
  <si>
    <t>město Bílina</t>
  </si>
  <si>
    <t>Demolice budov zděných na MVC podíl konstrukcí přes 15 do 20 % těžkou mechanizací</t>
  </si>
  <si>
    <t>nízká přístavba</t>
  </si>
  <si>
    <t>zvýšené přístavby</t>
  </si>
  <si>
    <t>1.NP - komplet podlahy bourané objekty</t>
  </si>
  <si>
    <t>1.NP - komplet podlahy skladba P.2</t>
  </si>
  <si>
    <t>1.NP - komplet podlahy skladba P.3</t>
  </si>
  <si>
    <t>1.NP - demolice P</t>
  </si>
  <si>
    <t>1.NP - demolice Ps</t>
  </si>
  <si>
    <t>bourání sokl</t>
  </si>
  <si>
    <t>bourání opěrná zídka</t>
  </si>
  <si>
    <t xml:space="preserve">Bourání základů cihelných na MC	</t>
  </si>
  <si>
    <t>základy přístavby</t>
  </si>
  <si>
    <t>základy opěrná zídka</t>
  </si>
  <si>
    <t>zdivo u HUP</t>
  </si>
  <si>
    <t>základ u HUP</t>
  </si>
  <si>
    <t>zdivo 1.NP - bourání a ubourání</t>
  </si>
  <si>
    <t>venkovní nika</t>
  </si>
  <si>
    <t>zdivo 2.NP - bourání a ubourání</t>
  </si>
  <si>
    <t>zdivo 3.NP - bourání a ubourání</t>
  </si>
  <si>
    <t>1.NP bar</t>
  </si>
  <si>
    <t>1.NP hospoda</t>
  </si>
  <si>
    <t>venkovní schodiště</t>
  </si>
  <si>
    <t>zdivo oplocení</t>
  </si>
  <si>
    <t>venkovní zdivo</t>
  </si>
  <si>
    <t>965081113.R001</t>
  </si>
  <si>
    <t>Bourání dlažby z dlaždic půdních plochy přes 1 m2 k dalšímu použití</t>
  </si>
  <si>
    <t>bourání bod Pt</t>
  </si>
  <si>
    <t xml:space="preserve">Bourání příček ze skleněných tvárnic tl do 100 mm	</t>
  </si>
  <si>
    <t>luxfery 1.NP</t>
  </si>
  <si>
    <t>luxfery 2.NP</t>
  </si>
  <si>
    <t>Vybourání dřevěných rámů oken jednoduchých včetně křídel pl přes 4 m2</t>
  </si>
  <si>
    <t>Sanace</t>
  </si>
  <si>
    <t xml:space="preserve">975043121	</t>
  </si>
  <si>
    <t xml:space="preserve">Jednořadové podchycení stropů pro osazení nosníků v do 3,5 m pro zatížení přes 750 do 1000 kg/m	</t>
  </si>
  <si>
    <t xml:space="preserve">Otlučení (osekání) vnitřní vápenné nebo vápenocementové omítky stropů v rozsahu přes 30 do 50 %	</t>
  </si>
  <si>
    <t>strop 1.NP</t>
  </si>
  <si>
    <t>strop 2.NP</t>
  </si>
  <si>
    <t>strop mezipatro 2.NP</t>
  </si>
  <si>
    <t xml:space="preserve">Otlučení (osekání) vnitřní vápenné nebo vápenocementové omítky stěn v rozsahu přes 30 do 50 %	</t>
  </si>
  <si>
    <t>stěny 1.NP</t>
  </si>
  <si>
    <t>stěny 2.NP</t>
  </si>
  <si>
    <t>stěny mezipatro 2.NP</t>
  </si>
  <si>
    <t xml:space="preserve">Bourání příček z cihel pálených na MVC tl do 150 mm	</t>
  </si>
  <si>
    <t>příčky 1.NP</t>
  </si>
  <si>
    <t>příčky 2.NP</t>
  </si>
  <si>
    <t xml:space="preserve">963012520	</t>
  </si>
  <si>
    <t>Bourání stropů z ŽB desek š přes 300 mm tl přes 140 mm</t>
  </si>
  <si>
    <t>3.NP desky balkon</t>
  </si>
  <si>
    <t>3.NP otvory strop</t>
  </si>
  <si>
    <t xml:space="preserve">965081323	</t>
  </si>
  <si>
    <t xml:space="preserve">Bourání podlah z dlaždic betonových, teracových nebo čedičových tl do 25 mm plochy přes 1 m2	</t>
  </si>
  <si>
    <t xml:space="preserve">Demontáž pisoárových stání bez nádrže a jedním záchodkem	</t>
  </si>
  <si>
    <t xml:space="preserve">965082933	</t>
  </si>
  <si>
    <t xml:space="preserve">Odstranění násypů pod podlahami tl do 200 mm pl přes 2 m2	</t>
  </si>
  <si>
    <t>2.NP mezipatro P6</t>
  </si>
  <si>
    <t>Demontáž SDK podhledu s dvouvrstvou nosnou kcí z ocelových profilů opláštění jednoduché</t>
  </si>
  <si>
    <t>1.NP podhled</t>
  </si>
  <si>
    <t>vzorec pro 30km</t>
  </si>
  <si>
    <t>otvor u výtahu</t>
  </si>
  <si>
    <t xml:space="preserve">Demontáž laťování střech z latí osové vzdálenosti přes 0,50 m	</t>
  </si>
  <si>
    <t>Demontáž vázaných kcí krovů z hranolů průřezové pl přes 120 do 224 cm2</t>
  </si>
  <si>
    <t>krokev</t>
  </si>
  <si>
    <t>pozednice</t>
  </si>
  <si>
    <t>vyčištění dispozice 3.NP</t>
  </si>
  <si>
    <t>sloupky, pásky apod</t>
  </si>
  <si>
    <t xml:space="preserve">Demontáž vázaných kcí krovů z hranolů průřezové pl přes 288 do 450 cm2	</t>
  </si>
  <si>
    <t xml:space="preserve">Odstranění tepelné izolace střech šikmých volně kladené mezi krokve z vláknitých materiálů suchých tl přes 100 mm	</t>
  </si>
  <si>
    <t xml:space="preserve">Lože pro trativody z betonu prostého	</t>
  </si>
  <si>
    <t>spádový beton na dně výkopu</t>
  </si>
  <si>
    <t>odvětrací kanál</t>
  </si>
  <si>
    <t>zásyp odvětrací kanál</t>
  </si>
  <si>
    <t xml:space="preserve">    9.1 - Ostatní konstrukce a práce, bourání</t>
  </si>
  <si>
    <t xml:space="preserve">    9.2 - Sanace</t>
  </si>
  <si>
    <t>Rozebrání dlažeb z mozaiky komunikací pro pěší ručně</t>
  </si>
  <si>
    <t>rozebrání chodník</t>
  </si>
  <si>
    <t>Rozebrání dlažeb ze zámkových dlaždic komunikací pro pěší ručně</t>
  </si>
  <si>
    <t>rozebrání proluka</t>
  </si>
  <si>
    <t xml:space="preserve">Odstranění podkladu z kameniva těženého tl přes 200 do 300 mm ručně	</t>
  </si>
  <si>
    <t>Podklad ze štěrkodrtě ŠD plochy do 100 m2 tl 200 mm</t>
  </si>
  <si>
    <t xml:space="preserve">Kladení dlažby z mozaiky jednobarevné komunikací pro pěší lože z kameniva	</t>
  </si>
  <si>
    <t xml:space="preserve">Kladení zámkové dlažby komunikací pro pěší ručně tl 60 mm skupiny A pl do 50 m2	</t>
  </si>
  <si>
    <t>SE1</t>
  </si>
  <si>
    <t>Svislá hydroizolace podzemního zdiva v exteriéru</t>
  </si>
  <si>
    <t>obvodové zdivo</t>
  </si>
  <si>
    <t>základové zdivo</t>
  </si>
  <si>
    <t xml:space="preserve">Otlučení (osekání) vnitřní vápenné nebo vápenocementové omítky stropů v rozsahu přes 50 do 100 %	</t>
  </si>
  <si>
    <t>stěny sklep</t>
  </si>
  <si>
    <t>klenby sklep</t>
  </si>
  <si>
    <t>vnitřní zdivo</t>
  </si>
  <si>
    <t>vnitřní klenby</t>
  </si>
  <si>
    <t>prostupy odvětrání</t>
  </si>
  <si>
    <t xml:space="preserve">974031164	</t>
  </si>
  <si>
    <t xml:space="preserve">Vysekání rýh ve zdivu cihelném hl do 150 mm š do 150 mm	</t>
  </si>
  <si>
    <t>drážky pro odvětrání na fasádu</t>
  </si>
  <si>
    <t xml:space="preserve">977151121	</t>
  </si>
  <si>
    <t>Jádrové vrty diamantovými korunkami do stavebních materiálů D přes 110 do 120 mm</t>
  </si>
  <si>
    <t>Ruční dočištění ploch stěn, rubu kleneb a podlah ocelových kartáči</t>
  </si>
  <si>
    <t xml:space="preserve">Reprofilace stěn cementovou sanační maltou tl přes 10 do 20 mm	</t>
  </si>
  <si>
    <t>spádový podkladní beton</t>
  </si>
  <si>
    <t xml:space="preserve">Provedení těsnícího pásu do spoje dilatační nebo styčné spáry podlaha - stěna	</t>
  </si>
  <si>
    <t>stěna - beton</t>
  </si>
  <si>
    <t>rohy a kouty</t>
  </si>
  <si>
    <t>materiál stěrka</t>
  </si>
  <si>
    <t xml:space="preserve">59054220	</t>
  </si>
  <si>
    <t>páska pružná těsnící hydroizolační š 185mm</t>
  </si>
  <si>
    <t>dvě vrsty + 10% nadspotřeba</t>
  </si>
  <si>
    <t>10% přesahy a nadspotřeba</t>
  </si>
  <si>
    <t xml:space="preserve">713131141	</t>
  </si>
  <si>
    <t>Montáž izolace tepelné stěn a základů lepením celoplošně rohoží, pásů, dílců, desek</t>
  </si>
  <si>
    <t>stěna</t>
  </si>
  <si>
    <t xml:space="preserve">28376440	</t>
  </si>
  <si>
    <t xml:space="preserve">deska XPS hrana rovná a strukturovaný povrch 300kPa tl 50mm	</t>
  </si>
  <si>
    <t xml:space="preserve">11163004	</t>
  </si>
  <si>
    <t xml:space="preserve">stěrka hydroizolační asfaltová jednosložková s přídavkem plastů do spodní stavby	</t>
  </si>
  <si>
    <t>SE2</t>
  </si>
  <si>
    <t>Svislá hydroizolace minerální stěrkou v exteriéru</t>
  </si>
  <si>
    <t>Izolace proti zemní vlhkosti nopovou fólií s textilií vodorovná, nopek v 8,0 mm, tl do 0,6 mm</t>
  </si>
  <si>
    <t>Izolace proti zemní vlhkosti nopovou fólií s textilií svislá, nopek v 8,0 mm, tl do 0,6 mm</t>
  </si>
  <si>
    <t xml:space="preserve">711161384	</t>
  </si>
  <si>
    <t>Izolace proti zemní vlhkosti nopovou fólií ukončení provětrávací lištou</t>
  </si>
  <si>
    <t>111.R001</t>
  </si>
  <si>
    <t>silikátová hydroizolační stěrka</t>
  </si>
  <si>
    <t>Skladba sanačního omítkového souvrství v exteriéru do v=0,8m</t>
  </si>
  <si>
    <t>SE3a</t>
  </si>
  <si>
    <t xml:space="preserve">Provedení penetračního nátěru lícového zdiva	</t>
  </si>
  <si>
    <t>111R002</t>
  </si>
  <si>
    <t>protisolný nátěr</t>
  </si>
  <si>
    <t>l</t>
  </si>
  <si>
    <t xml:space="preserve">Potažení vnějších stěn sklovláknitým pletivem	</t>
  </si>
  <si>
    <t>SE3b</t>
  </si>
  <si>
    <t>Příplatek k sanační jednovrstvé omítce vnějších stěn za každých dalších 5 mm tloušťky přes 20 mm ručně</t>
  </si>
  <si>
    <t xml:space="preserve">Sanační tepelněizolační omítka vnějších stěn nanášená ručně	</t>
  </si>
  <si>
    <t>do celkové tl. 25mm</t>
  </si>
  <si>
    <t xml:space="preserve">Příplatek k sanační tepelněizolační omítce vnějších stěn za každých dalších 5 mm tloušťky přes 15 mm ručně	</t>
  </si>
  <si>
    <t>SI1</t>
  </si>
  <si>
    <t>Skladba prostého sanačního omítkového souvrství v interiéru</t>
  </si>
  <si>
    <t>SI2</t>
  </si>
  <si>
    <t>Skladba režného zdiva v interieru</t>
  </si>
  <si>
    <t xml:space="preserve">Provedení krycího dvojnásobného nátěru lícového zdiva	</t>
  </si>
  <si>
    <t>dvě vrstvy</t>
  </si>
  <si>
    <t xml:space="preserve">24551000	</t>
  </si>
  <si>
    <t xml:space="preserve">nátěr penetrační mineralizační hloubkový	</t>
  </si>
  <si>
    <t xml:space="preserve">Sanační omítka tepelněizolační vnitřních stěn nanášená ručně	</t>
  </si>
  <si>
    <t xml:space="preserve">Příplatek k sananční tepelněizolační omítce vnitřních stěn za každých dalších 5 mm tloušťky přes 20 mm ručně	</t>
  </si>
  <si>
    <t xml:space="preserve">Potažení vnitřních stěn sanačním štukem tloušťky do 3 mm	</t>
  </si>
  <si>
    <t>SI4</t>
  </si>
  <si>
    <t>Skladba podlahy s provětrávanou dutinou - pouze sanační vrstvy</t>
  </si>
  <si>
    <t>Zřízení vrstvy z geotextilie v rovině nebo ve sklonu do 1:5 š do 3 m</t>
  </si>
  <si>
    <t>plocha</t>
  </si>
  <si>
    <t xml:space="preserve">69311068	</t>
  </si>
  <si>
    <t xml:space="preserve">Násyp pod podlahy z hrubého kameniva 16-32 s udusáním	</t>
  </si>
  <si>
    <t xml:space="preserve">711211134	</t>
  </si>
  <si>
    <t>Izolace proti zemní vlhkosti a radonu provětrávaná z plastových segmentů v přes 100 do 150 mm se zabetonováním</t>
  </si>
  <si>
    <t xml:space="preserve">Mazanina tl přes 50 do 80 mm z betonu prostého bez zvýšených nároků na prostředí tř. C 16/20	</t>
  </si>
  <si>
    <t>nabetonávka</t>
  </si>
  <si>
    <t>výztuž KARI 150/150/6</t>
  </si>
  <si>
    <t>stěrka hydroizolační dvousložková cemento-polymerová vlákny vyztužená proti zemní vlhkosti</t>
  </si>
  <si>
    <t>svislé vytažení 150mm</t>
  </si>
  <si>
    <t>podlaha</t>
  </si>
  <si>
    <t>Odvětrávací potrubí</t>
  </si>
  <si>
    <t xml:space="preserve">953731213	</t>
  </si>
  <si>
    <t xml:space="preserve">Odvětrání svislé troubami plastovými DN přes 80 do 110 mm ve ventilační šachtě včetně zakotvení	</t>
  </si>
  <si>
    <t>viz řez B-B´ sanace</t>
  </si>
  <si>
    <t>stoupací potrubí odvětrání</t>
  </si>
  <si>
    <t>Odvětrání vodorovné plastovými troubami DN přes 80 do 110 mm ukládanými na sraz</t>
  </si>
  <si>
    <t>prostupy</t>
  </si>
  <si>
    <t>větrací přívod</t>
  </si>
  <si>
    <t>větrací odtah</t>
  </si>
  <si>
    <t xml:space="preserve">644941111	</t>
  </si>
  <si>
    <t xml:space="preserve">Osazování ventilačních mřížek velikosti do 150 x 200 mm	</t>
  </si>
  <si>
    <t>větrací mřížky</t>
  </si>
  <si>
    <t xml:space="preserve">Odvětrání svislé - montáž větrací hlavice plastové DN do 160 mm	</t>
  </si>
  <si>
    <t>553495.R001</t>
  </si>
  <si>
    <t>429728.R001</t>
  </si>
  <si>
    <t xml:space="preserve">Hrubá výplň rýh ve stěnách maltou jakékoli šířky rýhy	</t>
  </si>
  <si>
    <t>Difuzně otevřená skladba podlahy</t>
  </si>
  <si>
    <t>základové pasy přístavba</t>
  </si>
  <si>
    <t>základové pasy doplnění základů u výtahové šachty</t>
  </si>
  <si>
    <t xml:space="preserve"> =111,7</t>
  </si>
  <si>
    <t xml:space="preserve"> =(3,8+4,8+7,9)*2*0,5*0,7+(4,7*4+19,7)*0,7*0,7+2,5*1,2*0,7</t>
  </si>
  <si>
    <t xml:space="preserve"> =(6,7+6,65)*0,7*0,67+(0,5*0,2*0,7)</t>
  </si>
  <si>
    <t xml:space="preserve"> =1,9*0,7*0,7</t>
  </si>
  <si>
    <t xml:space="preserve"> =1,1*2,2+1*2+(4+1,1*3+2,6+1,1*2+1,8)*3+1,3*2,1+0,4*2,3</t>
  </si>
  <si>
    <t xml:space="preserve"> =1*2,2+4*2,8+5,3*3,4+1,3*2,8+0,4*3,4</t>
  </si>
  <si>
    <t xml:space="preserve"> =0,19*(8,3+0,83)</t>
  </si>
  <si>
    <t xml:space="preserve"> =0,915*1,65*0,25</t>
  </si>
  <si>
    <t xml:space="preserve"> =4*0,9*0,25</t>
  </si>
  <si>
    <t xml:space="preserve"> =1,4*1,9*0,7</t>
  </si>
  <si>
    <t xml:space="preserve"> =1,1*1,08*1,12+1*0,75*0,52+1*0,75*0,25+2,85*0,35*0,2</t>
  </si>
  <si>
    <t xml:space="preserve"> =1,5*2,25*0,3+0,35*0,35*1,6+(0,8+0,2)*0,7*3,38+0,1*0,2*2,225*2*2+1*2,2*0,25+3,1*3,26*0,2</t>
  </si>
  <si>
    <t xml:space="preserve"> =1*1,4*2</t>
  </si>
  <si>
    <t xml:space="preserve"> =1*1,2*3+1*1,6*2</t>
  </si>
  <si>
    <t xml:space="preserve"> =3,45*2*tloušťka</t>
  </si>
  <si>
    <t xml:space="preserve"> =(1,2*0,6+1*0,5)*tloušťka</t>
  </si>
  <si>
    <t xml:space="preserve"> =2,6*2</t>
  </si>
  <si>
    <t xml:space="preserve"> =2*3</t>
  </si>
  <si>
    <t xml:space="preserve"> =1,6*2</t>
  </si>
  <si>
    <t xml:space="preserve"> =142,9*tloušťka</t>
  </si>
  <si>
    <t xml:space="preserve"> =(22,76+27,72+40,52)*tloušťka</t>
  </si>
  <si>
    <t xml:space="preserve"> =(20+15,1+30,61+4,95+2,28+23,93+28,19+18,07)*tloušťka</t>
  </si>
  <si>
    <t xml:space="preserve"> =19,26</t>
  </si>
  <si>
    <t xml:space="preserve"> =4,54+25,32+12,67</t>
  </si>
  <si>
    <t xml:space="preserve"> =(6,86+11,21)*tloušťka</t>
  </si>
  <si>
    <t xml:space="preserve"> =(12,67)*tloušťka</t>
  </si>
  <si>
    <t xml:space="preserve"> =1,1*1,6</t>
  </si>
  <si>
    <t xml:space="preserve"> =1,15*1,111*12+1,11*1,415*2+1,111*1,25*2</t>
  </si>
  <si>
    <t xml:space="preserve"> =1,1*2,4+1,7*1,65*2+1,6*2+1,6*2,2*2</t>
  </si>
  <si>
    <t xml:space="preserve"> =0,96*2,28*2+0,96*2,4*2</t>
  </si>
  <si>
    <t xml:space="preserve"> =2,58*1,92+2,96*2,45*2</t>
  </si>
  <si>
    <t xml:space="preserve"> =1,85*2+1,85*2+1,3*2+3,5*4+1,3*2</t>
  </si>
  <si>
    <t xml:space="preserve"> =2*výška</t>
  </si>
  <si>
    <t xml:space="preserve"> =80,02-14,25+102,21+30,61+62,21-6,91</t>
  </si>
  <si>
    <t xml:space="preserve"> =43,92+156,64+80,64</t>
  </si>
  <si>
    <t xml:space="preserve"> =9,9</t>
  </si>
  <si>
    <t xml:space="preserve"> =(6,66+3,62)*2*3,8+(4,57+6,66)*2*3,8+(4,9+3,7+1,3)*2*3,77+(5,9+3,7+4,7+5,9+6,1+6,6+6,3+3,2+5,6+5,4+4+2,5)*2*3</t>
  </si>
  <si>
    <t xml:space="preserve"> =(5,1+5,6+2,95+5,8+5,8+3,8+11,3+1,1)*2*2,76+(4,5+5,1+5+5,2+6,9+6,3+6+3,5+5,9+5,7+3,6+4,1+7,8+1,1)*2*3,38+(3,1+4,2)*2*3,26</t>
  </si>
  <si>
    <t xml:space="preserve"> =(4,2+2,6)*2*2,2</t>
  </si>
  <si>
    <t xml:space="preserve"> =(2,1+1,4+1,1+1,1+1,5+1,3+1,4+1,3+1,5)*2</t>
  </si>
  <si>
    <t xml:space="preserve"> =142,9*3,9</t>
  </si>
  <si>
    <t xml:space="preserve"> =(2,7*1,8+2,1*1,4)*2,3</t>
  </si>
  <si>
    <t xml:space="preserve"> =4*2,2</t>
  </si>
  <si>
    <t xml:space="preserve"> =27,26+17,17+22,69+23,2+26,64+43,31+24,54+34+7,87+4,36</t>
  </si>
  <si>
    <t xml:space="preserve"> =27,72</t>
  </si>
  <si>
    <t xml:space="preserve"> =(22,76+27,72+40,52)</t>
  </si>
  <si>
    <t xml:space="preserve"> =(20+15,1+30,61+4,95+2,28+23,93+28,19+18,07)</t>
  </si>
  <si>
    <t xml:space="preserve"> =(33,8+20,9)*0,7*hloubka</t>
  </si>
  <si>
    <t xml:space="preserve"> =(9,6+3,6)*0,7*hloubka</t>
  </si>
  <si>
    <t xml:space="preserve"> =(13,8+7,9)*0,7*hloubka</t>
  </si>
  <si>
    <t xml:space="preserve"> =17,4*hloubka</t>
  </si>
  <si>
    <t xml:space="preserve"> =(33,8+20,9+9,6+3,6+13,8+7,9)*0,7* plocha řezu</t>
  </si>
  <si>
    <t xml:space="preserve"> =(33,8+20,9)*0,7</t>
  </si>
  <si>
    <t xml:space="preserve"> =13,8*0,7</t>
  </si>
  <si>
    <t xml:space="preserve"> =6,86+11,21</t>
  </si>
  <si>
    <t xml:space="preserve"> =(2,6+4,3+4,2+1,4)*2*výška</t>
  </si>
  <si>
    <t xml:space="preserve"> =((6,66+3,62)*2+(4,57+6,66)*2+(4,9+3,7+1,3)*2+(5,9+3,7+4,7+5,9+6,1+6,6+6,3+3,2+5,6+5,4+4+2,5)*2)*výška</t>
  </si>
  <si>
    <t xml:space="preserve"> =(20,2+8,2+32,7+19+12,5+7,2)*výška</t>
  </si>
  <si>
    <t xml:space="preserve"> =20,2*0,7+(8,2+32,7+19)*0,5+(12,5+7,2)*(1,1+2)/2</t>
  </si>
  <si>
    <t xml:space="preserve"> =2*délka</t>
  </si>
  <si>
    <t xml:space="preserve"> =3*délka</t>
  </si>
  <si>
    <t xml:space="preserve"> =5*délka</t>
  </si>
  <si>
    <t xml:space="preserve"> =8*délka</t>
  </si>
  <si>
    <t xml:space="preserve"> =9*0,5</t>
  </si>
  <si>
    <t xml:space="preserve"> =9*0,5*šířka</t>
  </si>
  <si>
    <t xml:space="preserve"> =(12,3+7,6)*0,8</t>
  </si>
  <si>
    <t xml:space="preserve"> =(12,3+7,6)</t>
  </si>
  <si>
    <t xml:space="preserve"> =(1,1+2)/2*3</t>
  </si>
  <si>
    <t xml:space="preserve"> =(2,9+32,5+7,7+19,2)*0,8</t>
  </si>
  <si>
    <t xml:space="preserve"> =(2,9+32,5+7,7+19,2)</t>
  </si>
  <si>
    <t xml:space="preserve"> =8*0,4</t>
  </si>
  <si>
    <t xml:space="preserve"> =25*výška</t>
  </si>
  <si>
    <t xml:space="preserve"> =98*2</t>
  </si>
  <si>
    <t xml:space="preserve"> =9*2</t>
  </si>
  <si>
    <t xml:space="preserve"> =(6,66+3,62+6,66+4,57+3,7+6,66+3,9+5,87+5,87+4,73+6,61+6,12+6,26+3,2+5,4+5,58+3,98+3,28)*2</t>
  </si>
  <si>
    <t xml:space="preserve"> =11*délka</t>
  </si>
  <si>
    <t xml:space="preserve"> =1*14+0,5*4+2+7+8</t>
  </si>
  <si>
    <t xml:space="preserve"> =1+2+3</t>
  </si>
  <si>
    <t xml:space="preserve"> =9</t>
  </si>
  <si>
    <t xml:space="preserve"> =(3+0,5+0,5)*1,9*1</t>
  </si>
  <si>
    <t>Hloubení nezapažených jam v soudržných horninách třídy těžitelnosti I skupiny 3 ručně</t>
  </si>
  <si>
    <t>šachta dojezdu výtahu</t>
  </si>
  <si>
    <t xml:space="preserve">Hloubení nezapažených rýh šířky do 800 mm v soudržných horninách třídy těžitelnosti I skupiny 3 ručně	</t>
  </si>
  <si>
    <t xml:space="preserve"> =(2,92+1)*(2,8+1+1)*(1,71+0,15)</t>
  </si>
  <si>
    <t xml:space="preserve"> =3*0,7*0,51</t>
  </si>
  <si>
    <t>komplet výkopy</t>
  </si>
  <si>
    <t>odpočet konstrukce</t>
  </si>
  <si>
    <t xml:space="preserve"> =(2*1+13,755*(0,6+1))*(1,41+0,15)</t>
  </si>
  <si>
    <t xml:space="preserve"> =((2*1+13,755*(0,6))*(1,41+0,15)+(2,92)*(2,8)*(1,71+0,15))*-1</t>
  </si>
  <si>
    <t>množství likvidovaného výkopku x 30 - 10 km</t>
  </si>
  <si>
    <t xml:space="preserve"> =2*3*výška</t>
  </si>
  <si>
    <t>výkop pro základovou desku</t>
  </si>
  <si>
    <t xml:space="preserve"> =1,225*16,66*hloubka</t>
  </si>
  <si>
    <t>Podsyp pod základové konstrukce se zhutněním z hrubého kameniva frakce 16 až 32 mm</t>
  </si>
  <si>
    <t>plocha základových pasů a jam</t>
  </si>
  <si>
    <t xml:space="preserve"> =(17,64*(1,38+0,6)+2,205*2,92)*tloušťka</t>
  </si>
  <si>
    <t>Základové pásy z betonu tř. C 25/30</t>
  </si>
  <si>
    <t>pas pod schodiště</t>
  </si>
  <si>
    <t>pas zdivo 1. stupeň</t>
  </si>
  <si>
    <t xml:space="preserve"> =1*(1,38+0,6)*0,7</t>
  </si>
  <si>
    <t xml:space="preserve"> =13,755*0,6*0,215</t>
  </si>
  <si>
    <t>základová deska přístavba</t>
  </si>
  <si>
    <t xml:space="preserve"> =(17,64-0,1)*(1,38+0,6-0,175)*0,125</t>
  </si>
  <si>
    <t>deska výtahová šachta</t>
  </si>
  <si>
    <t xml:space="preserve">273313711	</t>
  </si>
  <si>
    <t xml:space="preserve">Základové desky z betonu tř. C 20/25	</t>
  </si>
  <si>
    <t xml:space="preserve"> =2,5*2,75*0,1</t>
  </si>
  <si>
    <t xml:space="preserve"> =2,5*2,75*0,2</t>
  </si>
  <si>
    <t xml:space="preserve">Zřízení bednění základových desek	</t>
  </si>
  <si>
    <t xml:space="preserve">273351122	</t>
  </si>
  <si>
    <t xml:space="preserve">Odstranění bednění základových desek	</t>
  </si>
  <si>
    <t xml:space="preserve"> =((17,64-0,1)+(1,38+0,6-0,175))*0,125</t>
  </si>
  <si>
    <t xml:space="preserve"> =(2,5+2,75)*2*0,3</t>
  </si>
  <si>
    <t xml:space="preserve">Výztuž základových desek betonářskou ocelí 10 505 (R)	</t>
  </si>
  <si>
    <t xml:space="preserve">273362021	</t>
  </si>
  <si>
    <t xml:space="preserve">Výztuž základových desek svařovanými sítěmi Kari	</t>
  </si>
  <si>
    <t>pas zdivo 2. stupeň</t>
  </si>
  <si>
    <t xml:space="preserve"> =13,755*0,75</t>
  </si>
  <si>
    <t>stěny výtahová šachta</t>
  </si>
  <si>
    <t xml:space="preserve"> =(2,5+2,75)*2*1,1*tloušťka</t>
  </si>
  <si>
    <t xml:space="preserve">Zřízení oboustranného bednění základových zdí	</t>
  </si>
  <si>
    <t xml:space="preserve"> =(2,5+2,75)*2*1,1*2</t>
  </si>
  <si>
    <t xml:space="preserve">279351122	</t>
  </si>
  <si>
    <t xml:space="preserve">Odstranění oboustranného bednění základových zdí	</t>
  </si>
  <si>
    <t xml:space="preserve">Výztuž základových zdí nosných betonářskou ocelí 10 505	</t>
  </si>
  <si>
    <t>Kombinovaný těsnící PVC pás s bobtnavým profilem do pracovních spar betonových kcí š 150 mm</t>
  </si>
  <si>
    <t>odhad ztracené bednění</t>
  </si>
  <si>
    <t>odhad vodostavební beton</t>
  </si>
  <si>
    <t>styk deska - stěna šachta</t>
  </si>
  <si>
    <t xml:space="preserve"> =(2,5+2,75)*2</t>
  </si>
  <si>
    <t xml:space="preserve">Základové desky ze ŽB bez zvýšených nároků na prostředí tř. C 20/25	</t>
  </si>
  <si>
    <t xml:space="preserve">Základová zeď tl přes 200 do 250 mm z tvárnic ztraceného bednění včetně výplně z betonu tř. C 20/25	</t>
  </si>
  <si>
    <t>KARI 1x 100/100/6 + 20% přesahy</t>
  </si>
  <si>
    <t xml:space="preserve">Kotvy mechanické M 10 dl 110 mm pro střední zatížení do betonu, ŽB nebo kamene s vyvrtáním otvoru	</t>
  </si>
  <si>
    <t>spojovací pruty se stávajícím základem</t>
  </si>
  <si>
    <t xml:space="preserve"> =3*4</t>
  </si>
  <si>
    <t>skladba P.1b</t>
  </si>
  <si>
    <t>skladba P.10</t>
  </si>
  <si>
    <t>skladba P.10a</t>
  </si>
  <si>
    <t xml:space="preserve">Provedení izolace proti zemní vlhkosti svislé za studena nátěrem penetračním	</t>
  </si>
  <si>
    <t>základy přístavba</t>
  </si>
  <si>
    <t xml:space="preserve">Provedení izolace proti zemní vlhkosti pásy přitavením svislé NAIP	</t>
  </si>
  <si>
    <t xml:space="preserve"> =13,755*(0,75+0,35+0,3)</t>
  </si>
  <si>
    <t>skladba P.10b</t>
  </si>
  <si>
    <t xml:space="preserve">Zdivo jednovrstvé zvukově izolační na cementovou maltu M10 z cihel děrovaných přes P15 do P20 tl 300 mm	</t>
  </si>
  <si>
    <t>3.NP</t>
  </si>
  <si>
    <t xml:space="preserve"> =0,8*2+1,08*2,2</t>
  </si>
  <si>
    <t xml:space="preserve"> =(2,1+0,65)*2*2,9</t>
  </si>
  <si>
    <t>odpočet otvorů - 80% plochy</t>
  </si>
  <si>
    <t xml:space="preserve"> =1,87*2,76+2,5*2+(2,55+2,75)*2*3,75+1,17*2,1</t>
  </si>
  <si>
    <t xml:space="preserve"> =(2,55+2,75)*2*4,25+2,57*2,33</t>
  </si>
  <si>
    <t xml:space="preserve"> =(6,23*3+1,1*2,18+1*1,37+1,1+2,18*2+1,1*2,15+1,06*1,8)*koeficient</t>
  </si>
  <si>
    <t>Zazdívka otvorů pl přes 0,25 do 1 m2 ve zdivu nadzákladovém cihlami pálenými na MVC</t>
  </si>
  <si>
    <t xml:space="preserve">Překlad keramický vysoký v 238 mm dl 1250 mm	</t>
  </si>
  <si>
    <t xml:space="preserve">Překlad keramický vysoký v 238 mm dl 1500 mm	</t>
  </si>
  <si>
    <t xml:space="preserve">342244201	</t>
  </si>
  <si>
    <t xml:space="preserve">Příčka z cihel broušených na tenkovrstvou maltu tloušťky 80 mm	</t>
  </si>
  <si>
    <t xml:space="preserve">Příčka z cihel broušených na tenkovrstvou maltu tloušťky 115 mm	</t>
  </si>
  <si>
    <t xml:space="preserve">Příčka z cihel broušených na tenkovrstvou maltu tloušťky 140 mm	</t>
  </si>
  <si>
    <t xml:space="preserve"> =(1,735+1,7+1,86)*3,77</t>
  </si>
  <si>
    <t xml:space="preserve"> =0,9*2,16</t>
  </si>
  <si>
    <t xml:space="preserve"> =(0,7*1,97*2)*koeficient</t>
  </si>
  <si>
    <t xml:space="preserve"> =(0,3*2+1,1)*2,1+0,9*2+1,86*3,77+(1,4*2+0,25)*2,1</t>
  </si>
  <si>
    <t xml:space="preserve"> =(0,7*1,97*(2+7))*koeficient</t>
  </si>
  <si>
    <t xml:space="preserve"> =0,6*2,15+1,06*3,11*2</t>
  </si>
  <si>
    <t xml:space="preserve">317168011	</t>
  </si>
  <si>
    <t xml:space="preserve">Překlad keramický plochý š 115 mm dl 1000 mm	</t>
  </si>
  <si>
    <t xml:space="preserve">Překlad keramický plochý š 145 mm dl 1000 mm	</t>
  </si>
  <si>
    <t xml:space="preserve">Překlad keramický plochý š 145 mm dl 1250 mm	</t>
  </si>
  <si>
    <t xml:space="preserve"> =(6,66+1,7)*3,77+1*1,4+1,53*3,8+1,15*2,2+0,4*2,9+1,1*4+1,1*2,4</t>
  </si>
  <si>
    <t xml:space="preserve"> =(0,8*2,1*4+0,7*2,1)*koeficient</t>
  </si>
  <si>
    <t>L6/70/50</t>
  </si>
  <si>
    <t>IPE 140, 200</t>
  </si>
  <si>
    <t xml:space="preserve"> =1,3*2,8+0,8*2+0,95*1,9+1,06*3,38+0,55*1,11</t>
  </si>
  <si>
    <t xml:space="preserve">    4 - Vodorovné konstrukce</t>
  </si>
  <si>
    <t>osazení desky pavlače a schodiště</t>
  </si>
  <si>
    <t xml:space="preserve"> =18</t>
  </si>
  <si>
    <t>Stropy deskové ze ŽB tř. C 20/25</t>
  </si>
  <si>
    <t>deska pavlač</t>
  </si>
  <si>
    <t xml:space="preserve">413321515	</t>
  </si>
  <si>
    <t>Nosníky ze ŽB tř. C 20/25</t>
  </si>
  <si>
    <t>žebrový nosník desky</t>
  </si>
  <si>
    <t xml:space="preserve">Schodišťová konstrukce a rampa ze ŽB tř. C 20/25	</t>
  </si>
  <si>
    <t>deska pavlač - šikmá část</t>
  </si>
  <si>
    <t xml:space="preserve">Zřízení bednění stropů deskových tl přes 5 do 25 cm bez podpěrné kce	</t>
  </si>
  <si>
    <t xml:space="preserve"> =(9,35+0,6)*(1,43+0,125+0,2)*tloušťka</t>
  </si>
  <si>
    <t xml:space="preserve"> =(0,4+4+3,75)*(1,43+0,125+0,2)*tloušťka</t>
  </si>
  <si>
    <t xml:space="preserve">411351012	</t>
  </si>
  <si>
    <t xml:space="preserve">Odstranění bednění stropů deskových tl přes 5 do 25 cm bez podpěrné kce	</t>
  </si>
  <si>
    <t xml:space="preserve">Zřízení podpěrné konstrukce stropů výšky do 4 m tl přes 5 do 15 cm	</t>
  </si>
  <si>
    <t xml:space="preserve">411354312	</t>
  </si>
  <si>
    <t xml:space="preserve">Odstranění podpěrné konstrukce stropů výšky do 4 m tl přes 5 do 15 cm	</t>
  </si>
  <si>
    <t xml:space="preserve">Zřízení bednění nosníků a průvlaků bez podpěrné kce výšky do 100 cm	</t>
  </si>
  <si>
    <t xml:space="preserve">413351112	</t>
  </si>
  <si>
    <t xml:space="preserve">Odstranění bednění nosníků a průvlaků bez podpěrné kce výšky do 100 cm	</t>
  </si>
  <si>
    <t>Zřízení podpěrné konstrukce nosníků výšky podepření do 4 m pro nosník výšky do 100 cm</t>
  </si>
  <si>
    <t xml:space="preserve">413352112	</t>
  </si>
  <si>
    <t>Odstranění podpěrné konstrukce nosníků výšky podepření do 4 m pro nosník výšky do 100 cm</t>
  </si>
  <si>
    <t xml:space="preserve">Zřízení bednění podest schodišť a ramp přímočarých v do 4 m	</t>
  </si>
  <si>
    <t xml:space="preserve">Odstranění bednění podest schodišť a ramp přímočarých v do 4 m	</t>
  </si>
  <si>
    <t xml:space="preserve">Výztuž stropů betonářskou ocelí 10 505	</t>
  </si>
  <si>
    <t>Výztuž nosníků, volných trámů nebo průvlaků volných trámů betonářskou ocelí 10 505</t>
  </si>
  <si>
    <t xml:space="preserve">Výztuž schodišťové konstrukce a rampy betonářskou ocelí 10 505	</t>
  </si>
  <si>
    <t xml:space="preserve">Ztužující pásy a věnce ze ŽB tř. C 20/25	</t>
  </si>
  <si>
    <t>deska šachta výtah</t>
  </si>
  <si>
    <t xml:space="preserve"> =(2,5*2,75)*tloušťka</t>
  </si>
  <si>
    <t xml:space="preserve"> =(2,5*2,75)</t>
  </si>
  <si>
    <t>věnce výtahová šachta</t>
  </si>
  <si>
    <t xml:space="preserve"> =(9,35+0,6+0,4+4+3,75+1,43)*(0,7)*tloušťka</t>
  </si>
  <si>
    <t xml:space="preserve"> =(9,35+0,6)*(1,43+0,125+0,2)</t>
  </si>
  <si>
    <t xml:space="preserve"> =(9,35+0,6+0,4+4+3,75+1,43)*0,7*2</t>
  </si>
  <si>
    <t xml:space="preserve"> =(0,4+4+3,75)*(1,43+0,125+0,2)</t>
  </si>
  <si>
    <t xml:space="preserve">Zřízení bednění ztužujících věnců	</t>
  </si>
  <si>
    <t xml:space="preserve">417351116	</t>
  </si>
  <si>
    <t xml:space="preserve">Odstranění bednění ztužujících věnců	</t>
  </si>
  <si>
    <t>věnce přístavba</t>
  </si>
  <si>
    <t xml:space="preserve"> =(6,23)*0,25*0,25</t>
  </si>
  <si>
    <t xml:space="preserve">Výztuž ztužujících pásů a věnců betonářskou ocelí 10 505	</t>
  </si>
  <si>
    <t>věnce</t>
  </si>
  <si>
    <t>odhad 150 kg/m3</t>
  </si>
  <si>
    <t xml:space="preserve"> =((2,5+2,75)*2*2+0,7*2)*0,25*0,25</t>
  </si>
  <si>
    <t xml:space="preserve"> =((2,5+2,75)*2*2+0,7*2)*0,25*2</t>
  </si>
  <si>
    <t xml:space="preserve"> =(6,23)*0,25*2</t>
  </si>
  <si>
    <t>deska schodiště 2. - 3.NP</t>
  </si>
  <si>
    <t xml:space="preserve"> =(3,4*1,4)*tloušťka</t>
  </si>
  <si>
    <t xml:space="preserve"> =(3,4*1,4)</t>
  </si>
  <si>
    <t xml:space="preserve">Schodišťové stupně dusané na terén z betonu tř. C 20/25 bez potěru	</t>
  </si>
  <si>
    <t>schody pavlač malé</t>
  </si>
  <si>
    <t>schody pavlač velké</t>
  </si>
  <si>
    <t xml:space="preserve">Zřízení bednění stupňů přímočarých schodišť	</t>
  </si>
  <si>
    <t xml:space="preserve">Odstranění bednění stupňů přímočarých schodišť	</t>
  </si>
  <si>
    <t>434311.R001</t>
  </si>
  <si>
    <t>Příplatek za pohledové provedení stupňů - nášlapy i postupnice</t>
  </si>
  <si>
    <t>St.8</t>
  </si>
  <si>
    <t>Nový vikýř</t>
  </si>
  <si>
    <t>Montáž tesařských stěn na hladko z hraněného řeziva průřezové pl přes 120 do 224 cm2</t>
  </si>
  <si>
    <t>boční stěna</t>
  </si>
  <si>
    <t xml:space="preserve">hranol stavební řezivo průřezu do 224cm2 do dl 6m	</t>
  </si>
  <si>
    <t xml:space="preserve"> =5*(2,4/2)*2</t>
  </si>
  <si>
    <t xml:space="preserve">Spojovací prostředky pro montáž stěn, příček, bednění stěn	</t>
  </si>
  <si>
    <t xml:space="preserve">Obložení stěn z desek OSB tl 18 mm broušených na pero a drážku přibíjených	</t>
  </si>
  <si>
    <t xml:space="preserve">Montáž izolace tepelné stěn a slopů překrytí fólií s přelepeným spojem	</t>
  </si>
  <si>
    <t>Montáž obložení stěn podkladový rošt</t>
  </si>
  <si>
    <t>podkladní rošt</t>
  </si>
  <si>
    <t xml:space="preserve"> =6*3/2*2</t>
  </si>
  <si>
    <t xml:space="preserve">řezivo jehličnaté lať impregnovaná dl 4 m	</t>
  </si>
  <si>
    <t>fólie kontaktní difuzně propustná pro doplňkovou hydroizolační vrstvu, monolitická třívrstvá PES/PP 150-160g/m2</t>
  </si>
  <si>
    <t>S.1</t>
  </si>
  <si>
    <t>Montáž laťování na střechách jednoduchých sklonu do 60° osové vzdálenosti přes 150 do 360 mm</t>
  </si>
  <si>
    <t>Střecha nad historickým objektem - severní křídlo</t>
  </si>
  <si>
    <t>Montáž izolace tepelné střech šikmých provedení podkladového roštu pod krokve</t>
  </si>
  <si>
    <t xml:space="preserve">Montáž izolace tepelné podlah, stropů vrchem nebo střech překrytí fólií s přelepeným spojem	</t>
  </si>
  <si>
    <t>fólie PE vyztužená Al vrstvou pro parotěsnou vrstvu 150g/m2 s integrovanou lepící páskou</t>
  </si>
  <si>
    <t>S.1a</t>
  </si>
  <si>
    <t>Střecha nad historickým objektem - severní křídlo - doplnění</t>
  </si>
  <si>
    <t>plocha doplnění</t>
  </si>
  <si>
    <t xml:space="preserve"> =2,4*2</t>
  </si>
  <si>
    <t>Montáž izolace tepelné střech šikmých kladené volně mezi krokve rohoží, pásů, desek</t>
  </si>
  <si>
    <t xml:space="preserve">Montáž kontralatí na podklad bez tepelné izolace	</t>
  </si>
  <si>
    <t>S.1b</t>
  </si>
  <si>
    <t>S.2</t>
  </si>
  <si>
    <t>Střecha nad historickým objektem - jižní křídlo</t>
  </si>
  <si>
    <t>S.2a</t>
  </si>
  <si>
    <t>Střecha nad historickým objektem - jižní křídlo - doplnění</t>
  </si>
  <si>
    <t xml:space="preserve"> =2,4*9</t>
  </si>
  <si>
    <t>S.2b</t>
  </si>
  <si>
    <t>S.3</t>
  </si>
  <si>
    <t xml:space="preserve">Podlahové kce podkladové dvouvrstvé z desek OSB tl 2x12 mm broušených na pero a drážku lepených	</t>
  </si>
  <si>
    <t>Spojovací prostředky pro položení dřevěných podlah a zakrytí kanálů</t>
  </si>
  <si>
    <t>P.9</t>
  </si>
  <si>
    <t>Ocelobetonový strop nad m. 2.A.4</t>
  </si>
  <si>
    <t xml:space="preserve">Oprava vnitřní vápenné hladké omítky stropů v rozsahu plochy přes 30 do 50 % s celoplošným přeštukováním	</t>
  </si>
  <si>
    <t xml:space="preserve">Oprava vnitřní vápenné hladké omítky stěn v rozsahu plochy přes 30 do 50 % s celoplošným přeštukováním	</t>
  </si>
  <si>
    <t xml:space="preserve">Oprava vnitřní vápenné hladké omítky stěn v rozsahu plochy do 10 % s celoplošným přeštukováním	</t>
  </si>
  <si>
    <t>štít 3.NP jižní strana</t>
  </si>
  <si>
    <t xml:space="preserve"> =15,1</t>
  </si>
  <si>
    <t xml:space="preserve">Vápenná omítka štuková dvouvrstvá vnitřních stěn nanášená ručně	</t>
  </si>
  <si>
    <t xml:space="preserve">Oprava vnější vápenné hladké omítky členitosti 1 stěn v rozsahu do 10 %	</t>
  </si>
  <si>
    <t>jih</t>
  </si>
  <si>
    <t>sever</t>
  </si>
  <si>
    <t>západ</t>
  </si>
  <si>
    <t>východ</t>
  </si>
  <si>
    <t xml:space="preserve">Tepelně izolační jednovrstvá omítka vnějších stěn tloušťky do 30 mm	</t>
  </si>
  <si>
    <t xml:space="preserve">622142001	</t>
  </si>
  <si>
    <t xml:space="preserve">Potažení vnějších stěn sklovláknitým pletivem vtlačeným do tenkovrstvé hmoty	</t>
  </si>
  <si>
    <t xml:space="preserve">Tenkovrstvá minerální zatíraná (škrábaná) omítka zrnitost 1,0 mm vnějších stěn	</t>
  </si>
  <si>
    <t>fasáda historická</t>
  </si>
  <si>
    <t xml:space="preserve">Omytí omítek tlakovou vodou před provedením nátěru	</t>
  </si>
  <si>
    <t xml:space="preserve">783823133	</t>
  </si>
  <si>
    <t xml:space="preserve">Penetrační silikátový nátěr hladkých, tenkovrstvých zrnitých nebo štukových omítek	</t>
  </si>
  <si>
    <t xml:space="preserve">783827423	</t>
  </si>
  <si>
    <t>skladba P.3</t>
  </si>
  <si>
    <t>skladba P.2</t>
  </si>
  <si>
    <t>skladba P.5</t>
  </si>
  <si>
    <t>skladba P.5a</t>
  </si>
  <si>
    <t>skladba P.5b</t>
  </si>
  <si>
    <t>skladba P.6</t>
  </si>
  <si>
    <t>skladba P.6b</t>
  </si>
  <si>
    <t>skladba P.11</t>
  </si>
  <si>
    <t>mazaniny s KARI sítí</t>
  </si>
  <si>
    <t>mazaniny s rozptýlenou výztuží</t>
  </si>
  <si>
    <t xml:space="preserve">Pemrlování povrchu betonu rubu kleneb a podlah	</t>
  </si>
  <si>
    <t>schodiště pavlač</t>
  </si>
  <si>
    <t xml:space="preserve"> =(2,85*2,05+1,6*2,3+1,7*2,05+1,6*2,05+2,23*1,65+3,06*2,45+1,6*2,91+3,06*2,45+2,26*2,25+6,23*3+1*1,67*3+1,06*1,7+1,16*1,7+1,1*1,7+1,25*1,85*4+0,65*1,8*2+1,17*1,8+1*1,37*4+1*1,87+1,06*1,8*7)*E373</t>
  </si>
  <si>
    <t xml:space="preserve">713131143	</t>
  </si>
  <si>
    <t xml:space="preserve">Montáž izolace tepelné stěn a základů lepením celoplošně v kombinaci s mechanickým kotvením rohoží, pásů, dílců, desek	</t>
  </si>
  <si>
    <t>skladba St.2a</t>
  </si>
  <si>
    <t>skladba St.2b</t>
  </si>
  <si>
    <t xml:space="preserve">deska tepelně izolační minerální kalciumsilikátová λ=0,043 tl 100mm	</t>
  </si>
  <si>
    <t xml:space="preserve">63152233	</t>
  </si>
  <si>
    <t xml:space="preserve">deska tepelně izolační minerální kalciumsilikátová λ=0,043 tl 120mm	</t>
  </si>
  <si>
    <t xml:space="preserve">Potažení vnitřních stěn sklovláknitým pletivem vtlačeným do tenkovrstvé hmoty	</t>
  </si>
  <si>
    <t xml:space="preserve">Tenkovrstvá minerální zatíraná (škrábaná) omítka zrnitost 1,0 mm vnitřních stěn	</t>
  </si>
  <si>
    <t>skladba S.4</t>
  </si>
  <si>
    <t>skladba S.3</t>
  </si>
  <si>
    <t xml:space="preserve"> =2,75*1,25</t>
  </si>
  <si>
    <t xml:space="preserve"> =2,22*2,56+(2,56)*2*0,5</t>
  </si>
  <si>
    <t xml:space="preserve"> =2,75*2+2,56*2</t>
  </si>
  <si>
    <t xml:space="preserve"> =2,22*2,56</t>
  </si>
  <si>
    <t>EPS 160</t>
  </si>
  <si>
    <t>EPS 80</t>
  </si>
  <si>
    <t>skladba P.7</t>
  </si>
  <si>
    <t>skladba P.8</t>
  </si>
  <si>
    <t>skladba P.9</t>
  </si>
  <si>
    <t>MW 40</t>
  </si>
  <si>
    <t>EPS 220</t>
  </si>
  <si>
    <t xml:space="preserve">deska EPS 200 pro konstrukce s velmi vysokým zatížením λ=0,034 tl 80mm	</t>
  </si>
  <si>
    <t xml:space="preserve">28375961	</t>
  </si>
  <si>
    <t xml:space="preserve">deska EPS 200 pro konstrukce s velmi vysokým zatížením λ=0,034 tl 160mm	</t>
  </si>
  <si>
    <t xml:space="preserve">deska EPS 200 pro konstrukce s velmi vysokým zatížením λ=0,034	</t>
  </si>
  <si>
    <t>skladba P.11 - spád</t>
  </si>
  <si>
    <t xml:space="preserve">klín izolační EPS 200 spád do 5%	</t>
  </si>
  <si>
    <t xml:space="preserve">28375962	</t>
  </si>
  <si>
    <t xml:space="preserve">deska EPS 200 pro konstrukce s velmi vysokým zatížením λ=0,034 tl 180mm	</t>
  </si>
  <si>
    <t>Přesun hmot pro budovy zděné v do 15 m</t>
  </si>
  <si>
    <t>Přesun hmot procentní pro izolace proti vodě, vlhkosti a plynům v objektech v přes 6 do 12 m</t>
  </si>
  <si>
    <t xml:space="preserve">Přesun hmot procentní pro krytiny povlakové v objektech v přes 6 do 12 m	</t>
  </si>
  <si>
    <t xml:space="preserve">Přesun hmot procentní pro izolace tepelné v objektech v přes 6 do 12 m	</t>
  </si>
  <si>
    <t xml:space="preserve">Přesun hmot procentní pro kce tesařské v objektech v přes 6 do 12 m	</t>
  </si>
  <si>
    <t>skladba St.7</t>
  </si>
  <si>
    <t>předstěny WC</t>
  </si>
  <si>
    <t>předstěna krov</t>
  </si>
  <si>
    <t xml:space="preserve"> =1,5*2,4+15,1-(0,85*1,97)</t>
  </si>
  <si>
    <t xml:space="preserve">763121466	</t>
  </si>
  <si>
    <t>SDK stěna předsazená tl 100 mm profil CW+UW 75 desky 2xDFH2 12,5 s izolací EI 45</t>
  </si>
  <si>
    <t xml:space="preserve">763121475	</t>
  </si>
  <si>
    <t xml:space="preserve">SDK stěna předsazená tl 75 mm profil CW+UW 50 desky s vysokou mechanickou odolností 2xDFRIH2 12,5 s izolací EI 30 Rw do 19 dB	</t>
  </si>
  <si>
    <t xml:space="preserve"> =(0,9+0,9+1,86+0,97+1+1,275)*1,5</t>
  </si>
  <si>
    <t xml:space="preserve"> =4,26*2</t>
  </si>
  <si>
    <t>skladba St.8</t>
  </si>
  <si>
    <t xml:space="preserve">763121432	</t>
  </si>
  <si>
    <t xml:space="preserve">SDK stěna předsazená tl 87,5 mm profil CW+UW 75 deska 1xDFH2 12,5 s izolací EI 30 Rw do 12 dB	</t>
  </si>
  <si>
    <t xml:space="preserve">SDK podhled samostatný požární předěl 2xDF 15 mm TI 60 mm 40 kg/m3 EI Z/S 60/60 dvouvrstvá spodní kce CD+UD	</t>
  </si>
  <si>
    <t xml:space="preserve">SDK podhled deska 1x akustická s izolací dvouvrstvá spodní kce profil CD+UD REI 90 Rw 60 dB	</t>
  </si>
  <si>
    <t xml:space="preserve">SDK podkroví deska 1xDF 15 TI 100 mm 15 kg/m3 REI 30 DP3 dvouvrstvá spodní kce profil CD+UD na krokvových nástavcích	</t>
  </si>
  <si>
    <t xml:space="preserve">SDK podkroví deska 1xDF 12,5 TI 100 mm 15 kg/m3 REI 15 DP3 dvouvrstvá spodní kce profil CD+UD na krokvových nástavcích	</t>
  </si>
  <si>
    <t>skladba S.1</t>
  </si>
  <si>
    <t>skladba S.2</t>
  </si>
  <si>
    <t>skladba S.1a</t>
  </si>
  <si>
    <t>skladba S.1b</t>
  </si>
  <si>
    <t>skladba S.2a</t>
  </si>
  <si>
    <t>skladba S.2b</t>
  </si>
  <si>
    <t>Přesun hmot procentní pro sádrokartonové konstrukce v objektech v přes 6 do 12 m</t>
  </si>
  <si>
    <t>Příplatek k montáži krytiny keramické za připevňovací prostředky za sklon přes 40° do 50°</t>
  </si>
  <si>
    <t xml:space="preserve">Přesun hmot procentní pro konstrukce klempířské v objektech v přes 6 do 12 m	</t>
  </si>
  <si>
    <t xml:space="preserve">    766 - Konstrukce truhlářské</t>
  </si>
  <si>
    <t xml:space="preserve">Přesun hmot procentní pro kce truhlářské v objektech v přes 6 do 12 m	</t>
  </si>
  <si>
    <t>skladba P.1</t>
  </si>
  <si>
    <t>dlažba plošná betonová terasová hladká 500x500x50mm</t>
  </si>
  <si>
    <t xml:space="preserve">Samonivelační stěrka podlah pevnosti 30 MPa tl 3 mm	</t>
  </si>
  <si>
    <t>dlažba mimo sociální zázemí</t>
  </si>
  <si>
    <t>dlažba sociální zázemí</t>
  </si>
  <si>
    <t>sokl z materiálu dlažby</t>
  </si>
  <si>
    <t xml:space="preserve">Přesun hmot procentní pro podlahy z dlaždic v objektech v přes 6 do 12 m	</t>
  </si>
  <si>
    <t xml:space="preserve">Montáž podlahy z dlaždic cihelných lepením flexibilním lepidlem přes 22 do 25 ks/m2	</t>
  </si>
  <si>
    <t>schodiště 1. a 2.NP</t>
  </si>
  <si>
    <t xml:space="preserve">Přesun hmot procentní pro podlahy dřevěné v objektech v přes 6 do 12 m	</t>
  </si>
  <si>
    <t xml:space="preserve">Přesun hmot procentní pro podlahy z kamene v objektech v přes 6 do 12 m	</t>
  </si>
  <si>
    <t xml:space="preserve">    773 - Podlahy teracové</t>
  </si>
  <si>
    <t xml:space="preserve">Podlaha z přírodního litého teraca prostá tloušťky do 20 mm	</t>
  </si>
  <si>
    <t xml:space="preserve">Soklíky z přírodního litého teraca rovné tloušťky do 20 mm výšky přes 50 do 150 mm s fabionem	</t>
  </si>
  <si>
    <t xml:space="preserve">Přesun hmot procentní pro podlahy teracové lité v objektech v přes 6 do 12 m	</t>
  </si>
  <si>
    <t xml:space="preserve"> =2,4*1,7*2</t>
  </si>
  <si>
    <t xml:space="preserve"> =2,4*1,7*9</t>
  </si>
  <si>
    <t xml:space="preserve">Montáž podlahové lišty ze dřeva tvrdého nebo měkkého lepené	</t>
  </si>
  <si>
    <t>soklová lišta</t>
  </si>
  <si>
    <t xml:space="preserve">lišta soklová dřevěná š 15.0 mm, h 60.0 mm	</t>
  </si>
  <si>
    <t xml:space="preserve">palubky podlahové smrk tl 28mm A/B	</t>
  </si>
  <si>
    <t>skladba P.4</t>
  </si>
  <si>
    <t xml:space="preserve">Podlahy dřevěné, základní lak	</t>
  </si>
  <si>
    <t xml:space="preserve">Podlahy dřevěné, vrchní lak pro velmi vysokou zátěž	</t>
  </si>
  <si>
    <t xml:space="preserve">775591316	</t>
  </si>
  <si>
    <t xml:space="preserve">Podlahy dřevěné, mezibroušení mezi vrstvami laku	</t>
  </si>
  <si>
    <t xml:space="preserve">777111123	</t>
  </si>
  <si>
    <t xml:space="preserve">Strojní broušení podkladu před provedením lité podlahy	</t>
  </si>
  <si>
    <t xml:space="preserve">Vysátí podkladu před provedením lité podlahy	</t>
  </si>
  <si>
    <t xml:space="preserve">Penetrační epoxidový nátěr podlahy na vlhký nebo nenasákavý podklad	</t>
  </si>
  <si>
    <t xml:space="preserve">777612109	</t>
  </si>
  <si>
    <t xml:space="preserve">Uzavírací epoxidový protiskluzný nátěr podlahy	</t>
  </si>
  <si>
    <t>sokl</t>
  </si>
  <si>
    <t xml:space="preserve">Přesun hmot procentní pro podlahy lité v objektech v přes 6 do 12 m	</t>
  </si>
  <si>
    <t>keramický obklad</t>
  </si>
  <si>
    <t xml:space="preserve">Nátěr penetrační na stěnu	</t>
  </si>
  <si>
    <t xml:space="preserve">Přesun hmot procentní pro obklady keramické v objektech v přes 6 do 12 m	</t>
  </si>
  <si>
    <t>nátěr krov</t>
  </si>
  <si>
    <t xml:space="preserve">Napouštěcí jednonásobný akrylátový biocidní nátěr tesařských prvků nezabudovaných do konstrukce	</t>
  </si>
  <si>
    <t>Ostatní práce a dodávky</t>
  </si>
  <si>
    <t xml:space="preserve">Montáž vázaných kcí krovů pravidelných z hraněného řeziva průřezové pl přes 288 do 450 cm2	</t>
  </si>
  <si>
    <t>doplnění vazné trámy</t>
  </si>
  <si>
    <t xml:space="preserve">hranol stavební řezivo průřezu do 450cm2 do dl 6m	</t>
  </si>
  <si>
    <t>Lazurovací dvojnásobný akrylátový nátěr tesařských konstrukcí</t>
  </si>
  <si>
    <t>celkem plochy</t>
  </si>
  <si>
    <t>odpočet černá</t>
  </si>
  <si>
    <t>odpočet termo</t>
  </si>
  <si>
    <t>odpočet otěruvzdoný nátěr</t>
  </si>
  <si>
    <t>Krycí dvojnásobný silikonový nátěr omítek stupně členitosti 1 a 2</t>
  </si>
  <si>
    <t>vnitřní omítka kavárna</t>
  </si>
  <si>
    <t xml:space="preserve"> =(2,6*2+0,9*2+1*3+1,5*3+3,1+1,4+2,3+0,9+1,9+1,3+1,2*2+1,8*3+1,7*3+1,7*2+2,9+1,6+2,6+1,3+2,4)*2*výška+7,7*1,8</t>
  </si>
  <si>
    <t>Příplatek k cenám 2x maleb ze směsí za mokra oděruvzdorných za barevnou malbu v náročném odstínu</t>
  </si>
  <si>
    <t>černá SDK podkroví</t>
  </si>
  <si>
    <t xml:space="preserve">Termoizolační malby v místnostech do 3,80 m	</t>
  </si>
  <si>
    <t>malba přízemí</t>
  </si>
  <si>
    <t>základové pasy přístřešek</t>
  </si>
  <si>
    <t>schody infocentrum</t>
  </si>
  <si>
    <t>základové pasy schodiště</t>
  </si>
  <si>
    <t xml:space="preserve"> =(0,73+0,4*0,6)*(1,45*2+3,2)</t>
  </si>
  <si>
    <t xml:space="preserve"> =(0,6*0,2)*(1,45*2+3,2)</t>
  </si>
  <si>
    <t xml:space="preserve"> =(1,36+1,68)*0,6*0,2</t>
  </si>
  <si>
    <t xml:space="preserve"> =(1,36+1,68)*0,6*0,8</t>
  </si>
  <si>
    <t xml:space="preserve"> =(1,36+1,68)*0,6*0,6</t>
  </si>
  <si>
    <t xml:space="preserve">Základová zeď tl přes 150 do 200 mm z tvárnic ztraceného bednění včetně výplně z betonu tř. C 20/25	</t>
  </si>
  <si>
    <t>zdivo přístřešek</t>
  </si>
  <si>
    <t xml:space="preserve"> =(1,05*2+2,8)*2,25</t>
  </si>
  <si>
    <t>deska přístřešek</t>
  </si>
  <si>
    <t xml:space="preserve"> =1,05*2,8*tloušťka</t>
  </si>
  <si>
    <t xml:space="preserve"> =1,05*2,8</t>
  </si>
  <si>
    <t>skladba St.4</t>
  </si>
  <si>
    <t xml:space="preserve">Vápenocementová omítka hladká jednovrstvá vnějších stěn nanášená ručně	</t>
  </si>
  <si>
    <t xml:space="preserve">Izolace proti vlhkosti na vodorovné ploše za studena těsnicím nátěrem na bázi pryže (latexu) a bitumenů	</t>
  </si>
  <si>
    <t>E.1</t>
  </si>
  <si>
    <t>Zpevněný pochozí povrch - kostky</t>
  </si>
  <si>
    <t>E.2</t>
  </si>
  <si>
    <t>E.3</t>
  </si>
  <si>
    <t xml:space="preserve">kostka štípaná dlažební žula drobná 8/10	</t>
  </si>
  <si>
    <t>skladba E.3</t>
  </si>
  <si>
    <t xml:space="preserve">Podklad ze štěrkodrtě ŠD plochy do 100 m2 tl 200 mm	</t>
  </si>
  <si>
    <t>Zpevněný povrch s občasným pojezdem - kostky</t>
  </si>
  <si>
    <t>Zpevněný pochozí povrch - válcovaný štěrk</t>
  </si>
  <si>
    <t xml:space="preserve">Kladení dlažby z kostek drobných z kamene do lože z kameniva těženého tl 50 mm	</t>
  </si>
  <si>
    <t>skladba E.2</t>
  </si>
  <si>
    <t xml:space="preserve">Podklad z vibrovaného štěrku VŠ tl 120 mm	</t>
  </si>
  <si>
    <t xml:space="preserve">Posyp krytu kamenivem drceným nebo těženým přes 60 do 65 kg/m2	</t>
  </si>
  <si>
    <t>obruby</t>
  </si>
  <si>
    <t xml:space="preserve"> =14,5+7,8+0,9+13,7+7,4+6,9+14+4</t>
  </si>
  <si>
    <t xml:space="preserve"> =7,3+18,8+24</t>
  </si>
  <si>
    <t xml:space="preserve">    1 - Stavební práce a dodávky</t>
  </si>
  <si>
    <t>Schody z vibrolisovaných prefabrikátů se zřízením podkladních stupňů z betonu C 20/25</t>
  </si>
  <si>
    <t>schodiště sever</t>
  </si>
  <si>
    <t>Hloubení jamek bez výměny půdy zeminy tř 1 až 4 obj přes 0,4 do 1 m3 v rovině a svahu do 1:5</t>
  </si>
  <si>
    <t>Výsadba dřeviny s balem D přes 0,6 do 0,8 m do jamky se zalitím v rovině a svahu do 1:5</t>
  </si>
  <si>
    <t>0058.R001</t>
  </si>
  <si>
    <t>strom s balem, průměr kmene 10-15cm</t>
  </si>
  <si>
    <t xml:space="preserve">Protipožární akrylátový nátěr tesařských konstrukcí	</t>
  </si>
  <si>
    <t>Zásobníky pro ohřev teplé vody</t>
  </si>
  <si>
    <t>Napojení elektrických boilerů</t>
  </si>
  <si>
    <t>Kulový uzávěr páčka – SV, TV DN 20</t>
  </si>
  <si>
    <t>Rohové šroubení – SV, TV DN 20</t>
  </si>
  <si>
    <t>Kulový uzávěr páčka – SV, TV DN 15</t>
  </si>
  <si>
    <t>Rohové šroubení – SV, TV DN 15</t>
  </si>
  <si>
    <t>Odečtové vodoměry podružné</t>
  </si>
  <si>
    <t>Sběr dat z vodoměrů a poměrových měřičů tepla</t>
  </si>
  <si>
    <t>Kulový uzávěr páčka DN 15</t>
  </si>
  <si>
    <t>Vodoměr studené vody, 2,5 m3/hod 80mm včetně radiového modulu</t>
  </si>
  <si>
    <t>Šroubení k vodoměru DN15 přímé</t>
  </si>
  <si>
    <t>Centrála memonic včetně sim karty memonic</t>
  </si>
  <si>
    <t>Poplatek za první rok provozu</t>
  </si>
  <si>
    <t>32x4,4 PEX návin</t>
  </si>
  <si>
    <t>40x5,5 PEX návin</t>
  </si>
  <si>
    <t>Přechod na závit 32x1“vnější mosaz T110</t>
  </si>
  <si>
    <t>Přechod na závit 40x5/4“vnější mosaz T110</t>
  </si>
  <si>
    <t>T-kus 40x40x32 lisovaný mosaz T125</t>
  </si>
  <si>
    <t>T-kus 32x40x32 lisovaný mosaz T125</t>
  </si>
  <si>
    <t>42x10 PE návleky pouzdro</t>
  </si>
  <si>
    <t>5) Upevnění potrubí - (značeného PPR)</t>
  </si>
  <si>
    <t>Pisoáry</t>
  </si>
  <si>
    <t>6) Baterie zařizovacích předmětů</t>
  </si>
  <si>
    <t>Rohový ventil (2 ks) 3/8“ – 1/2" s filtrem</t>
  </si>
  <si>
    <t>Sprchové kouty</t>
  </si>
  <si>
    <t>Dřezy kuchyňské</t>
  </si>
  <si>
    <t>Výlevky</t>
  </si>
  <si>
    <t>7) Ostatní práce a dodávky</t>
  </si>
  <si>
    <t>1) Šachty, jímky betonové</t>
  </si>
  <si>
    <t>Šachta pozice S1</t>
  </si>
  <si>
    <t>Šachtové těsnění 1000 1000 DN 1000</t>
  </si>
  <si>
    <t>2) Nádrž dešťové vody</t>
  </si>
  <si>
    <t>Podzemní betonová samonosná nádrž</t>
  </si>
  <si>
    <t>Nádrž 7m3, rozměry 3000x2400x1420mm</t>
  </si>
  <si>
    <t>Nástavec nádrže s pokopem</t>
  </si>
  <si>
    <t>3) Čerpadla dešťové vody</t>
  </si>
  <si>
    <t>Ponorné čerpadlo dešťové vody pro zálivku</t>
  </si>
  <si>
    <t>4) Lapače střešních nečistot</t>
  </si>
  <si>
    <t>Lapač střešních nečistot s otočným kloubem DN110 HL600</t>
  </si>
  <si>
    <t>5) Podlahové vpusti</t>
  </si>
  <si>
    <t>Podlahová vpusť vnitřní se záp. uzávěrem DN 110</t>
  </si>
  <si>
    <t>6) Zařizovací předměty</t>
  </si>
  <si>
    <t>WC komplety</t>
  </si>
  <si>
    <t>Pisoár s tlakovým splachovačem</t>
  </si>
  <si>
    <t>Umývadla</t>
  </si>
  <si>
    <t>Sprchové kouty s odtokovým žlabem</t>
  </si>
  <si>
    <t>Odtoková a přepadová souprava</t>
  </si>
  <si>
    <t>Odtokový spoj pro dvojdřez s hadicovou přípojkou</t>
  </si>
  <si>
    <t>Zápachový uzávěr lahvový</t>
  </si>
  <si>
    <t>7) Splašková kanalizace v zemi, PVC SN4</t>
  </si>
  <si>
    <t>Odbočka 160/110 45° KG-SN4</t>
  </si>
  <si>
    <t>Koleno 110 45o KG-SN4</t>
  </si>
  <si>
    <t>Koleno 125 45o KG-SN4</t>
  </si>
  <si>
    <t>Odbočka 125/110 45o KG-SN4</t>
  </si>
  <si>
    <t>Odbočka 125/125 45o KG-SN4</t>
  </si>
  <si>
    <t>Redukce 125/110 KG-SN4</t>
  </si>
  <si>
    <t>Redukce 160/125 KG-SN4</t>
  </si>
  <si>
    <t>Odbočka 160/125 45° KG-SN4</t>
  </si>
  <si>
    <t>Kanalizační trubky hladké 32 HT</t>
  </si>
  <si>
    <t>Kanalizační trubky hladké 75 HT</t>
  </si>
  <si>
    <t>Koleno 75 45o HT</t>
  </si>
  <si>
    <t>Koleno 75 87o HT</t>
  </si>
  <si>
    <t>Koleno 110 87o HT</t>
  </si>
  <si>
    <t>Odbočka 110/50 45o HT</t>
  </si>
  <si>
    <t>Odbočka 110/75 45o HT</t>
  </si>
  <si>
    <t>Odbočka 110/110 45o HT</t>
  </si>
  <si>
    <t>Redukce 110/75 HT</t>
  </si>
  <si>
    <t>Objímka kovová (pro 32) 31-38</t>
  </si>
  <si>
    <t>Koleno 160 45o KG-SN4</t>
  </si>
  <si>
    <t>Odbočka 160/110 45o KG-SN4</t>
  </si>
  <si>
    <t>Odbočka 160/125 45o KG-SN4</t>
  </si>
  <si>
    <t>Odbočka 160/160 45o KG-SN4</t>
  </si>
  <si>
    <t>Zemní práce - výkop + lože + zásyp pro nádrž</t>
  </si>
  <si>
    <t>3) Potrubí vícevrstvé – PEX-Al-PE</t>
  </si>
  <si>
    <t>32x3 Potrubí PEX-Al-PE, návin GAS</t>
  </si>
  <si>
    <t>32 Korugovaná ochranná trubka GAS</t>
  </si>
  <si>
    <t>4) Tvarovky – PEX-Al-PE</t>
  </si>
  <si>
    <t>Přímý přechod vnější závit press gas 1“Mx32 GAS</t>
  </si>
  <si>
    <t>Koleno vnitřní závit press gas 1“Fx32 GAS</t>
  </si>
  <si>
    <t>Uzávěr rohový protipožární G2T 3/4“F</t>
  </si>
  <si>
    <t>6) Ostatní práce a dodávky</t>
  </si>
  <si>
    <t>Kulový kohout páčka DN 32 R950</t>
  </si>
  <si>
    <t>Šroubení topenářské přímé DN 20 SP603</t>
  </si>
  <si>
    <t>D.1.4.3  - VZT</t>
  </si>
  <si>
    <t>Zař.č.</t>
  </si>
  <si>
    <t>Název</t>
  </si>
  <si>
    <t>Jedn.</t>
  </si>
  <si>
    <t>Jedn. cena (Kč)</t>
  </si>
  <si>
    <t>Náklady (Kč)</t>
  </si>
  <si>
    <t>Dodávka</t>
  </si>
  <si>
    <t>Montáž</t>
  </si>
  <si>
    <t>Celkem za jednot.</t>
  </si>
  <si>
    <t>Celkem za položku</t>
  </si>
  <si>
    <t>Zařízení 1 větrání kavárny a infocentra</t>
  </si>
  <si>
    <t>1.01</t>
  </si>
  <si>
    <t>Kompaktní větrací jednotka s protiproudým deskovým rekuperátorem</t>
  </si>
  <si>
    <t>ve vnitřním provedení s hrdly nahoru, s elektrickým ohřívačem a autonomním</t>
  </si>
  <si>
    <t>systémem měřní a regulace vč. prokabelování s externím ovladačem</t>
  </si>
  <si>
    <t>Vnitřní provedení, dvojitý sandwichový panel tl. 45mm plněný minerální vatou</t>
  </si>
  <si>
    <t xml:space="preserve">Panely z lakovaného ocelového plechu s vysokou odolností proti korozi. </t>
  </si>
  <si>
    <t xml:space="preserve">Složení: </t>
  </si>
  <si>
    <t>- přívod: pružná manžeta, klapka, přívodní filtr F7, přívodní část deskového</t>
  </si>
  <si>
    <t xml:space="preserve">            výměníku s obtokovou klapkou, elektrický ohřívač,</t>
  </si>
  <si>
    <t xml:space="preserve">            přívodní ventilátor s EC motorem, pružná manžeta</t>
  </si>
  <si>
    <t>- odvod: pružná manžeta, klapka, filtr M5, odtahová část deskového výměníku</t>
  </si>
  <si>
    <t xml:space="preserve">            odtahový ventilátor s EC motorem, pružná manžeta</t>
  </si>
  <si>
    <t>Výkonnové parametry jsou uvedeny v tabulce výkonů.</t>
  </si>
  <si>
    <t>vč. příslušenství - upínací manžety 4ks, sifon 1ks a ovladač pro umístění</t>
  </si>
  <si>
    <t xml:space="preserve">      v prostoru kavárny vč. 20m kabelu, rozvaděč na zdi strojovny</t>
  </si>
  <si>
    <t>Splňuje požadavky nař.EU č.1253/2014 (Ecodesing 2018) v plném rozsahu.</t>
  </si>
  <si>
    <t>STARTPACK - zprovoznění jednotky odbornou firmou</t>
  </si>
  <si>
    <t>24051-1320</t>
  </si>
  <si>
    <t xml:space="preserve">Montáž vzduchotechnické jednotky </t>
  </si>
  <si>
    <t>Umístění ve strojovně vzduchotechniky (výkres "Půdorysu krovu*)</t>
  </si>
  <si>
    <t>1.02a</t>
  </si>
  <si>
    <t>Prostorové čidlo pro sledování kvality vzduchu a řízení výkonu větracích systémů</t>
  </si>
  <si>
    <t>Bude napájeno pomocí 230V a prokabelováno 0-10V pro plynulé řízení</t>
  </si>
  <si>
    <t>VZT jednotky - napájení a prokabelování se sumátorem zajistí profese elektro</t>
  </si>
  <si>
    <t xml:space="preserve">Montáž čidla kvality vzduchu </t>
  </si>
  <si>
    <t>Umístění na stěně v prostoru kavárny a infocentra  (výkresy "Půdorysu 1.NP*)</t>
  </si>
  <si>
    <t>1.02b</t>
  </si>
  <si>
    <t>Sumátor k zapojení více čidel kvality vzduchu do společné VZT</t>
  </si>
  <si>
    <t xml:space="preserve">Komunikační kabel z čidel kvality vzduchu do sumátoru a ze sumátoru do </t>
  </si>
  <si>
    <t>rozvaděče VZT jednotky - prokabelování zajistí profese elektro</t>
  </si>
  <si>
    <t>Montáž sumátoru</t>
  </si>
  <si>
    <t>Umístění na stěně v prostoru strojovny VZT (výkresy "Půdorys krovu*)</t>
  </si>
  <si>
    <t>1.02c</t>
  </si>
  <si>
    <t>Kouřové čidlo do VZT potrubí vč. transformátoru 12/15W</t>
  </si>
  <si>
    <t>Montáž čidla</t>
  </si>
  <si>
    <t>Umístění v potrubí nasávání</t>
  </si>
  <si>
    <t>1.03</t>
  </si>
  <si>
    <t>Požární klapka EI 30 400x400, se servopohonem 24V</t>
  </si>
  <si>
    <t>1.04</t>
  </si>
  <si>
    <t>Požární klapka EI 30 500x200, se servopohonem 24V</t>
  </si>
  <si>
    <t>24071-5118</t>
  </si>
  <si>
    <t xml:space="preserve">Montáž požární klapky </t>
  </si>
  <si>
    <t>Umístění ve strojovně VZT (výkresy "Půdorys krovu*)</t>
  </si>
  <si>
    <t>1.05</t>
  </si>
  <si>
    <t>Tlumič hluku buňkový 400x500x1000 s buňkami 200x500x1000 (2ks)</t>
  </si>
  <si>
    <t>24076-1118</t>
  </si>
  <si>
    <t>Montáž tlumiče hluku</t>
  </si>
  <si>
    <t>Umístění v potrubí před a za jednotkou (výkresy "Půdorys krovu*)</t>
  </si>
  <si>
    <t>1.06</t>
  </si>
  <si>
    <t>Multidýza s nastavitelnými mikrodýzami pro kruh. potrubí 500x150, v barvě RAL 9005</t>
  </si>
  <si>
    <t>24074-2113</t>
  </si>
  <si>
    <t>Montáž multidýzy</t>
  </si>
  <si>
    <t>Umístění v potrubí pod stropem (výkresy "Půdorysu 1.NP*)</t>
  </si>
  <si>
    <t>1.07</t>
  </si>
  <si>
    <t>Velkoplošná vyúsť 900x1500x300/2x250 pro nástěnnou instalaci</t>
  </si>
  <si>
    <t>1.08</t>
  </si>
  <si>
    <t>Velkoplošná vyúsť 900x1200x300/2x250 pro nástěnnou instalaci</t>
  </si>
  <si>
    <t>Montáž vyústě</t>
  </si>
  <si>
    <t>Umístění ve stěně v prostoru kavárny (výkresy "Půdorysu 1.NP*)</t>
  </si>
  <si>
    <t>1.09</t>
  </si>
  <si>
    <t>Ventilační potrubí s mikrodýzami 250/300°/1000 s mřížkou z tahokovu</t>
  </si>
  <si>
    <t>Ventilační potrubí slepé 250/400</t>
  </si>
  <si>
    <t>Umístění pod stropem v prostoru kavárny (výkresy "Půdorysu 1.NP*)</t>
  </si>
  <si>
    <t>Vyústka odvodní pro čtyřhranné potrubí 600x200 s regulací R1</t>
  </si>
  <si>
    <t>Montáž vyústky</t>
  </si>
  <si>
    <t>Potrubí Spiro pr. 200, 30% tvarovek</t>
  </si>
  <si>
    <t>Potrubí Spiro pr. 250</t>
  </si>
  <si>
    <t>Potrubí Spiro pr. 355, 50% tvarovek</t>
  </si>
  <si>
    <t>Potrubí Spiro pr. 400, 30% tvarovek</t>
  </si>
  <si>
    <t>24084-1116</t>
  </si>
  <si>
    <t>Montáž Spira potrubí</t>
  </si>
  <si>
    <t>Rozvody potrubí (výkresy "Půdorysy 2.NP*)</t>
  </si>
  <si>
    <t>Čtyřhranné potrubí sk. I, pozink, do obvodu 1050, 30% tvarovek</t>
  </si>
  <si>
    <r>
      <t>m</t>
    </r>
    <r>
      <rPr>
        <vertAlign val="superscript"/>
        <sz val="10"/>
        <rFont val="Arial CE"/>
        <family val="2"/>
        <charset val="238"/>
      </rPr>
      <t>2</t>
    </r>
  </si>
  <si>
    <t>Čtyřhranné potrubí sk. I, pozink, do obvodu 1500, 30% tvarovek</t>
  </si>
  <si>
    <t>Čtyřhranné potrubí sk. I, pozink, do obvodu 1890, 50% tvarovek</t>
  </si>
  <si>
    <t>Čtyřhranné potrubí sk. I, pozink, do obvodu 2630</t>
  </si>
  <si>
    <t>24082-1317</t>
  </si>
  <si>
    <t>Montáž čtyřhranného potrubí</t>
  </si>
  <si>
    <t>Rozvody potrubí (výkresy "Půdorysy 2.NP, krovu, řezy*)</t>
  </si>
  <si>
    <t xml:space="preserve">Tepelná izolace vnitřní, minerální, tl. 40mm, Al folie </t>
  </si>
  <si>
    <r>
      <t>m</t>
    </r>
    <r>
      <rPr>
        <vertAlign val="superscript"/>
        <sz val="10"/>
        <rFont val="Arial"/>
        <family val="2"/>
        <charset val="238"/>
      </rPr>
      <t>2</t>
    </r>
  </si>
  <si>
    <t>Montáž tepelné izolace</t>
  </si>
  <si>
    <t>Rozvody potrubí ve strojovně VZT (výkresy "Půdorys krovu*)</t>
  </si>
  <si>
    <t>Požární izolace EI30</t>
  </si>
  <si>
    <t>Montáž požární izolace</t>
  </si>
  <si>
    <t>Zařízení 2 větrání zázemí kavárny</t>
  </si>
  <si>
    <t>2.01</t>
  </si>
  <si>
    <t>Malá kompaktní větrací jednotka s rekuperací tepla s vysokou účinností a</t>
  </si>
  <si>
    <t xml:space="preserve">nízkou spotřebou pro montáž na stěnu s hrdly na vrchu jednotky. </t>
  </si>
  <si>
    <t>Protimrazová ochrana, pružné manžety</t>
  </si>
  <si>
    <t>Vnitřní provedení, EPP skříň, protiproudý deskový výměnjík z polypropylenu</t>
  </si>
  <si>
    <t>vč. příslušenství - upínací manžety 4ks, sifon 1ks</t>
  </si>
  <si>
    <t>Umístění ve skladu (výkres "Půdorysu 1.NP*)</t>
  </si>
  <si>
    <t>2.02a</t>
  </si>
  <si>
    <t>2.02b</t>
  </si>
  <si>
    <t>2.03</t>
  </si>
  <si>
    <t>Protidešťová žaluzie 200x200/pr. 160 se sítem, RAL dle výběru architekta</t>
  </si>
  <si>
    <t>Montáž žaluzie</t>
  </si>
  <si>
    <t>Umístění na fasádě (výkresy "Půdorysu 1.NP*)</t>
  </si>
  <si>
    <t>2.04</t>
  </si>
  <si>
    <t>Tlumič hluku kruhový pr. 160/ dl. 600 mm</t>
  </si>
  <si>
    <t>2.05</t>
  </si>
  <si>
    <t>Plastový talířový ventil univerzální pr. 100, vč. montážního rámečku</t>
  </si>
  <si>
    <t>2.06</t>
  </si>
  <si>
    <t>Plastový talířový ventil univerzální pr. 125, vč. montážního rámečku</t>
  </si>
  <si>
    <t>Montáž ventilu</t>
  </si>
  <si>
    <t>2.07</t>
  </si>
  <si>
    <t>Stěnová mřížka 400x200, lamely 12,5</t>
  </si>
  <si>
    <t>Montáž mřížky</t>
  </si>
  <si>
    <t>Umístění ve zdi (výkresy "Půdorysu 1.NP*)</t>
  </si>
  <si>
    <t>Potrubí Spiro pr. 125, 20% tvarovek</t>
  </si>
  <si>
    <t>Potrubí Spiro pr. 160, 30% tvarovek</t>
  </si>
  <si>
    <t>Potrubí Spiro pr. 225, 100% tvarovek</t>
  </si>
  <si>
    <t>Tepelná izolace vnitřní, kaučuková, tl. 20mm, samolep</t>
  </si>
  <si>
    <t>Rozvody potrubí  (výkresy "Půdorys 1.NP*)</t>
  </si>
  <si>
    <t>Zařízení 3 větrání prodejny - příprava</t>
  </si>
  <si>
    <t>3.01</t>
  </si>
  <si>
    <t>= dodávka nájemce =</t>
  </si>
  <si>
    <t>3.02a</t>
  </si>
  <si>
    <t>3.02c</t>
  </si>
  <si>
    <t>3.03</t>
  </si>
  <si>
    <t>Protidešťová žaluzie 250x250/pr. 200 se sítem, RAL dle výběru architekta</t>
  </si>
  <si>
    <t>3.04</t>
  </si>
  <si>
    <t>Tlumič hluku kruhový pr. 150/ dl. 600 mm</t>
  </si>
  <si>
    <t>Umístění ve zdi nad dveřmi (výkresy "Půdorysu 1.NP*)</t>
  </si>
  <si>
    <t>3.05</t>
  </si>
  <si>
    <t>Textilní vyúsť kruhová pr. 160/dl. 5000 mm</t>
  </si>
  <si>
    <t>Umístění pod stropem v prostoru prodejny (výkresy "Půdorysu 1.NP*)</t>
  </si>
  <si>
    <t>3.06</t>
  </si>
  <si>
    <t>Vyústka odvodní pro čtyřhranné potrubí 500x200 s regulací R1</t>
  </si>
  <si>
    <t>Ohebná akusticky izolovaná hadice pr. 254</t>
  </si>
  <si>
    <t xml:space="preserve">Ohebná Al laminátová hadice s tepelnou a hlukovou izolací z vrstvy minerální vaty tloušťky 25 mm, 16 kg/m3, parozábrana – zpevněný Al laminát. Vnitřní hadice je perforovaná jako tlumič hluku. </t>
  </si>
  <si>
    <t>24087-1113</t>
  </si>
  <si>
    <t>Montáž ohebné hadice</t>
  </si>
  <si>
    <t>Rozvod potrubí (půdorys 1.NP)</t>
  </si>
  <si>
    <t>Potrubí Spiro pr. 160, 10% tvarovek</t>
  </si>
  <si>
    <t>Potrubí Spiro pr. 200, 20% tvarovek</t>
  </si>
  <si>
    <t>Potrubí Spiro pr. 280, 100% tvarovek</t>
  </si>
  <si>
    <t>Čtyřhranné potrubí sk. I, pozink, do obvodu 1500, 80% tvarovek</t>
  </si>
  <si>
    <t>Zařízení 4 větrání víceúčelového sálu</t>
  </si>
  <si>
    <t>Čtyřhranné potrubí sk. I, pozink, do obvodu 1050, 50% tvarovek</t>
  </si>
  <si>
    <t>Čtyřhranné potrubí sk. I, pozink, do obvodu 1500, 60% tvarovek</t>
  </si>
  <si>
    <t>Zařízení 5 - sociálky muži 1.np</t>
  </si>
  <si>
    <t>5.01</t>
  </si>
  <si>
    <r>
      <t>Diagonální ventilátor do kruhového potrubí pr. 160 (250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130 Pa)</t>
    </r>
  </si>
  <si>
    <t xml:space="preserve">Skříň  i oběžné kolo ventilátoru z plastu. Střídavý motor s  dvojím vinutím s tepelnou pojistkou. Krytí IP44. 
Bude dodáno vč.zpětné klapky pr. 160 a pružných manžet 2ks. </t>
  </si>
  <si>
    <t>24013-2110</t>
  </si>
  <si>
    <t>Montáž ventilátoru</t>
  </si>
  <si>
    <t>Umístění v podhledu (půdorys 1.NP)</t>
  </si>
  <si>
    <t>5.02</t>
  </si>
  <si>
    <t>5.03</t>
  </si>
  <si>
    <t>5.04</t>
  </si>
  <si>
    <t>Umístění v podhledu (výkresy "Půdorysu 1.NP*)</t>
  </si>
  <si>
    <t>Ohebná akusticky izolovaná hadice pr. 102</t>
  </si>
  <si>
    <t>Ohebná akusticky izolovaná hadice pr. 127</t>
  </si>
  <si>
    <t>Potrubí Spiro pr. 100, 20% tvarovek</t>
  </si>
  <si>
    <t>Potrubí Spiro pr. 125, 50% tvarovek</t>
  </si>
  <si>
    <t>Zařízení 6 - sociálky ženy 1.np</t>
  </si>
  <si>
    <t>6.01</t>
  </si>
  <si>
    <t>6.02</t>
  </si>
  <si>
    <t>6.03</t>
  </si>
  <si>
    <t>Potrubí Spiro pr. 125, 30% tvarovek</t>
  </si>
  <si>
    <t>Potrubí Spiro pr. 160, 20% tvarovek</t>
  </si>
  <si>
    <t>Zařízení 7 - sociálky muži 1.np</t>
  </si>
  <si>
    <t>7.01</t>
  </si>
  <si>
    <r>
      <t>Diagonální ventilátor do kruhového potrubí pr. 160 (300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110 Pa)</t>
    </r>
  </si>
  <si>
    <t>7.02</t>
  </si>
  <si>
    <t>7.03</t>
  </si>
  <si>
    <t>7.04</t>
  </si>
  <si>
    <t>Zařízení 8 - sociálky kanceláře 2.np</t>
  </si>
  <si>
    <t>8.01</t>
  </si>
  <si>
    <r>
      <t>Malý axiální ventilátor pr. 150 (100 m</t>
    </r>
    <r>
      <rPr>
        <vertAlign val="superscript"/>
        <sz val="10"/>
        <rFont val="Arial"/>
        <family val="2"/>
        <charset val="238"/>
      </rPr>
      <t>3</t>
    </r>
    <r>
      <rPr>
        <sz val="10"/>
        <rFont val="Arial"/>
        <family val="2"/>
        <charset val="238"/>
      </rPr>
      <t>/h, 30 Pa)</t>
    </r>
  </si>
  <si>
    <t xml:space="preserve">Skříň  s nárazuvzdorného plastu ABS, k montáži na stěnu s vestavěnou zpětnou klapkou. Vestavěná čidla pohybu a vlhkosti. </t>
  </si>
  <si>
    <t>Umístění ve zdi (půdorys 2.NP)</t>
  </si>
  <si>
    <t>8.02</t>
  </si>
  <si>
    <t>Venkovní mřížka pr. 150, RAL dle výběru architekta</t>
  </si>
  <si>
    <t>Umístění na fasádě (výkresy "Půdorysu 2.NP*)</t>
  </si>
  <si>
    <t>Potrubí Spiro pr. 150</t>
  </si>
  <si>
    <t>Rozvod potrubí (půdorys 2.NP)</t>
  </si>
  <si>
    <t>Rozvody potrubí  (výkresy "Půdorys 2.NP*)</t>
  </si>
  <si>
    <t>Zařízení 9 - větrání úklidu 1.np</t>
  </si>
  <si>
    <t>9.01</t>
  </si>
  <si>
    <t>Umístění ve zdi (půdorys 1.NP)</t>
  </si>
  <si>
    <t>9.02</t>
  </si>
  <si>
    <t>Ostatní</t>
  </si>
  <si>
    <t>Montážní a spojovací materiál</t>
  </si>
  <si>
    <t xml:space="preserve">Doprava, výškové práce </t>
  </si>
  <si>
    <t>Nátěr potrubí (v kavárně i inforcentru) - 2x základ, 2x vrchní, RAL dle architekta</t>
  </si>
  <si>
    <t>Značení vzduchotechnického zařízení a potrubí dle platných ČSN</t>
  </si>
  <si>
    <t>Realizační dokumentace</t>
  </si>
  <si>
    <t>24</t>
  </si>
  <si>
    <t>Předávací dokumentace, zaškolení obsluhy</t>
  </si>
  <si>
    <t>18</t>
  </si>
  <si>
    <t>Zprovoznění, komplexní zkouška, zaregulování</t>
  </si>
  <si>
    <t>Celková cena (bez DPH)</t>
  </si>
  <si>
    <t>Kontrolní součty:</t>
  </si>
  <si>
    <t>veškeré výměry v rozpočtu vzduchotechniky jsou převzaty z výkresové části dokumentace</t>
  </si>
  <si>
    <t>zatřídění položek (kódy) bylo provedeno dle sborníku „24-M Vzduchotechnika, klimatizace, chlazení“ vydaného společností KONCES spol. s r.o., Brno</t>
  </si>
  <si>
    <t>nedílnou součástí tohoto výkazu výměr jsou výkresy a technická zpráva</t>
  </si>
  <si>
    <t>Zařízení zdroje – plynový kondenzační kotel:</t>
  </si>
  <si>
    <t>1.4.1</t>
  </si>
  <si>
    <t>1.4.2</t>
  </si>
  <si>
    <t>1.4.3</t>
  </si>
  <si>
    <t>1.4.4</t>
  </si>
  <si>
    <t>1.2.2</t>
  </si>
  <si>
    <t>1.2.3</t>
  </si>
  <si>
    <t>1.2.4</t>
  </si>
  <si>
    <t>1.2.5</t>
  </si>
  <si>
    <t>1.2.6</t>
  </si>
  <si>
    <t>Sada připojení topného okruhu HKA</t>
  </si>
  <si>
    <t>Příslušenství kotlů:</t>
  </si>
  <si>
    <t>Sada sifonu G-TA</t>
  </si>
  <si>
    <t>Expanzní nádoba kotle</t>
  </si>
  <si>
    <t>Plynový kohout 1/2“ (kotle 15-35kW)</t>
  </si>
  <si>
    <t>Zkratovací potrubí G-KS</t>
  </si>
  <si>
    <t>Neutralizace kondenzátu</t>
  </si>
  <si>
    <t>Logamatic RC 310 bílá</t>
  </si>
  <si>
    <t>Kaskádový modul MC400 (4 kotle)</t>
  </si>
  <si>
    <t>Modul MM 100, směšování</t>
  </si>
  <si>
    <t>Regulace:</t>
  </si>
  <si>
    <t>Odkouření:</t>
  </si>
  <si>
    <t>Trubka DN 80/125 mm, délka 1 m</t>
  </si>
  <si>
    <t>Revizní díl přímý, DN125/80</t>
  </si>
  <si>
    <t>Koleno 87st. DN125/80</t>
  </si>
  <si>
    <t>1.5.1</t>
  </si>
  <si>
    <t>1.5.2</t>
  </si>
  <si>
    <t>1.5.3</t>
  </si>
  <si>
    <t>Měření spotřeby tepla – okruh podlahového vytápění:</t>
  </si>
  <si>
    <t>Šroubení komplet Rp 1"</t>
  </si>
  <si>
    <t>Ponorná jímka závitová R 1/2", 50mm</t>
  </si>
  <si>
    <t>Ultrazvukový měřič spotřeby tepla utego III perfect, jmenovitý průtok 3,5 m3/hod, 5/4“, 135mm QI3,5</t>
  </si>
  <si>
    <t>Sada expanzního zařízení UT:</t>
  </si>
  <si>
    <t>Expanzní nádoba 50 litrů, 6 bar, bílá EN1</t>
  </si>
  <si>
    <t>Odlučovače vzduchu a kalů</t>
  </si>
  <si>
    <t>Odlučovač nečistot DN 25 XStream Clean G1"F</t>
  </si>
  <si>
    <t>Oběhová čerpadla s autoadaptivní funkcí</t>
  </si>
  <si>
    <t>Alpha 2 25-40, 1,0 m3/hod, 25 kPa, 230V, 22W OČ1</t>
  </si>
  <si>
    <t>5.2.1</t>
  </si>
  <si>
    <t>5.3</t>
  </si>
  <si>
    <t>5.3.1</t>
  </si>
  <si>
    <t>Oběhová čerpadla s elektronickou regulací otáček</t>
  </si>
  <si>
    <t>Magna1 25-40, 3,5 m3/hod, 25 kPa, 230V, 56W OČ1</t>
  </si>
  <si>
    <t>5.3.2</t>
  </si>
  <si>
    <t>Pojistný termostat 20-90oC</t>
  </si>
  <si>
    <t>6.1.1</t>
  </si>
  <si>
    <t>6.1.2</t>
  </si>
  <si>
    <t>Regulační ventily</t>
  </si>
  <si>
    <t>Trojcestné ventily</t>
  </si>
  <si>
    <t>Trojcestný ventil DN 32 VRG131 kvs=16</t>
  </si>
  <si>
    <t>Pohon tříbodový 230V typ ARA 661, 120s 6 Nm</t>
  </si>
  <si>
    <t>Hydraulické vyrovnávače dynamických tlaků</t>
  </si>
  <si>
    <t>Hydraulické vyrovnávače</t>
  </si>
  <si>
    <t>Hydraulický vyrovnávač tlaku kompletní, připojení 6/4“ HV1</t>
  </si>
  <si>
    <t>8.1.1</t>
  </si>
  <si>
    <t>8.1.2</t>
  </si>
  <si>
    <t>Kompaktní rozdělovače</t>
  </si>
  <si>
    <t>Kompaktní rozdělovače – sběrače, PN6, modul 120 RS1</t>
  </si>
  <si>
    <t>Upevňovací sada</t>
  </si>
  <si>
    <t>35x1,2 měď tvrdá R290</t>
  </si>
  <si>
    <t>42x1,2 měď tvrdá R290</t>
  </si>
  <si>
    <t>10.1.1</t>
  </si>
  <si>
    <t>10.1.2</t>
  </si>
  <si>
    <t>10.1.3</t>
  </si>
  <si>
    <t>10.1.4</t>
  </si>
  <si>
    <t>10.1.5</t>
  </si>
  <si>
    <t>22x15 PE návleky pouzdro</t>
  </si>
  <si>
    <t>28x15 PE návleky pouzdro</t>
  </si>
  <si>
    <t>35x15 PE návleky pouzdro</t>
  </si>
  <si>
    <t>10.1.6</t>
  </si>
  <si>
    <t>10.1.7</t>
  </si>
  <si>
    <t>Spony pro upevnění izolace (100ks) plast</t>
  </si>
  <si>
    <t>Páska PVC 38mm samolepící</t>
  </si>
  <si>
    <t>15x20 min.vlna s hliníkovou folií vinuté pouzdro</t>
  </si>
  <si>
    <t>35x20 min.vlna s hliníkovou folií vinuté pouzdro</t>
  </si>
  <si>
    <t>10.2.1</t>
  </si>
  <si>
    <t>10.2.2</t>
  </si>
  <si>
    <t>10.2.3</t>
  </si>
  <si>
    <t>10.2.4</t>
  </si>
  <si>
    <t>10.2.5</t>
  </si>
  <si>
    <t>11.3</t>
  </si>
  <si>
    <t>11.4</t>
  </si>
  <si>
    <t>11.5</t>
  </si>
  <si>
    <t>Objímka (pro 15x1) kovová 14-16</t>
  </si>
  <si>
    <t>Objímka (pro 35x1,2) kovová 31-38</t>
  </si>
  <si>
    <t>Objímka (pro 42x1,2) kovová 40-46</t>
  </si>
  <si>
    <t>Objímka dvojitá plast 2x15</t>
  </si>
  <si>
    <t>Objímka dvojitá plast 2x18</t>
  </si>
  <si>
    <t>Objímka jednoduchá plast 22</t>
  </si>
  <si>
    <t>11.6</t>
  </si>
  <si>
    <t>11.7</t>
  </si>
  <si>
    <t>11.8</t>
  </si>
  <si>
    <t>11.9</t>
  </si>
  <si>
    <t>11.10</t>
  </si>
  <si>
    <t>11.11</t>
  </si>
  <si>
    <t>12.9</t>
  </si>
  <si>
    <t>12.10</t>
  </si>
  <si>
    <t>12.11</t>
  </si>
  <si>
    <t>12.12</t>
  </si>
  <si>
    <t>12.13</t>
  </si>
  <si>
    <t>12.14</t>
  </si>
  <si>
    <t>12.15</t>
  </si>
  <si>
    <t>12.16</t>
  </si>
  <si>
    <t>12.17</t>
  </si>
  <si>
    <t>12.18</t>
  </si>
  <si>
    <t>12.19</t>
  </si>
  <si>
    <t>12.20</t>
  </si>
  <si>
    <t>12.21</t>
  </si>
  <si>
    <t>12.22</t>
  </si>
  <si>
    <t>12.23</t>
  </si>
  <si>
    <t>12.24</t>
  </si>
  <si>
    <t>12.25</t>
  </si>
  <si>
    <t>12.26</t>
  </si>
  <si>
    <t>12.27</t>
  </si>
  <si>
    <t>12.28</t>
  </si>
  <si>
    <t>12.29</t>
  </si>
  <si>
    <t>12.30</t>
  </si>
  <si>
    <t>12.31</t>
  </si>
  <si>
    <t>12.32</t>
  </si>
  <si>
    <t>Rozdělovače topných nákladů</t>
  </si>
  <si>
    <t>doprimo 3, spodní díl</t>
  </si>
  <si>
    <t>doprimo 3 raio, kompakt vrchní díl včetně plomby typ s radiovým odečtem</t>
  </si>
  <si>
    <t>Montážní materiál</t>
  </si>
  <si>
    <t>13.2</t>
  </si>
  <si>
    <t>13.3</t>
  </si>
  <si>
    <t>Termostatická hlavice M30x1,5 B</t>
  </si>
  <si>
    <t>Vypouštěcí přípravek G3/4</t>
  </si>
  <si>
    <t>14.1.1</t>
  </si>
  <si>
    <t>14.2</t>
  </si>
  <si>
    <t>14.2.1</t>
  </si>
  <si>
    <t>Napojení těles (VK na Cu, přímé)</t>
  </si>
  <si>
    <t>Vekolux šroubení vypouštěcí rohové Rp1/2</t>
  </si>
  <si>
    <t>14.3</t>
  </si>
  <si>
    <t>14.3.1</t>
  </si>
  <si>
    <t>14.3.2</t>
  </si>
  <si>
    <t>14.1.2</t>
  </si>
  <si>
    <t>14.1.3</t>
  </si>
  <si>
    <t>14.1.4</t>
  </si>
  <si>
    <t>14.1.5</t>
  </si>
  <si>
    <t>14.1.6</t>
  </si>
  <si>
    <t>14.2.2</t>
  </si>
  <si>
    <t>14.2.3</t>
  </si>
  <si>
    <t>14.2.4</t>
  </si>
  <si>
    <t>14.2.5</t>
  </si>
  <si>
    <t>15</t>
  </si>
  <si>
    <t>15.1</t>
  </si>
  <si>
    <t>Kulový kohout páčka DN 40 R910</t>
  </si>
  <si>
    <t>15.2</t>
  </si>
  <si>
    <t>15.3</t>
  </si>
  <si>
    <t>15.4</t>
  </si>
  <si>
    <t>15.5</t>
  </si>
  <si>
    <t>15.6</t>
  </si>
  <si>
    <t>15.7</t>
  </si>
  <si>
    <t>15.8</t>
  </si>
  <si>
    <t>Zpětný ventil s pružinou DN 25 R60</t>
  </si>
  <si>
    <t>Zpětný ventil s pružinou DN 40 R60</t>
  </si>
  <si>
    <t>Ruční odvzdušňovač DN 15 R90</t>
  </si>
  <si>
    <t>Napouštěcí automatický ventil, manom DN 15 R150M</t>
  </si>
  <si>
    <t>Teploměr axiální s jímkou 0-120oC D63, L50, 1/2“</t>
  </si>
  <si>
    <t>Šroubení topenářské přímé DN 40 SP603</t>
  </si>
  <si>
    <t>16</t>
  </si>
  <si>
    <t>16.1</t>
  </si>
  <si>
    <t>16.2</t>
  </si>
  <si>
    <t>18.1</t>
  </si>
  <si>
    <t>Tvarovky pro potrubí 35x1,2</t>
  </si>
  <si>
    <t>Tvarovky pro potrubí 42x1,2</t>
  </si>
  <si>
    <t>Podlahová část vytápění</t>
  </si>
  <si>
    <t>17</t>
  </si>
  <si>
    <t>17.1</t>
  </si>
  <si>
    <t>17.1.1</t>
  </si>
  <si>
    <t>17.2</t>
  </si>
  <si>
    <t>17.2.1</t>
  </si>
  <si>
    <t>Hadice, dilatace</t>
  </si>
  <si>
    <t>Hadice 17x2 PEXa</t>
  </si>
  <si>
    <t>Ochranná trubka v roli PE 24/19 mm</t>
  </si>
  <si>
    <t>Profilovaná dilatační páska v roli 150/8 mm</t>
  </si>
  <si>
    <t>17.1.2</t>
  </si>
  <si>
    <t>17.1.3</t>
  </si>
  <si>
    <t>Systémové desky, izolace</t>
  </si>
  <si>
    <t>17.3</t>
  </si>
  <si>
    <t>17.3.1</t>
  </si>
  <si>
    <t>Plastifikátor do betonu (10kg/25m2) 10l PL10</t>
  </si>
  <si>
    <t>17.4</t>
  </si>
  <si>
    <t>17.4.1</t>
  </si>
  <si>
    <t>17.4.2</t>
  </si>
  <si>
    <t>17.4.3</t>
  </si>
  <si>
    <t>Sestava nerezového rozdělovače a sběrače s průtokoměr, 8 cestný R HKV-D 8</t>
  </si>
  <si>
    <t>Skříň na omítku, 6-8 okruhů R AP 805</t>
  </si>
  <si>
    <t>Svěrné šroubení pro PEX 17x2</t>
  </si>
  <si>
    <t>17.5</t>
  </si>
  <si>
    <t>17.5.1</t>
  </si>
  <si>
    <t>17.5.2</t>
  </si>
  <si>
    <t>17.5.3</t>
  </si>
  <si>
    <t>Termostaty bez časového programu pro vytápění, prostorový termostat 230 V (CYKY 5Cx1,5mm2) Nea H 230 V</t>
  </si>
  <si>
    <t>Rozvaděč Nea H 230 V bez regulace čerpadla max. 6xTS, 15xpohon</t>
  </si>
  <si>
    <t>Termopohon 230 V UNI 230 V</t>
  </si>
  <si>
    <t>Rozvaděče</t>
  </si>
  <si>
    <t>rozvaděč ELMĚR</t>
  </si>
  <si>
    <t>zapuštěná rozvodnice OCEP, 920/1650/250, IP54</t>
  </si>
  <si>
    <t>elektroměr, přímé měření, 3f/80A (dodávka ČEZ Distribuce)</t>
  </si>
  <si>
    <t>přijímač HDO (dodávka ČEZ Distribuce)</t>
  </si>
  <si>
    <t>jistič 6A/1f/B, 10kA</t>
  </si>
  <si>
    <t>jistič 20A/3f/B, 10kA</t>
  </si>
  <si>
    <t>jistič 70A/3f/B, 10kA s podpěťovou spouští</t>
  </si>
  <si>
    <t>podpěťová spoušť</t>
  </si>
  <si>
    <t>tlačítko na DIN lištu 1Z+1V</t>
  </si>
  <si>
    <t>zapuštěná rozvodnice PLASTOVÝ, IP41,54mod.</t>
  </si>
  <si>
    <t xml:space="preserve">vypínač 3f/63A </t>
  </si>
  <si>
    <t>přepěťová ochrana I a II typu, SPC 12,5/3+1 (Hakel)</t>
  </si>
  <si>
    <t>pojistkový odpojovač OPV 14/4</t>
  </si>
  <si>
    <t>pojistka válcová PV 14, 63A/gG</t>
  </si>
  <si>
    <t>jistič 6A/1f /B</t>
  </si>
  <si>
    <t>jistič 16A/1f/B</t>
  </si>
  <si>
    <t>jistič + proudový chránič 6A/B/1f+N /30mA</t>
  </si>
  <si>
    <t>jistič + proudový chránič 10A/B/1f+N /30mA</t>
  </si>
  <si>
    <t>jistič + proudový chránič 16A/B/1f+N /30mA</t>
  </si>
  <si>
    <t xml:space="preserve">jistič 16A/3f </t>
  </si>
  <si>
    <t>Stykač 1f+N/25A</t>
  </si>
  <si>
    <t>Stykač 3f/25A</t>
  </si>
  <si>
    <t xml:space="preserve">propojovací lišta </t>
  </si>
  <si>
    <t>rozvaděč HR - P (prodejna)</t>
  </si>
  <si>
    <t>rozvaděč HR - K (kavárna)</t>
  </si>
  <si>
    <t>rozvaděč HR - A (administrativa)</t>
  </si>
  <si>
    <t>rozvaděč 2R1</t>
  </si>
  <si>
    <t>rozvaděč R-SLAB</t>
  </si>
  <si>
    <t>jistič 16A/3f/B</t>
  </si>
  <si>
    <t>jistič 63A/3f/B</t>
  </si>
  <si>
    <t>proudový chránič 25A/3f /30mA</t>
  </si>
  <si>
    <t>zapuštěná rozvodnice PLASTOVÝ, IP31,144mod.</t>
  </si>
  <si>
    <t xml:space="preserve">jistič 6A/1f </t>
  </si>
  <si>
    <t xml:space="preserve">jistič 10A/1f </t>
  </si>
  <si>
    <t xml:space="preserve">jistič 16A/1f </t>
  </si>
  <si>
    <t>jistič 6A/3f/B</t>
  </si>
  <si>
    <t>jistič 10A/3f/B</t>
  </si>
  <si>
    <t xml:space="preserve">jistič 16A/3f/B </t>
  </si>
  <si>
    <t>jistič 16A/3f/C</t>
  </si>
  <si>
    <t>rozvaděč R-DAT1</t>
  </si>
  <si>
    <t>rozvaděč R-DAT2</t>
  </si>
  <si>
    <t>Nástěná rozvodnice OCEP. 600x600x150, IP65</t>
  </si>
  <si>
    <t xml:space="preserve">vypínač 1f/25A </t>
  </si>
  <si>
    <t>Vybavení aktivními prvkami dle dodavatele internetu a jeho cenové nabídky</t>
  </si>
  <si>
    <t>19" RACK skříň 27U</t>
  </si>
  <si>
    <t>zásuvka na DIN lištu</t>
  </si>
  <si>
    <t>DIN lišta</t>
  </si>
  <si>
    <t>Vybavení aktivními prvkami dle dodavatele STA a jeho cenové nabídky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</si>
  <si>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</si>
  <si>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</si>
  <si>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</si>
  <si>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</si>
  <si>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</si>
  <si>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</si>
  <si>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</si>
  <si>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</si>
  <si>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</si>
  <si>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</si>
  <si>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</si>
  <si>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</si>
  <si>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2.20</t>
  </si>
  <si>
    <t>2.21</t>
  </si>
  <si>
    <t>2.22</t>
  </si>
  <si>
    <t>2.23</t>
  </si>
  <si>
    <t>2.24</t>
  </si>
  <si>
    <t>2.25</t>
  </si>
  <si>
    <t>2.26</t>
  </si>
  <si>
    <t>2.27</t>
  </si>
  <si>
    <t>2.28</t>
  </si>
  <si>
    <t>2.29</t>
  </si>
  <si>
    <t>2.30</t>
  </si>
  <si>
    <t>2.31</t>
  </si>
  <si>
    <t>2.32</t>
  </si>
  <si>
    <t>2.33</t>
  </si>
  <si>
    <t>2.34</t>
  </si>
  <si>
    <t>2.35</t>
  </si>
  <si>
    <t>2.36</t>
  </si>
  <si>
    <t>2.37</t>
  </si>
  <si>
    <t>2.38</t>
  </si>
  <si>
    <t>2.39</t>
  </si>
  <si>
    <t>2.40</t>
  </si>
  <si>
    <t>2.41</t>
  </si>
  <si>
    <t>2.42</t>
  </si>
  <si>
    <t>2.43</t>
  </si>
  <si>
    <t>2.44</t>
  </si>
  <si>
    <t>2.45</t>
  </si>
  <si>
    <t>2.46</t>
  </si>
  <si>
    <t>2.47</t>
  </si>
  <si>
    <t>2.48</t>
  </si>
  <si>
    <t>2.49</t>
  </si>
  <si>
    <t>2.50</t>
  </si>
  <si>
    <t>2.51</t>
  </si>
  <si>
    <t>2.52</t>
  </si>
  <si>
    <t>2.53</t>
  </si>
  <si>
    <t>2.54</t>
  </si>
  <si>
    <t>2.55</t>
  </si>
  <si>
    <t>ABB Tango, (vypínač), komplet</t>
  </si>
  <si>
    <t>ABB Tango, (střídavý), komplet</t>
  </si>
  <si>
    <t>ABB Tango, řazení 1/0So (tlačítko se signálkou), komplet, na chodby</t>
  </si>
  <si>
    <t>ABB Tango, (tlačítko se signálkou), komplet, IP45</t>
  </si>
  <si>
    <t>Tlačítko pod sklem (TOTAL STOP)</t>
  </si>
  <si>
    <t xml:space="preserve">Vnitřní infraspínač, komplet </t>
  </si>
  <si>
    <t xml:space="preserve">zásuvka </t>
  </si>
  <si>
    <t xml:space="preserve">dvojzásuvka </t>
  </si>
  <si>
    <t>dvojzásuvka s přepěťovou ochranou</t>
  </si>
  <si>
    <t>zásuvka ABB 230V/16A,IP43</t>
  </si>
  <si>
    <t>zásuvka ABB 400V/16A,IP43</t>
  </si>
  <si>
    <t>ABB datová dvojzásuvka</t>
  </si>
  <si>
    <t>ABB televizní zásuvka + SAT zásuvka</t>
  </si>
  <si>
    <t>Dvojrámeček ABB Tango</t>
  </si>
  <si>
    <t>Trojrámeček ABB Tango</t>
  </si>
  <si>
    <t>Čtyřrámeček ABB Tango</t>
  </si>
  <si>
    <t>Pětirámeček ABB Tango</t>
  </si>
  <si>
    <t>výkonový vypímač IP45</t>
  </si>
  <si>
    <t>Zvonek</t>
  </si>
  <si>
    <t>krabice přístrojová pod omítku KP</t>
  </si>
  <si>
    <t>krabice rozvodná pod omítku KR</t>
  </si>
  <si>
    <t>svorkovnice doplň.pospojení EROCOMM obj.č.1242</t>
  </si>
  <si>
    <t>svorkovnice doplň.pospojení EROCOMM obj.č.1243</t>
  </si>
  <si>
    <t>chránička pvc pr.16mm</t>
  </si>
  <si>
    <t>chránička pvc pr.50mm</t>
  </si>
  <si>
    <t>chránička KOPOFLEX KF09040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</si>
  <si>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</si>
  <si>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</si>
  <si>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</si>
  <si>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</si>
  <si>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</si>
  <si>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</si>
  <si>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</si>
  <si>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</si>
  <si>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</si>
  <si>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</si>
  <si>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</si>
  <si>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3.18</t>
  </si>
  <si>
    <t>3.19</t>
  </si>
  <si>
    <t>3.20</t>
  </si>
  <si>
    <t>3.21</t>
  </si>
  <si>
    <t>3.22</t>
  </si>
  <si>
    <t>3.23</t>
  </si>
  <si>
    <t>3.24</t>
  </si>
  <si>
    <t>3.25</t>
  </si>
  <si>
    <t>3.26</t>
  </si>
  <si>
    <t>Kabely, vodiče</t>
  </si>
  <si>
    <t>CYKY 3J 1,5</t>
  </si>
  <si>
    <t>CYKY 3O 1,5</t>
  </si>
  <si>
    <t>CYKY 4J 1,5</t>
  </si>
  <si>
    <t>CYKY 5J 1,5</t>
  </si>
  <si>
    <t>CYKY 3J 2,5</t>
  </si>
  <si>
    <t>CYKY 5J 2,5</t>
  </si>
  <si>
    <t>CYKY 5J 6</t>
  </si>
  <si>
    <t>CYKY 5J 10</t>
  </si>
  <si>
    <t>PRAFlaDur® 3x1,5</t>
  </si>
  <si>
    <t>VCEOD 75-5,6</t>
  </si>
  <si>
    <t>UTP cat.6</t>
  </si>
  <si>
    <t>AY 2,5 - protahovací drát</t>
  </si>
  <si>
    <t xml:space="preserve">CYA 6 </t>
  </si>
  <si>
    <t xml:space="preserve">CYA 16 </t>
  </si>
  <si>
    <t>4.11</t>
  </si>
  <si>
    <t>4.12</t>
  </si>
  <si>
    <t>4.13</t>
  </si>
  <si>
    <t>4.14</t>
  </si>
  <si>
    <t>4.15</t>
  </si>
  <si>
    <t>Základový zemnič</t>
  </si>
  <si>
    <t>FeZn pr.8mm</t>
  </si>
  <si>
    <t>JV 2,0</t>
  </si>
  <si>
    <t>OSD</t>
  </si>
  <si>
    <t>SJ1b</t>
  </si>
  <si>
    <t xml:space="preserve">PV </t>
  </si>
  <si>
    <t xml:space="preserve">SZ </t>
  </si>
  <si>
    <t>PV 01</t>
  </si>
  <si>
    <t>SO</t>
  </si>
  <si>
    <t>SK</t>
  </si>
  <si>
    <t>SS</t>
  </si>
  <si>
    <t>SP</t>
  </si>
  <si>
    <t>Ochranný trojúhelník</t>
  </si>
  <si>
    <t>Pásek FeZn 30x4</t>
  </si>
  <si>
    <t>FeZn pr.10mm</t>
  </si>
  <si>
    <t>SR 02</t>
  </si>
  <si>
    <t>SR 03</t>
  </si>
  <si>
    <t>zinkový sprej</t>
  </si>
  <si>
    <t>gumoasfalt 10kg/bal</t>
  </si>
  <si>
    <t>Doprava a přesuny</t>
  </si>
  <si>
    <t>Zemní práce pro elektro</t>
  </si>
  <si>
    <t>EZS</t>
  </si>
  <si>
    <t>CCTV</t>
  </si>
  <si>
    <t>6.4</t>
  </si>
  <si>
    <t>6.5</t>
  </si>
  <si>
    <t>6.6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</si>
  <si>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</si>
  <si>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</si>
  <si>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</si>
  <si>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</si>
  <si>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</si>
  <si>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</si>
  <si>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</si>
  <si>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</si>
  <si>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</si>
  <si>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Ústředna EZS 8 podsystémů</t>
  </si>
  <si>
    <t>Box</t>
  </si>
  <si>
    <t>Baterie 18Ah</t>
  </si>
  <si>
    <t xml:space="preserve">Klávesnice </t>
  </si>
  <si>
    <t>Pohybový det. Sběrnicový</t>
  </si>
  <si>
    <t>Magnetický kontakt</t>
  </si>
  <si>
    <t>IR závora 30m</t>
  </si>
  <si>
    <t>GSM modul</t>
  </si>
  <si>
    <t>Ostatní materiál</t>
  </si>
  <si>
    <t>NVR 8 vstupů</t>
  </si>
  <si>
    <t>HDD 2TB</t>
  </si>
  <si>
    <t>PC monitor</t>
  </si>
  <si>
    <t>Kamera 2MPix vnitřní, doome</t>
  </si>
  <si>
    <t>Podkladová krabice</t>
  </si>
  <si>
    <t>1) Bourání a demolice + sanace</t>
  </si>
  <si>
    <t>D.1.6.1 - elektro SIL+SLA</t>
  </si>
  <si>
    <t>D.1.6.2 - EZS+CCTV</t>
  </si>
  <si>
    <t>OS.2</t>
  </si>
  <si>
    <t xml:space="preserve">997013111	</t>
  </si>
  <si>
    <t xml:space="preserve">Vnitrostaveništní doprava suti a vybouraných hmot pro budovy v do 6 m s použitím mechanizace	</t>
  </si>
  <si>
    <t>Skladba sanačního omítkového souvrství v exteriéru v=0,8-2,0m, HI pouze v=0,8-1,0m</t>
  </si>
  <si>
    <t>HI nad terén - zbývající část do v=1,0m</t>
  </si>
  <si>
    <t xml:space="preserve"> =(12,3+7,6+2,9+32,5+7,7+19,2)*(1-0,8)</t>
  </si>
  <si>
    <t>HI nad terén v=0,5m</t>
  </si>
  <si>
    <t>odpočet část skladby SI2</t>
  </si>
  <si>
    <t>odpočet sklada SI4</t>
  </si>
  <si>
    <t>Skladba s keramickým obkladem - pouze sanační vrstvy</t>
  </si>
  <si>
    <t>311238650.R001</t>
  </si>
  <si>
    <t xml:space="preserve">Zdivo jednovrstvé tepelně izolační z cihel broušených P10 s vnitřní izolací z minerální vlny na tenkovrstvou maltu U přes 0,18 do 0,22 W/m2K tl 300 mm	</t>
  </si>
  <si>
    <t>místnosti dle tabulky - plocha snížena o 25% - mezery mezi prkny</t>
  </si>
  <si>
    <t xml:space="preserve">palubky obkladové smrk profil klasický 19x121mm jakost A/B	</t>
  </si>
  <si>
    <t xml:space="preserve">773993905	</t>
  </si>
  <si>
    <t xml:space="preserve">Ošetření podlahy z litého teraca polymerním voskem	</t>
  </si>
  <si>
    <t>nátěr krov sloupy</t>
  </si>
  <si>
    <t xml:space="preserve"> =((6,66+3,62)*2+(4,57+6,66)*2+(4,9+3,7+1,3)*2+(5,9+3,7+4,7+5,9+6,1+6,6+6,3+3,2+5,6+5,4+4+2,5)*2+1,6*4)*0,7</t>
  </si>
  <si>
    <t>Položení polštáře pod podlahy při osové vzdálenosti 65 cm</t>
  </si>
  <si>
    <t xml:space="preserve">řezivo jehličnaté boční prkno 20-30mm	</t>
  </si>
  <si>
    <t>Položení podlahy z hoblovaných prken na pero a drážku</t>
  </si>
  <si>
    <t>Odstranění náletových dřevin</t>
  </si>
  <si>
    <t xml:space="preserve">Odstranění nevhodných dřevin přes 500 m2 v přes 1 m s odstraněním pařezů v rovině nebo svahu do 1:5	</t>
  </si>
  <si>
    <t>pozemek 125/1</t>
  </si>
  <si>
    <t>odhad cca 10kg/m2</t>
  </si>
  <si>
    <t xml:space="preserve">Vodorovné přemístění přes 4 do 5 km zelené hmoty bez naložení se složením	</t>
  </si>
  <si>
    <t xml:space="preserve">183554149	</t>
  </si>
  <si>
    <t xml:space="preserve">Příplatek ZKD 1 km vodorovného přemístění zelené hmoty	</t>
  </si>
  <si>
    <t>Poplatek za uložení na skládce (skládkovné) z rostlinných pletiv kód odpadu 02 01 03</t>
  </si>
  <si>
    <t>odhad max 50% celkové plochy</t>
  </si>
  <si>
    <t>Zrušení napojení demolovaného objektu veřejné WC</t>
  </si>
  <si>
    <t>7.7</t>
  </si>
  <si>
    <t xml:space="preserve">Demontáž krytiny keramické hladké sklonu do 30° na sucho k dalšímu použití	</t>
  </si>
  <si>
    <t xml:space="preserve">Čištění krytiny keramické kladené na sucho	</t>
  </si>
  <si>
    <t xml:space="preserve">Čištění krytiny keramické hřebenů nebo nároží z hřebenáčů na sucho	</t>
  </si>
  <si>
    <t>hřeben</t>
  </si>
  <si>
    <t>nároží</t>
  </si>
  <si>
    <t xml:space="preserve">pás tepelně izolační univerzální λ=0,032-0,033 tl 160mm	</t>
  </si>
  <si>
    <t>Střecha nad historickým objektem - severní křídlo - pod hřebenem - rovná</t>
  </si>
  <si>
    <t>Střecha nad historickým objektem - jižní křídlo - pod hřebenem - rovná</t>
  </si>
  <si>
    <t xml:space="preserve">766417211	</t>
  </si>
  <si>
    <t xml:space="preserve">Montáž podkladového roštu pro obložení stěn	</t>
  </si>
  <si>
    <t>první vrstva</t>
  </si>
  <si>
    <t>druhá vrstva</t>
  </si>
  <si>
    <t>Montáž obložení stěn pl přes 5 m2 palubkami z měkkého dřeva š přes 80 do 100 mm</t>
  </si>
  <si>
    <t xml:space="preserve">766421213	</t>
  </si>
  <si>
    <t>Montáž obložení podhledů jednoduchých palubkami z měkkého dřeva š přes 80 do 100 mm</t>
  </si>
  <si>
    <t xml:space="preserve">hranol stavební řezivo průřezu do 120cm2 do dl 6m	</t>
  </si>
  <si>
    <t xml:space="preserve">Montáž parotěsné zábrany do SDK příčky	</t>
  </si>
  <si>
    <t xml:space="preserve">Jemné obroušení podkladu truhlářských konstrukcí před provedením nátěru	</t>
  </si>
  <si>
    <t>nátěr obklad dřevo</t>
  </si>
  <si>
    <t xml:space="preserve">Oprášení podkladu truhlářských konstrukcí před provedením nátěru	</t>
  </si>
  <si>
    <t xml:space="preserve">Lazurovací jednonásobný olejový nátěr truhlářských konstrukcí	</t>
  </si>
  <si>
    <t>MW80</t>
  </si>
  <si>
    <t>MW180</t>
  </si>
  <si>
    <t xml:space="preserve">pás tepelně izolační univerzální λ=0,032-0,033 tl 180mm	</t>
  </si>
  <si>
    <t xml:space="preserve">pás tepelně izolační univerzální λ=0,032-0,033 tl 80mm	</t>
  </si>
  <si>
    <t>MW200</t>
  </si>
  <si>
    <t>MW50</t>
  </si>
  <si>
    <t>MW160</t>
  </si>
  <si>
    <t xml:space="preserve">pás tepelně izolační univerzální λ=0,032-0,033 tl 50mm	</t>
  </si>
  <si>
    <t xml:space="preserve">Bednění střech rovných sklon do 60° z desek OSB tl 25 mm na pero a drážku šroubovaných na krokve	</t>
  </si>
  <si>
    <t>deska izolační PIR s oboustrannou kompozitní fólií s hliníkovou vložkou pro ploché střechy tl 120mm</t>
  </si>
  <si>
    <t>Montáž ocelových kcí zastřešení vazníky nebo krovy hmotnosti prvku do 30 kg/m dl do 12 m</t>
  </si>
  <si>
    <t xml:space="preserve">profil ocelový svařovaný jakost S235 průřez čtvercový 80x80x6mm	</t>
  </si>
  <si>
    <t>S.3 - S.4</t>
  </si>
  <si>
    <t>skladba S.3a</t>
  </si>
  <si>
    <t xml:space="preserve"> =2,75*2,4</t>
  </si>
  <si>
    <t>Podlahy</t>
  </si>
  <si>
    <t>S.3a</t>
  </si>
  <si>
    <t>Střecha nad novým vstupem v 2.NP</t>
  </si>
  <si>
    <t>Střecha nad novým vikýřem</t>
  </si>
  <si>
    <t xml:space="preserve">Strukturovaná oddělovací rohož s integrovanou pojistnou hydroizolací jakékoliv rš	</t>
  </si>
  <si>
    <t>skladba P.6 - dlažba</t>
  </si>
  <si>
    <t>skladba P.6 - epoxid</t>
  </si>
  <si>
    <t>skladba St.6</t>
  </si>
  <si>
    <t xml:space="preserve"> =(3,83+1,1*2)*2,76+15,1+11,6+9,56*2,9-(0,85*2,1+0,85*1,97+0,8*1,97+1,2*1,97)</t>
  </si>
  <si>
    <t xml:space="preserve"> =(0,4+1,35)*3,38+(3,165+3,2+0,9+1,5*2)*3,26</t>
  </si>
  <si>
    <t xml:space="preserve">763111431	</t>
  </si>
  <si>
    <t xml:space="preserve">SDK příčka tl 100 mm profil CW+UW 50 desky 2xH2 12,5 s izolací EI 60 Rw do 51 dB	</t>
  </si>
  <si>
    <t xml:space="preserve"> =(2,685*2+0,9)*2,16</t>
  </si>
  <si>
    <t xml:space="preserve"> =7,4*4,2/2+(0,9+6,23)*4,2+(2,25+2,75+1,1+0,72+0,7+2,75+0,68)*3,5+1,085*1,75+1,1*2,28</t>
  </si>
  <si>
    <t>Osazení obrubníku kamenného ležatého s boční opěrou do lože z betonu prostého</t>
  </si>
  <si>
    <t>žulová obruba vjezd</t>
  </si>
  <si>
    <t xml:space="preserve">obrubník kamenný žulový přímý 1000x300x200mm	</t>
  </si>
  <si>
    <t>IPE 120, 160, 180 a 200</t>
  </si>
  <si>
    <t xml:space="preserve"> =0,25*0,5*2,4*2+0,65*2,36*0,3+0,8*0,85*0,15*6+(3,7*3,77-1,25*2)*0,4+0,2*0,3*2,2*2+1,4*2,25*0,3+0,8*0,2*2,8+16*0,4*2,75*2+0,75*0,28*2*2,435</t>
  </si>
  <si>
    <t xml:space="preserve"> =2*2,15+2,8*6+3,5*4+2,28*2+2,1*2+1,9*3+2,5+3</t>
  </si>
  <si>
    <t>EPS 20-30</t>
  </si>
  <si>
    <t xml:space="preserve">712771231	</t>
  </si>
  <si>
    <t xml:space="preserve">Provedení drenážní vrstvy vegetační střechy z tvarovaných desek sklon do 5°	</t>
  </si>
  <si>
    <t>28323.R001</t>
  </si>
  <si>
    <t>folie drenážní tl. 8mm</t>
  </si>
  <si>
    <t xml:space="preserve"> =(1,4+1,5)*2*(0,25*0,6)*12</t>
  </si>
  <si>
    <t xml:space="preserve"> =(1,06*2,33)*2</t>
  </si>
  <si>
    <t xml:space="preserve"> =9,56*1,2+3,42*1,5+4,78*1,3</t>
  </si>
  <si>
    <t xml:space="preserve"> =(1,5+0,6*2)*3,3</t>
  </si>
  <si>
    <t>763131.991</t>
  </si>
  <si>
    <t>SDK instalační kastlík pro zaputěná svítidla v protipožárním podhledu</t>
  </si>
  <si>
    <t>Ing. arch. Bořek Peška</t>
  </si>
  <si>
    <t>D.1.1.36_SPECIFIKACE VÝPLNÍ VNĚJŠÍCH OTVORŮ</t>
  </si>
  <si>
    <t>A/DVEŘE VSTUPNÍ - HISTORIZUJÍCÍ TRUHLÁŘSKÉ KAZETOVÉ / EUROPROFILY</t>
  </si>
  <si>
    <t>HLAVNÍ VSTUP DVOUKŘÍDLÝ, ČÁSTEČNÉ PROSKLENÝ, stavební otvor 1800x2950mm, detailní specifikace viz PD</t>
  </si>
  <si>
    <t>Výpis materiálu osahuje dodávku a montáž základního materiálu pro danou akci. Dodávka akce se předpokládá včetně souvisejícího doplňkového, podružného a montážního materiálu tak, aby celé dílo bylo bezvadné a funkční a splňovalo všechny předpisy, které se na ně vztahují.</t>
  </si>
  <si>
    <t>O.7</t>
  </si>
  <si>
    <t>O.8</t>
  </si>
  <si>
    <t>O.9</t>
  </si>
  <si>
    <t>O.10</t>
  </si>
  <si>
    <t>O.11</t>
  </si>
  <si>
    <t>O.12</t>
  </si>
  <si>
    <t>O.13</t>
  </si>
  <si>
    <t>O.14</t>
  </si>
  <si>
    <t>O.15</t>
  </si>
  <si>
    <t>O.16</t>
  </si>
  <si>
    <t>VSTUP DO OBCHODU DVOUKŘÍDLÝ, ČÁSTEČNÉ PROSKLENÝ, stavební otvor 1800x2500mm, detailní specifikace viz PD</t>
  </si>
  <si>
    <t>VSTUP DO KANCELÁŘÍ JEDNOKŘÍDLÝ, ČÁSTEČNÉ PROSKLENÝ, stavební otvor 1000x2050mm, detailní specifikace viz PD</t>
  </si>
  <si>
    <t>VSTUP DO INFOCENTRA DVOUKŘÍDLÝ, PROSKLENÝ, OTVÍRAVÝ VEN, stavební otvor 2000x2400mm, detailní specifikace viz PD</t>
  </si>
  <si>
    <t>B/DVEŘE VSTUPNÍ HLINÍKOVÉ</t>
  </si>
  <si>
    <t>VSTUP NA PAVLAČ DVOUKŘÍDLÝ, PROSKLENÝ, stavební otvor 1480x2400mm, detailní specifikace viz PD</t>
  </si>
  <si>
    <t>DVORNÍ VSTUP DVOUKŘÍDLÝ, PROSKLENÝ, stavební otvor 6160x3000mm, detailní specifikace viz PD</t>
  </si>
  <si>
    <t>Plocha</t>
  </si>
  <si>
    <t>Ks</t>
  </si>
  <si>
    <t>Celkem množství</t>
  </si>
  <si>
    <t>C/OKNA EUROPROFILY IV92</t>
  </si>
  <si>
    <t>C/OKNA EUROPROFILY IV78</t>
  </si>
  <si>
    <t>O.20</t>
  </si>
  <si>
    <t>O.21</t>
  </si>
  <si>
    <t>O.22</t>
  </si>
  <si>
    <t>O.30</t>
  </si>
  <si>
    <t>O.31</t>
  </si>
  <si>
    <t>OKNO PRŮČELNÍ FIXNÍ, stavební otvor 2960x2450mm, detailní specifikace viz PD</t>
  </si>
  <si>
    <t>OKNO S NADSVĚTLÍKEM, stavební otvor 2150x2000mm, detailní specifikace viz PD</t>
  </si>
  <si>
    <t>OKNO S NADSVĚTLÍKEM, stavební otvor 2100x2000mm, detailní specifikace viz PD</t>
  </si>
  <si>
    <t>OKNO S NADSVĚTLÍKEM, stavební otvor 1580x2000mm, detailní specifikace viz PD</t>
  </si>
  <si>
    <t>OKNO S NADSVĚTLÍKEM, stavební otvor 2850x2000mm, detailní specifikace viz PD</t>
  </si>
  <si>
    <t>OKNO OTVÍRAVÉ SYMETRICKÉ, stavební otvor 1000x1370mm, detailní specifikace viz PD</t>
  </si>
  <si>
    <t>OKNO OTVÍRAVÉ SYMETRICKÉ, stavební otvor 1060x1550mm, detailní specifikace viz PD</t>
  </si>
  <si>
    <t>OKNO OTVÍRAVÉ SYMETRICKÉ, stavební otvor 1020x1260mm, detailní specifikace viz PD</t>
  </si>
  <si>
    <t>OKNO OTVÍRAVÉ SYMETRICKÉ, stavební otvor 1020x1490mm, detailní specifikace viz PD</t>
  </si>
  <si>
    <t>D/OKNA TRUHLÁŘSKÁ, REPASOVANÁ/NOVÁ</t>
  </si>
  <si>
    <t>OKNO OVÁLNÉ, REPASE, rozměr cca 700x450mm, detailní specifikace viz PD</t>
  </si>
  <si>
    <t>OKNO OTVÍRAVÉ SYMETRICKÉ ŠPALETOVÉ S POUTCEM, REPASE, rozměr ext 1020x1680, int 1180x1860mm, detailní specifikace viz PD</t>
  </si>
  <si>
    <t>OKNO OTVÍRAVÉ SYMETRICKÉ ŠPALETOVÉ S POUTCEM, REPASE, rozměr ext 520x1680, int 680x1860mm, detailní specifikace viz PD</t>
  </si>
  <si>
    <t>O.23 EXT</t>
  </si>
  <si>
    <t>O.23 INT</t>
  </si>
  <si>
    <t>O.24 EXT</t>
  </si>
  <si>
    <t>O.24 INT</t>
  </si>
  <si>
    <t>OKNO OTVÍRAVÉ SYMETRICKÉ ŠPALETOVÉ S POUTCEM, NOVÉ, rozměr ext 1125x1745mm, int 1125x1745mm, detailní specifikace viz PD</t>
  </si>
  <si>
    <t>OKNO OTVÍRAVÉ SYMETRICKÉ ŠPALETOVÉ S POUTCEM, NOVÉ, rozměr 1125x1745mm, detailní specifikace viz PD</t>
  </si>
  <si>
    <t>OKNO OTVÍRAVÉ SYMETRICKÉ ŠPALETOVÉ S POUTCEM, NOVÉ, rozměr 1050x1675mm, detailní specifikace viz PD</t>
  </si>
  <si>
    <t>OKNO OTVÍRAVÉ SYMETRICKÉ ŠPALETOVÉ S POUTCEM, REPASOVANÉ, rozměr 1125x1745mm, detailní specifikace viz PD</t>
  </si>
  <si>
    <t>OKNO OTVÍRAVÉ SYMETRICKÉ ŠPALETOVÉ S POUTCEM, REPASOVANÉ, rozměr 1050x1675mm, detailní specifikace viz PD</t>
  </si>
  <si>
    <t>E/OKNA STŘEŠNÍ TYPOVÁ</t>
  </si>
  <si>
    <t>OKNO STŘEŠNÍ stavební otvor 700x700mm, detailní specifikace viz PD</t>
  </si>
  <si>
    <t>OKNO STŘEŠNÍ stavební otvor 760x800mm, detailní specifikace viz PD</t>
  </si>
  <si>
    <t>D.1.1.37_SPECIFIKACE INTERIÉROVÝCH DVEŘÍ</t>
  </si>
  <si>
    <t>DVEŘE DVOUKŘÍDLÉ, ČÁSTEČNÉ PROSKLENÉ, S POŽ. ODOLNOSTÍ, rozměr 1600x2250mm, detailní specifikace viz PD</t>
  </si>
  <si>
    <t>LEVÉ</t>
  </si>
  <si>
    <t>PRAVÉ</t>
  </si>
  <si>
    <t>CELKEM</t>
  </si>
  <si>
    <t>DVEŘE JEDNOKŘÍDLÉ PLNÉ, rozměr 800x2100mm, detailní specifikace viz PD</t>
  </si>
  <si>
    <t>DVEŘE JEDNOKŘÍDLÉ PLNÉ, S POŽ. ODOLNOSTÍ, rozměr 800x2100mm, detailní specifikace viz PD</t>
  </si>
  <si>
    <t>DVEŘE JEDNOKŘÍDLÉ PLNÉ, S POŽ. ODOLNOSTÍ, rozměr 800x1970mm, detailní specifikace viz PD</t>
  </si>
  <si>
    <t>DVEŘE JEDNOKŘÍDLÉ, ČÁSTEČNĚ PROSKLENÉ, rozměr 800x1970mm, detailní specifikace viz PD</t>
  </si>
  <si>
    <t>D.6</t>
  </si>
  <si>
    <t>D.7</t>
  </si>
  <si>
    <t>D.8</t>
  </si>
  <si>
    <t>D.9</t>
  </si>
  <si>
    <t>D.10</t>
  </si>
  <si>
    <t>D.11</t>
  </si>
  <si>
    <t>D.12</t>
  </si>
  <si>
    <t>D.13</t>
  </si>
  <si>
    <t>D.14</t>
  </si>
  <si>
    <t>D.15</t>
  </si>
  <si>
    <t>D.20</t>
  </si>
  <si>
    <t>D.21</t>
  </si>
  <si>
    <t>D.22</t>
  </si>
  <si>
    <t>DVEŘE JEDNOKŘÍDLÉ PLNÉ, S POŽ. ODOLNOSTÍ, rozměr 850x1970mm, detailní specifikace viz PD</t>
  </si>
  <si>
    <t>DVEŘE DVOUKŘÍDLÉ, PLNÉ, S POŽ. ODOLNOSTÍ, rozměr 1250x2225mm, detailní specifikace viz PD</t>
  </si>
  <si>
    <t>DVEŘE DVOUKŘÍDLÉ, PLNÉ, rozměr 1250x2225mm, detailní specifikace viz PD</t>
  </si>
  <si>
    <t>DVEŘE DVOUKŘÍDLÉ, ČÁSTEČNÉ PROSKLENÉ, rozměr 1250x2225mm, detailní specifikace viz PD</t>
  </si>
  <si>
    <t>A/DVEŘE HISTORIZUJÍCÍ KAZETOVÉ TRUHLÁŘSKÉ V OBLOŽKOVÉ ZÁRUBNI</t>
  </si>
  <si>
    <t>B/DVEŘE VOŠTINOVÉ V OCELOVÉ ZÁRUBNI</t>
  </si>
  <si>
    <t>DVEŘE JEDNOKŘÍDLÉ, PLNÉ, NA WC, rozměr 700x1970mm, detailní specifikace viz PD</t>
  </si>
  <si>
    <t>DVEŘE JEDNOKŘÍDLÉ, PLNÉ, DO ZÁZEMÍ, rozměr 700x1970mm, detailní specifikace viz PD</t>
  </si>
  <si>
    <t>DVEŘE JEDNOKŘÍDLÉ, PLNÉ, DO ZÁZEMÍ, rozměr 600x1970mm, detailní specifikace viz PD</t>
  </si>
  <si>
    <t>DVEŘE DVOUKŘÍDLÉ, PLNÉ, S POŽ. ODOLNOSTÍ, rozměr 1200x1970mm, detailní specifikace viz PD</t>
  </si>
  <si>
    <t>C/DVEŘE HLINÍKOVÉ</t>
  </si>
  <si>
    <t>D.25</t>
  </si>
  <si>
    <t>D.26</t>
  </si>
  <si>
    <t>D.27</t>
  </si>
  <si>
    <t>DVEŘE S FIXNÍ ČÁSTÍ, PROSKLENÉ, S POŽ. ODOLNOSTÍ, rozměr 2400x2310mm, detailní specifikace viz PD</t>
  </si>
  <si>
    <t>DVEŘE S NADSVĚTLÍKEM, PROSKLENÉ, S POŽ. ODOLNOSTÍ, rozměr 1400x2800mm, detailní specifikace viz PD</t>
  </si>
  <si>
    <t>DVEŘE PROSKLENÉ, rozměr 1030x2300mm, detailní specifikace viz PD</t>
  </si>
  <si>
    <t>D/SANITÁRNÍ PŘÍČKY</t>
  </si>
  <si>
    <t>SANITÁRNÍ STĚNA, rozměr 1700x2600mm, detailní specifikace viz PD</t>
  </si>
  <si>
    <t>SANITÁRNÍ STĚNA MEZI PŘEDSÍNÍ A  PISOÁRY, rozměr 1700x2600mm, detailní specifikace viz PD</t>
  </si>
  <si>
    <t>SANITÁRNÍ STĚNA, rozměr 1855x2600 + 1180x2600mm, detailní specifikace viz PD</t>
  </si>
  <si>
    <t>D.1.1.38_SPECIFIKACE KLEMPÍŘSKÝCH PRVKŮ</t>
  </si>
  <si>
    <t>PŮLKULOVÝ OKAPNÍ ŽLAB, TiZn předzvětralý, rš 330mm, detailní specifikace viz PD</t>
  </si>
  <si>
    <t>DEŠŤOVÉ SVODY KULATÉ 100 mm, TiZn předzvětralý, průměr 100mm, detailní specifikace viz PD</t>
  </si>
  <si>
    <t>HRANATÝ OKAPNÍ ŽLAB, TiZn předzvětralý, rš 250mm, detailní specifikace viz PD</t>
  </si>
  <si>
    <t>DEŠŤOVÝ SVOD HRANATÝ, TiZn předzvětralý, rš 320mm, detailní specifikace viz PD</t>
  </si>
  <si>
    <t>OPLECHOVÁNÍ ATIKY, TiZn předzvětralý, rš 455mm, detailní specifikace viz PD</t>
  </si>
  <si>
    <t>K.5a</t>
  </si>
  <si>
    <t>K.5b</t>
  </si>
  <si>
    <t>OPLECHOVÁNÍ ATIKY, TiZn předzvětralý, rš 305mm, detailní specifikace viz PD</t>
  </si>
  <si>
    <t>K.6</t>
  </si>
  <si>
    <t>ZÁVĚTRNÁ LIŠTA HORNÍ, TiZn předzvětralý, rš 150mm, detailní specifikace viz PD</t>
  </si>
  <si>
    <t>K.7a</t>
  </si>
  <si>
    <t>PARAPETNÍ PLECH, TiZn předzvětralý, rš 220mm, detailní specifikace viz PD</t>
  </si>
  <si>
    <t>K.7b</t>
  </si>
  <si>
    <t>K.7c</t>
  </si>
  <si>
    <t>PARAPETNÍ PLECH, TiZn předzvětralý, rš 245mm, detailní specifikace viz PD</t>
  </si>
  <si>
    <t>PARAPETNÍ PLECH, TiZn předzvětralý, rš 295mm, detailní specifikace viz PD</t>
  </si>
  <si>
    <t>K.8a</t>
  </si>
  <si>
    <t>K.8b</t>
  </si>
  <si>
    <t>OPLECHOVÁNÍ ŘÍMSY, TiZn předzvětralý, rš 130mm, detailní specifikace viz PD</t>
  </si>
  <si>
    <t>OPLECHOVÁNÍ ŘÍMSY, TiZn předzvětralý, rš 570mm, detailní specifikace viz PD</t>
  </si>
  <si>
    <t>K.9</t>
  </si>
  <si>
    <t>K.10</t>
  </si>
  <si>
    <t>PLECHOVÝ OBKLAD FALCOVANÝ, TiZn předzvětralý, detailní specifikace viz PD</t>
  </si>
  <si>
    <t>PLECHOVÁ KRYTINA FALCOVANÁ, TiZn předzvětralý, detailní specifikace viz PD</t>
  </si>
  <si>
    <t>K.11</t>
  </si>
  <si>
    <t>K.12</t>
  </si>
  <si>
    <t>K.13</t>
  </si>
  <si>
    <t>K.14</t>
  </si>
  <si>
    <t>OPLECHOVÁNÍ VZT VIKÝŘE, TiZn předzvětralý, detailní specifikace viz PD</t>
  </si>
  <si>
    <t>LEMOVÁNÍ U STĚNY S VODNÍ DRÁŽKOU, TiZn předzvětralý, rš 515mm, detailní specifikace viz PD</t>
  </si>
  <si>
    <t>LEMOVÁNÍ U STĚNY, TiZn předzvětralý, rš 375mm, detailní specifikace viz PD</t>
  </si>
  <si>
    <t>LEMOVÁNÍ U ŽLABU, TiZn předzvětralý, rš 335mm, detailní specifikace viz PD</t>
  </si>
  <si>
    <t>D.1.1.39_SPECIFIKACE ZÁMEČNICKÝCH PRVKŮ</t>
  </si>
  <si>
    <t>Z.4</t>
  </si>
  <si>
    <t>Z.5</t>
  </si>
  <si>
    <t>Z.6</t>
  </si>
  <si>
    <t>Z.7</t>
  </si>
  <si>
    <t>Z.8</t>
  </si>
  <si>
    <t>Z.9</t>
  </si>
  <si>
    <t>Z.10</t>
  </si>
  <si>
    <t>Z.11</t>
  </si>
  <si>
    <t>VRATA NA DVŮR S OTVÍRAVÝM A FIXNÍM POLEM, detailní specifikace viz PD</t>
  </si>
  <si>
    <t>DVÍŘKA, PŘÍSTŘEŠEK NA POPELNICE, detailní specifikace viz PD</t>
  </si>
  <si>
    <t>MARKÝZA NAD PAVLAČÍ, detailní specifikace viz PD</t>
  </si>
  <si>
    <t>ZÁBRADLÍ NA PAVLAČI, detailní specifikace viz PD</t>
  </si>
  <si>
    <t>MARKÝZA NAD BOČNÍM VSTUPEM, detailní specifikace viz PD</t>
  </si>
  <si>
    <t>VÝSTRČ, detailní specifikace viz PD</t>
  </si>
  <si>
    <t>ZÁBRADLÍ PŘED OKNY, detailní specifikace viz PD</t>
  </si>
  <si>
    <t>Z.14</t>
  </si>
  <si>
    <t>Z.15</t>
  </si>
  <si>
    <t>POROROŠT PŘED PROSKLENÝM PORTÁLEM, detailní specifikace viz PD</t>
  </si>
  <si>
    <t>MŘÍŽ DO SKLADU, detailní specifikace viz PD</t>
  </si>
  <si>
    <t>Z.12a</t>
  </si>
  <si>
    <t>MADLO NA SCHODIŠTI V INTERIÉRU, detailní specifikace viz PD</t>
  </si>
  <si>
    <t>Z.12b</t>
  </si>
  <si>
    <t>Z.12c</t>
  </si>
  <si>
    <t>Z.12d</t>
  </si>
  <si>
    <t>Z.12e</t>
  </si>
  <si>
    <t>Z.12f</t>
  </si>
  <si>
    <t>Z.12g</t>
  </si>
  <si>
    <t>Z.12h</t>
  </si>
  <si>
    <t>Z.13a</t>
  </si>
  <si>
    <t>Z.13b</t>
  </si>
  <si>
    <t>Z.13c</t>
  </si>
  <si>
    <t>ZÁBRADLÍ U SVĚTLÍKU, detailní specifikace viz PD</t>
  </si>
  <si>
    <t>DVÍŘKA, NIKA PRO VENKOVNÍ KOHOUT, detailní specifikace viz PD</t>
  </si>
  <si>
    <t>D.1.1.40_SPECIFIKACE TRUHLÁŘSKÝCH PRVKŮ</t>
  </si>
  <si>
    <t>T.1a</t>
  </si>
  <si>
    <t>T.1b</t>
  </si>
  <si>
    <t>T.2a</t>
  </si>
  <si>
    <t>T.2b</t>
  </si>
  <si>
    <t>INTERIÉROVÝ PARAPET ŠPALETOVÁ OKNA, detailní specifikace viz PD</t>
  </si>
  <si>
    <t>INTERIÉROVÝ PARAPET EUROOKNA , detailní specifikace viz PD</t>
  </si>
  <si>
    <t>DŘEVĚNÉ SCHODIŠTĚ PŘÍMÉ 6 stupňů, detailní specifikace viz PD</t>
  </si>
  <si>
    <t>DŘEVĚNÉ SCHODIŠTĚ PŘÍMÉ 10 stupňů, detailní specifikace viz PD</t>
  </si>
  <si>
    <t>D.1.1.41_SPECIFIKACE OSTATNÍCH PRVKŮ</t>
  </si>
  <si>
    <t>OS.3</t>
  </si>
  <si>
    <t>OS.4</t>
  </si>
  <si>
    <t>OS.5</t>
  </si>
  <si>
    <t>OS.6</t>
  </si>
  <si>
    <t>OS.7</t>
  </si>
  <si>
    <t>OS.9</t>
  </si>
  <si>
    <t>OS.10</t>
  </si>
  <si>
    <t>OS.11</t>
  </si>
  <si>
    <t>OS.1a</t>
  </si>
  <si>
    <t>OPLOCENÍ výplně, detailní specifikace viz PD</t>
  </si>
  <si>
    <t>OS.1b</t>
  </si>
  <si>
    <t>OPLOCENÍ sloupky, detailní specifikace viz PD</t>
  </si>
  <si>
    <t>ČISTÍCÍ ZÓNA 1800x1000mm, detailní specifikace viz PD</t>
  </si>
  <si>
    <t>ELEKTROINSTALAČNÍ ŠACHTA, detailní specifikace viz PD</t>
  </si>
  <si>
    <t>POJISTNÝ ZAATIKOVÝ PŘEPAD, detailní specifikace viz PD</t>
  </si>
  <si>
    <t>STŘEŠNÍ NÁŠLAP, detailní specifikace viz PD</t>
  </si>
  <si>
    <t>PROTIDEŠŤOVÁ ŽALUZIE, detailní specifikace viz PD</t>
  </si>
  <si>
    <t>NOVÁ ZÁKRYTOVÁ DESKA KOMÍNU, detailní specifikace viz PD</t>
  </si>
  <si>
    <t>OS.8a</t>
  </si>
  <si>
    <t>REVIZNÍ DVÍŘKA se skrytým rámečkem 400x400mm, detailní specifikace viz PD</t>
  </si>
  <si>
    <t>OS.8b</t>
  </si>
  <si>
    <t>OS.8c</t>
  </si>
  <si>
    <t>REVIZNÍ DVÍŘKA se skrytým rámečkem 1000x1000mm, detailní specifikace viz PD</t>
  </si>
  <si>
    <t>REVIZNÍ DVÍŘKA se skrytým rámečkem 900x1800mm, detailní specifikace viz PD</t>
  </si>
  <si>
    <t>PŘEBALOVACÍ PULT SKLÁPĚCÍ, detailní specifikace viz PD</t>
  </si>
  <si>
    <t>HYDRANT, detailní specifikace viz PD</t>
  </si>
  <si>
    <t>OSOBNÍ VÝTAH, detailní specifikace viz PD</t>
  </si>
  <si>
    <t>Pisoárový ventil automatický, tlačítkový - viz specifikace SA.1</t>
  </si>
  <si>
    <t>Umývadlová stojánková se zvedákem - viz specifikace SA.2 + SA.2b</t>
  </si>
  <si>
    <t>Nástěnná bez sprchové sady - viz specifikace SA.3</t>
  </si>
  <si>
    <t>Sprchová sada se sprchovou tyčí - viz specifikace SA.3</t>
  </si>
  <si>
    <t>S otočným výtokem bez sprchy - viz specifikace SA.4</t>
  </si>
  <si>
    <t>Výlevková nástěnná s ramínkem 210mm - viz specifikace SA.5</t>
  </si>
  <si>
    <t>Ramínko, chrom 150mm - viz specifikace SA.5</t>
  </si>
  <si>
    <t>Pisoár – horní přívod vody, bílý 305x290x565 - viz specifikace SA.9</t>
  </si>
  <si>
    <t>Odtokový žlab se sifonem pro sprchy, mřížka nerez délka 700mm - viz specifikace SA.12</t>
  </si>
  <si>
    <t>Zástěna sprchového koutu - viz specifikace SA.13</t>
  </si>
  <si>
    <t>Kuchyňský dřez nerezový - pouze příprava, bez dodávky</t>
  </si>
  <si>
    <t>Závěsná výlevka s mřížkou, bílá - viz specifikace SA.15</t>
  </si>
  <si>
    <t>11) Střešní vpusti s elektrickým otápěním</t>
  </si>
  <si>
    <t>Střešní vtok tepelně izolovaný, PVC příruba, DN75, HL62.1/7</t>
  </si>
  <si>
    <t>12) Dešťová kanalizace v zemi, PVC SN4</t>
  </si>
  <si>
    <t>13) Upevnění potrubí</t>
  </si>
  <si>
    <t>14) Ostatní práce a dodávky</t>
  </si>
  <si>
    <t>1.12</t>
  </si>
  <si>
    <t>Protidešťová žaluzie 800x500 se sítem, RAL dle výběru architekta</t>
  </si>
  <si>
    <t>24071-5120</t>
  </si>
  <si>
    <t>Umístění ve střešním vikýři (výkresy "Půdorysu krovu, řez C2-C2*)</t>
  </si>
  <si>
    <t xml:space="preserve">Zaslepení potrubí 300x200 </t>
  </si>
  <si>
    <t>Montáž zaslepení</t>
  </si>
  <si>
    <t>Potrubní rozvody z technické místnosti do 2.NP (výkresy "řez A-A*)</t>
  </si>
  <si>
    <t>2.56</t>
  </si>
  <si>
    <t>2.57</t>
  </si>
  <si>
    <t>vzorec pro 20km</t>
  </si>
  <si>
    <t>vzorec pro 20km celkem, zde tedy dopočet 10 km nad</t>
  </si>
  <si>
    <t>výpočet plochy SE1</t>
  </si>
  <si>
    <t xml:space="preserve"> =(12,3+7,6)*(1,1+2)/2</t>
  </si>
  <si>
    <t>výpočet plochy SE2</t>
  </si>
  <si>
    <t xml:space="preserve"> =2,9*0,6+(32,5+7,7+19,2)*0,4</t>
  </si>
  <si>
    <t>výpočet plochy SE3a</t>
  </si>
  <si>
    <t xml:space="preserve"> =(12,3+7,6+2,9+32,5+7,7+19,2)*0,8</t>
  </si>
  <si>
    <t>výpočet plochy SE3b</t>
  </si>
  <si>
    <t xml:space="preserve"> =(12,3+7,6+2,9+32,5+7,7+19,2)*(2-0,8)</t>
  </si>
  <si>
    <t>výpočet plochy SI1</t>
  </si>
  <si>
    <t>výpočet plochy SI2</t>
  </si>
  <si>
    <t xml:space="preserve"> =6,86+11,21+(2,6+4,3+4,2+1,4)*2*2,1</t>
  </si>
  <si>
    <t>výpočet plochy SI4</t>
  </si>
  <si>
    <t xml:space="preserve"> =(6,7+1,6+6,7+3,7+4,1)*2</t>
  </si>
  <si>
    <t>výpočet plochy P1</t>
  </si>
  <si>
    <t xml:space="preserve"> =28,19+23,93+18,07+4,92+40,52+27,72+22,76+20+17,25+30,611</t>
  </si>
  <si>
    <t xml:space="preserve"> =11,21+4,24+2,92</t>
  </si>
  <si>
    <t>výpočet plochy P2</t>
  </si>
  <si>
    <t xml:space="preserve"> =plocha x tloušťka 12cm</t>
  </si>
  <si>
    <t xml:space="preserve"> =plocha x tloušťka 10cm</t>
  </si>
  <si>
    <t xml:space="preserve"> =((6,66+3,62)*2+(4,57+6,66)*2+(4,9+3,7+1,3)*2+(5,9+3,7+4,7+5,9+6,1+6,6+6,3+3,2+5,6+5,4+4+2,5)*2+1,6*4)*2-stěny sklepy - skladba SI4</t>
  </si>
  <si>
    <t xml:space="preserve">mřížka větrací kruhová se síťkou D 100mm	</t>
  </si>
  <si>
    <t>odvětrávací hlavice pro odvětrání podlah, D=100mm</t>
  </si>
  <si>
    <t>odkaz - plocha zdiva obvodového</t>
  </si>
  <si>
    <t>odkaz - plocha zdiva vnitřního</t>
  </si>
  <si>
    <t xml:space="preserve">Penetrační disperzní nátěr vnitřních stěn nanášený ručně	</t>
  </si>
  <si>
    <t>vzorec pro 60 dní</t>
  </si>
  <si>
    <t>odkazy - plochy skladeb x počet pásů</t>
  </si>
  <si>
    <t>celkem plocha</t>
  </si>
  <si>
    <t>výpočet plochy St.8</t>
  </si>
  <si>
    <t>výpočet plochy S.1</t>
  </si>
  <si>
    <t xml:space="preserve"> =6,5*2*(18,7+12,4)/2</t>
  </si>
  <si>
    <t>výpočet plochy S.1a</t>
  </si>
  <si>
    <t xml:space="preserve"> =2,3*(12,4+3)</t>
  </si>
  <si>
    <t>výpočet plochy S.1b</t>
  </si>
  <si>
    <t>výpočet plochy S.2</t>
  </si>
  <si>
    <t xml:space="preserve"> =4,2*2*(23,6+32,3)/2</t>
  </si>
  <si>
    <t>výpočet plochy S.2a</t>
  </si>
  <si>
    <t>výpočet plochy S.2b</t>
  </si>
  <si>
    <t xml:space="preserve"> =1,8*(23,6)</t>
  </si>
  <si>
    <t xml:space="preserve"> =2,75*1,25+2,22*2,56</t>
  </si>
  <si>
    <t xml:space="preserve"> =16,84+14,96+9,65</t>
  </si>
  <si>
    <t>výpočet plochy S.3</t>
  </si>
  <si>
    <t>výpočet plochy S.3a</t>
  </si>
  <si>
    <t>výpočet plochy P.9</t>
  </si>
  <si>
    <t>DVEŘE JEDNOKŘÍDLÉ, PLNÉ, S POŽ. ODOLNOSTÍ, rozměr 900x1970mm, detailní specifikace viz PD</t>
  </si>
  <si>
    <t>Z.16</t>
  </si>
  <si>
    <t>Z.17</t>
  </si>
  <si>
    <t>MADLO NA SCHODIŠTI V INTERIÉRU, REPASE, detailní specifikace viz PD</t>
  </si>
  <si>
    <t>DVEŘNÍ MADLO, ROVNÉ, detailní specifikace viz PD</t>
  </si>
  <si>
    <t>D+M - nerez profily rohové a ukončovací</t>
  </si>
  <si>
    <t>Zábory, místní poplatky a dopravní omezení včetně DIO</t>
  </si>
  <si>
    <t>3.27</t>
  </si>
  <si>
    <t>Sada pro nouzovou signalizaci - 3280B-C10001 B</t>
  </si>
  <si>
    <t>Dílenská a výrobní dokumentace, vzorkování</t>
  </si>
  <si>
    <t>Náklady na opatření BOZP při výstavbě</t>
  </si>
  <si>
    <t>Ostatní náklady stavby z důvodů prací na památkovém objektu</t>
  </si>
  <si>
    <t>OS.12</t>
  </si>
  <si>
    <t>VĚTRACÍ KOMÍNEK DN 125, detailní specifikace viz PD</t>
  </si>
  <si>
    <t xml:space="preserve">Základové desky ze ŽB pro konstrukce bílých van tř. C 30/37	</t>
  </si>
  <si>
    <t xml:space="preserve">Základová zeď ze ŽB pro konstrukce bílých van tř. C 30/37	</t>
  </si>
  <si>
    <t>projektové dokumentace ve stupni DPS z 04/2023</t>
  </si>
  <si>
    <t>Elektrický zásobník závěsný 523x318, v=617mm, ref. standard OKHE ONE 30</t>
  </si>
  <si>
    <t>Elektrický zásobník závěsný 523x318, v=845mm, ref. standard OKHE ONE 50</t>
  </si>
  <si>
    <t>Elektrický zásobník 10l horní připojení 290x275, v=473mm, ref. standard TO10.1IN</t>
  </si>
  <si>
    <t>Elektrický zásobník 5l horní připojení 290x275, v=338mm, ref. standard TO5.1IN</t>
  </si>
  <si>
    <t>Elektrický zásobník 5l spodní připojení 290x275, v=330mm, ref. standard TO5.1UP</t>
  </si>
  <si>
    <t>Kombinovaná armatura zabezpečení DN20, ref. standard Dražice 417543</t>
  </si>
  <si>
    <t>Kombinovaná armatura zabezpečení DN15, ref. standard Dražice 417543</t>
  </si>
  <si>
    <t>Šachtové dno (potrubí DN200) 600 , ref. Standard TBZ Q PERFECT 200-685</t>
  </si>
  <si>
    <t>Šachtová skruž, výška 500mm 500, ref. standard TBS Q 500/1000/120-SP</t>
  </si>
  <si>
    <t>Šachtová skruž – kónus 600, ref. standard TBR Q 600/1000 x 625/120SPK</t>
  </si>
  <si>
    <t>Beton-Litina poklop D400 s odvětráním 160, ref. standard BEGU KDB 02</t>
  </si>
  <si>
    <t>Ponorné automatické čerpadlo 6“ s plovákem a sací soupravou, 230V, 750W, ref. standard Divertron X 1200 M</t>
  </si>
  <si>
    <t>Plynový závěsný kondenzační kotel, ref. standard GB192-35i W K1,2</t>
  </si>
  <si>
    <t>Otopná tělesa KORADO, ref. Standard</t>
  </si>
  <si>
    <t>TYP C1 - referenční standard WD RAY CEILING SUSPENDED 2.0 PAR16, bílá  - 217120W0</t>
  </si>
  <si>
    <t>rozeta, referenční standard WD RAY SINGLE BASE, bílá  - 90052022</t>
  </si>
  <si>
    <t xml:space="preserve">sv. zdroj, referenční standard CorePro LEDspot ND 4,6-50W GU10 865 36D 6500K, 390lm, Ra 80 - </t>
  </si>
  <si>
    <t>TYP D  - referenční standard HALLA RUNDO 500, LED 3000K, 4500lm, bílá/ opál - 190-250K-10GGEI/830, W</t>
  </si>
  <si>
    <t>TYP Da - referenční standard HALLA RUNDO 600  LED 3000K, 6000lm, bílá/ opál - 190-260K-10GHE/830, W – 6000lm</t>
  </si>
  <si>
    <t xml:space="preserve">TYP Db - referenční standard HALLA RUNDO 600  LED 3000K, 6790lm, bílá/ opál - 190-260K-10GHE/830, W </t>
  </si>
  <si>
    <t xml:space="preserve">TYP Dc - referenční standard HALLA RUNDO 600 D/I  LED 3000K, 5500lm, bílá/ mikroprisma - 190-261I-10GGEi/830, W </t>
  </si>
  <si>
    <t xml:space="preserve">TYP De - referenční standard HALLA RUNDO 600 D/I  LED 3000K, 4500lm, bílá/ mikroprisma - 190-261I-10GGEi/830, W </t>
  </si>
  <si>
    <t>TYP D1  - referenční standard HALLA RUNDO 400, LED 3000K, 3000lm, bílá/ opál - 190-240K-10GGEI/830, W</t>
  </si>
  <si>
    <t>TYP D1 N - referenční standard HALLA RUNDO 400, LED 3000K, 3000lm,1h nouzový inverter,  bílá/ opál - 190-240K-10GGMI/830, W</t>
  </si>
  <si>
    <t>TYP D2  - referenční standard HALLA RUNDO 400, LED 3000K, 2500lm, bílá/ opál - 190-240K-10GGEI/830, W</t>
  </si>
  <si>
    <t>TYP D2 N - referenční standard HALLA RUNDO 400, LED 3000K, 2500lm,1h nouzový inverter,  bílá/ opál - 190-240K-10GGMI/830, W</t>
  </si>
  <si>
    <t>TYP D3 - referenční standard OSMONT AURA 8, LED 3000K, 1270lm, IP44, bílá/ opál - 59440</t>
  </si>
  <si>
    <t>TYP D3N - referenční standard OSMONT AURA 8, LED 3000K, 1270lm, IP44,1h nouzový inverter, bílá/ opál - 59444</t>
  </si>
  <si>
    <t>TYP D3m - referenční standard OSMONT AURA 8, LED 3000K, 1270lm, IP44, bílá/ opál + límec mosazný - 59440 + 30070</t>
  </si>
  <si>
    <t>TYP D3Nm - referenční standard OSMONT AURA 8, LED 3000K, 1270lm, IP44, IP44,1h nouzový inverter, bílá/ opál + límec mosazný - 59444 + 30070</t>
  </si>
  <si>
    <t>TYP D4 - referenční standard OSMONT AURA 10, LED 3000K, 1800lm, IP44, bílá/ opál - 68041</t>
  </si>
  <si>
    <t>TYP D4N - referenční standard OSMONT AURA 10, LED 3000K, 1800lm, IP44,1h nouzový inverter, bílá/ opál - 68045</t>
  </si>
  <si>
    <t>TYP Em - referenční standard OSMONT STYX 4, LED 3000K, 3430lm, IP65, mosaz / opál - 61238</t>
  </si>
  <si>
    <t>TYP E1m - referenční standard OSMONT STYX 3, LED 3000K, 2610lm, IP65, mosaz / opál - 61248</t>
  </si>
  <si>
    <t>TYP EX1 - referenční standard SLV ESKINA , LED 3000K, 1000lm, IP65, antracit - 1002903</t>
  </si>
  <si>
    <t>TYP EX2 - referenční standard  iLED Cicada Single Emission , LED 3000K, 2234lm, IP65, bílá - 83622W00</t>
  </si>
  <si>
    <t>TYP F - referenční standard OSMONT ADRIA S4 HP, LED 3000K, 7810lm, IP40, stmívání tlačítkem, bílá / opál - 62221</t>
  </si>
  <si>
    <t>TYP F1 - referenční standard OSMONT ADRIA S3, LED 3000K, 3430lm, IP40,  mosaz / opál - 60345</t>
  </si>
  <si>
    <t>TYP G - referenční standard WD RAY MINI WALL 2.0 PAR16, bílá  - 301220W0</t>
  </si>
  <si>
    <t xml:space="preserve">sv. zdroj  - referenční standard CorePro LEDspot ND 4,6-50W GU10 865 36D 6500K, 390lm, Ra 80 - </t>
  </si>
  <si>
    <t>TYP H - VTREVOS PRIMA LED , LED 4000K, 1410lm, IP66,  šedá / čirá - 65020</t>
  </si>
  <si>
    <t>TYP J - referenční standard HALLA TURE, LED 3000K, 1980m, bílá / opál - 56-001K-10GHV/830, W + 00-00152E/1980lm</t>
  </si>
  <si>
    <t>TYP K  - referenční standard HALLA VALI 55- T, LED 3000K, 1650lm, 68° , bílá - 178-600W-10GGE/930, W</t>
  </si>
  <si>
    <t>TYP K1  - referenční standard HALLA VALI 80- T, LED 3000K, 2970lm, 68° , černá</t>
  </si>
  <si>
    <t>3F lišta 3m - referenční standard GLOBAL 3.O lišta 3m, bílá - XTS4300-3, black</t>
  </si>
  <si>
    <t>3F napaječ - referenční standard GLOBAL 3.O napájení, bílá  - XTS11-3, black</t>
  </si>
  <si>
    <t>3F koncovka - referenční standard GLOBAL 3.O koncovka - XTS41-2-3, black</t>
  </si>
  <si>
    <t>3F lišta 3m - referenční standard GLOBAL 3.O lišta 3m, bílá - XTS4300-3, white</t>
  </si>
  <si>
    <t>3F lišta 2m - referenční standard GLOBAL 3.O lišta 2m, bílá - XTS4200-3, white</t>
  </si>
  <si>
    <t>3F lišta 1m - referenční standard GLOBAL 3.O lišta 1m, bílá - XTS4100-3, white</t>
  </si>
  <si>
    <t>3F napaječ - referenční standard GLOBAL 3.O napájení, bílá  - XTS11-3, white</t>
  </si>
  <si>
    <t>3F spoj L - referenční standard GLOBAL 3.O spoj L, bílá - XTS34-3, white</t>
  </si>
  <si>
    <t>3F spojka - referenční standard GLOBAL 3.O spojka přímá - XTS21-2-3, white</t>
  </si>
  <si>
    <t>3F koncovka - referenční standard GLOBAL 3.O koncovka - XTS41-2-3, white</t>
  </si>
  <si>
    <t>TYP L1 - referenční standard HALLA LIPO 35 , 1408 mm, LED 3000K, 2360lm, bílá/ opál - 35-250K-30GEE/830, W</t>
  </si>
  <si>
    <t>TYP L2 - referenční standard HALLA LIPO 35 , 1688 mm, LED 3000K, 2770lm, bílá/ opál - 35-250K-30GEE/830, W</t>
  </si>
  <si>
    <t>TYP L2a - referenční standard HALLA LIPO 35 , 1688 mm, LED 3000K, 2770lm, bílá/ opál - 35-550K-30GEE/830, W</t>
  </si>
  <si>
    <t>TYP L2b - referenční standard HALLA LIPO 35 , 1688 mm, LED 3000K, 2770lm, bílá/ mikroprisma - 35-550I-30GEE/830, W</t>
  </si>
  <si>
    <t>TYP M - referenční standard HALLA LINA 45 , 1964 mm, LED 3000K, 6670lm, bílá/ opál - 45-501K-35GGE/830, W</t>
  </si>
  <si>
    <t>TYP Ma - referenční standard HALLA LINA 45 , 1964 mm, LED 3000K, 6140lm, bílá/ mikroprisma - 45-501I-35GGE/830, W</t>
  </si>
  <si>
    <t>TYP M1 - referenční standard HALLA LINA 45 , 1122 mm, LED 3000K,3330lm, bílá/ opál - 45-501K-20GGE/830, W</t>
  </si>
  <si>
    <t>TYP M2 - referenční standard HALLA LINA 45 , 2244  mm, LED 3000K,5050lm, bílá/ opál - 45-501K-40GEE/830, W</t>
  </si>
  <si>
    <t>TYP M3 - referenční standard HALLA LINA 45 , 1683  mm, LED 3000K,5550lm, bílá/ opál - 45-501K-30GGE/830, W</t>
  </si>
  <si>
    <t>TYP N - referenční standard SCHRACK KM , IP54, 1hod autonomnost, piktogram, autotest, viditelnost 24m, bílá - NLKMU033SC</t>
  </si>
  <si>
    <t>TYP N1 - referenční standard SCHRACK KT , IP54, 1hod autonomnost, piktogram, test tlačítko, viditelnost 16m, bílá - NLKTU003</t>
  </si>
  <si>
    <t>TYP N3 - referenční standard SEC _x0014__x0015__x0016__x0014__x0017__x0018__x0019__x001A__x001B__x001C__x001D__x001E__x0019__x001F__x0019__x0014__x0015__x0016__x0014__x0017__x0018__x0019__x001A__x001B__x001C__x001D__x001E__x0019__x001F__x0019_LEDLUX-SPOT3 B-P  , IP20, 1hod autonomnost, LED 225lm, autotest, antipanic, bílá - 344-B-103-04-00-01</t>
  </si>
  <si>
    <t>TYP N4 - referenční standard SEC _x0014__x0015__x0016__x0014__x0017__x0018__x0019__x001A__x001B__x001C__x001D__x001E__x0019__x001F__x0019__x0014__x0015__x0016__x0014__x0017__x0018__x0019__x001A__x001B__x001C__x001D__x001E__x0019__x001F__x0019_LEDLUX-SPOT3 A-P  , IP20, 1hod autonomnost, LED 225lm, autotest, antipanic corridor , bílá - 344-B-101-04-00-01</t>
  </si>
  <si>
    <t>TYP N5 - referenční standard SEC _x0014__x0015__x0016__x0014__x0017__x0018__x0019__x001A__x001B__x001C__x001D__x001E__x0019__x001F__x0019__x0014__x0015__x0016__x0014__x0017__x0018__x0019__x001A__x001B__x001C__x001D__x001E__x0019__x001F__x0019_TREND LUX 3-A , IP65, 1hod autonomnost, LED 300lm, exterior, autotest,  bílá - 341-B-013-04-00-00</t>
  </si>
  <si>
    <t>TYP N6 - referenční standard SEC _x0014__x0015__x0016__x0014__x0017__x0018__x0019__x001A__x001B__x001C__x001D__x001E__x0019__x001F__x0019__x0014__x0015__x0016__x0014__x0017__x0018__x0019__x001A__x001B__x001C__x001D__x001E__x0019__x001F__x0019_LEDLUX-SPOT- C  , IP20, 1hod autonomnost, LED 450lm,  autotest, fire equipment, bílá  - 182-b-248-04-00-01</t>
  </si>
  <si>
    <t>TYP P - referenční standard ENSTO JONO , 1200 mm, IP44, LED 3000K, 1790lm, bílá/ opál - AVR66.120L/3K</t>
  </si>
  <si>
    <t>TYP R  - referenční standard AQForm TUBA next 50 LED M930 36°, LED 3000K, 710lm, 36°, bílá - 46975-M930-F1-00-13</t>
  </si>
  <si>
    <t xml:space="preserve">Zásuvky, ovladače, krabice, motory, lišty - referenční standard </t>
  </si>
  <si>
    <t>Podomítkový set pro zazdění Basic WC systém compact - viz specifikace SA.8, včetně doplňků</t>
  </si>
  <si>
    <t>Dokumentace skutečného provedení trubních rozvodů</t>
  </si>
  <si>
    <t>Stavební sada odkouření přes šikmou střechu DN 80/125mm</t>
  </si>
  <si>
    <t>11 VKM8/500  11-050040-S0</t>
  </si>
  <si>
    <t>21 VKM8/500  21-050050-S0</t>
  </si>
  <si>
    <t>21 PLAN VKM8/500  21-050090-S0P</t>
  </si>
  <si>
    <t>21 VKM8/600  21-060040-S0</t>
  </si>
  <si>
    <t>21 VKM8/600  21-060050-S0</t>
  </si>
  <si>
    <t>21 VKM8/600  21-060060-S0</t>
  </si>
  <si>
    <t>21 VKM8/600  21-060070-S0</t>
  </si>
  <si>
    <t>21 VKM8/600  21-060080-S0</t>
  </si>
  <si>
    <t>21 VKM8/600  21-060090-S0</t>
  </si>
  <si>
    <t>21 PLAN VKM8/600  21-060160-S0P</t>
  </si>
  <si>
    <t>21 VKM8/900  21-090060-S0</t>
  </si>
  <si>
    <t>22 VKM8/300  22-030070-S0</t>
  </si>
  <si>
    <t>22 VKM8/300  22-030080-S0</t>
  </si>
  <si>
    <t>22 VKM8/500  22-050080-S0</t>
  </si>
  <si>
    <t>22 VKM8/600  22-060070-S0</t>
  </si>
  <si>
    <t>22 VKM8/600  22-060090-S0</t>
  </si>
  <si>
    <t>22 VKM8/700  22-070120-S0</t>
  </si>
  <si>
    <t>22 VKM8/900  22-090050-S0</t>
  </si>
  <si>
    <t>22 VKM8/900  22-090060-S0</t>
  </si>
  <si>
    <t>22 VKM8/900  22-090080-S0</t>
  </si>
  <si>
    <t>22 PLAN VKM8/900  22-090080-S0P</t>
  </si>
  <si>
    <t>33 PLAN VKM8/300  33-030120-S0P</t>
  </si>
  <si>
    <t>33 VKM8/300  33-030260-S0</t>
  </si>
  <si>
    <t>33 VKM8/400  33-040090-S0</t>
  </si>
  <si>
    <t>33 VKM8/400  33-040100-S0</t>
  </si>
  <si>
    <t>33 PLAN VKM8/500  33-050080-S0P</t>
  </si>
  <si>
    <t>33 PLAN VKM8/500  33-050090-S0P</t>
  </si>
  <si>
    <t>33 PLAN VKM8/500  33-050110-S0P</t>
  </si>
  <si>
    <t>33 VKM8/600  33-060080-S0</t>
  </si>
  <si>
    <t>33 PLAN VKM8/600  33-060090-S0P</t>
  </si>
  <si>
    <t>KLCM 1220  KLC-122075-00M</t>
  </si>
  <si>
    <t>KLCM 1820  KLC-182045-00M</t>
  </si>
  <si>
    <t>Systémová deska PDL 1400x800 (modul 50mm)</t>
  </si>
  <si>
    <t>REV01</t>
  </si>
  <si>
    <t>WC závěsné, hluboké splachování, bílé - viz specifikace SA.6, včetně doplňků a splachovacího tlačítka</t>
  </si>
  <si>
    <t>WC závěsné pro invalidy, bílé - viz specifikace SA.7, včetně doplňků a splachovacího tlačítka</t>
  </si>
  <si>
    <t>Umývadlo bílé 600 mm - viz specifikace SA.10, vč. doplňků, instalační sady a sifonu (chromovaná mosaz)</t>
  </si>
  <si>
    <t>Umývadlo pro invalidy, bílé 640 mm - viz specifikace SA.11, vč. doplňků, instalační sady a sifonu (chromovaná mosaz)</t>
  </si>
  <si>
    <t>5) Ostatní armatury a tvarovky - plynoměr včetně rozpěrky a regulátoru dodávkou poskytovatele plynu</t>
  </si>
  <si>
    <t>Šroubení s ventilem, komplet bílý M30x1,5 Multilux 4 SET, včetně termostatické hlavice</t>
  </si>
  <si>
    <t>Úprava popisů a položek ve vyznačených listech</t>
  </si>
  <si>
    <t>Z.2</t>
  </si>
  <si>
    <t>VRÁTKA NA DVŮR STÁVAJÍCÍ - demontáž, zabalení, uskladnění a zpětná montáž stávajícího prvku</t>
  </si>
  <si>
    <t>2) Náklady z rozpočtu</t>
  </si>
  <si>
    <t xml:space="preserve"> =2,96*2,45</t>
  </si>
  <si>
    <t xml:space="preserve"> =(5,6+5,4)*2*3</t>
  </si>
  <si>
    <t>ODKAZ</t>
  </si>
  <si>
    <t>4) Vedlejší rozpočtové náklady</t>
  </si>
  <si>
    <t>Mezisoučet náklady za stavbu</t>
  </si>
  <si>
    <t xml:space="preserve"> =(6,9)*0,7*hloubka</t>
  </si>
  <si>
    <t xml:space="preserve"> =6,9*0,7</t>
  </si>
  <si>
    <t xml:space="preserve"> =1*0,5</t>
  </si>
  <si>
    <t xml:space="preserve"> =1*0,5*šířka</t>
  </si>
  <si>
    <t xml:space="preserve"> =(6,9)*(1,1+2)/2</t>
  </si>
  <si>
    <t xml:space="preserve"> =(6,9)*0,8</t>
  </si>
  <si>
    <t xml:space="preserve"> =(6,9)</t>
  </si>
  <si>
    <t xml:space="preserve"> =(1,1+2)/2*1</t>
  </si>
  <si>
    <t xml:space="preserve"> =1*0,4</t>
  </si>
  <si>
    <t xml:space="preserve"> =4*výška</t>
  </si>
  <si>
    <t xml:space="preserve"> =1*VÝŠKA</t>
  </si>
  <si>
    <t xml:space="preserve"> =0,5*1</t>
  </si>
  <si>
    <t xml:space="preserve"> =1</t>
  </si>
  <si>
    <t xml:space="preserve"> =0,8*2</t>
  </si>
  <si>
    <t xml:space="preserve"> =(3,06*2,45+2,26*2,25)*dvě plochy</t>
  </si>
  <si>
    <t>celkové množství</t>
  </si>
  <si>
    <t xml:space="preserve"> =(3,2+6+13,8+3,5+5,8*2+3,7+4,7+6,6+6,1+5,5+5,6+5,1+7,3+1,1)*2+7,4+1,5</t>
  </si>
  <si>
    <t>VĚTRACÍ KOMÍNEK DN 125, detailní specifikace viz PD - sníženo množství o počet v DOTACE</t>
  </si>
  <si>
    <t>celková cena [Kč] STAVBA</t>
  </si>
  <si>
    <t>množství STAVBA</t>
  </si>
  <si>
    <t>množství celkem</t>
  </si>
  <si>
    <t>Mn. Celkem</t>
  </si>
  <si>
    <t>Mn. STAVBA</t>
  </si>
  <si>
    <t>Dodávka STAVBA</t>
  </si>
  <si>
    <t>Montáž STAVBA</t>
  </si>
  <si>
    <t>0,4</t>
  </si>
  <si>
    <t>cena celkem STAVBA</t>
  </si>
  <si>
    <t>1) Náklady z rozpočtu - prostory Infocentrum a navazující</t>
  </si>
  <si>
    <t>množství "Infocentrum a navazující"</t>
  </si>
  <si>
    <t>celková cena [Kč] "Infocentrum a navazující"</t>
  </si>
  <si>
    <t>Mn. "Infocentrum a navazující"</t>
  </si>
  <si>
    <t>Dodávka "Infocentrum a navazující"</t>
  </si>
  <si>
    <t>Montáž "Infocentrum a navazující"</t>
  </si>
  <si>
    <t>cena celkem "Infocentrum a navazující"</t>
  </si>
  <si>
    <t xml:space="preserve"> =0,2*0,3*2,2*2+0,65*2,36*0,3+0,8*0,2*2,8</t>
  </si>
  <si>
    <t xml:space="preserve"> =0,15*2,25*0,3*2*2</t>
  </si>
  <si>
    <t xml:space="preserve"> =(20+30,61)*tloušťka</t>
  </si>
  <si>
    <t xml:space="preserve"> =(22,76+27,72+40,52)*tloušťka+(20+15,1+30,61+4,95+2,28)*tloušťka</t>
  </si>
  <si>
    <t xml:space="preserve"> =20+30,61</t>
  </si>
  <si>
    <t xml:space="preserve"> =34+24,54+43,31+2,36</t>
  </si>
  <si>
    <t xml:space="preserve"> =(5,6+5,4+6,3+3,2)*2*3</t>
  </si>
  <si>
    <t xml:space="preserve"> =(6,9+6,3+6+3,5+5,9+5,7+1,9+1,1)*2*3,38</t>
  </si>
  <si>
    <t xml:space="preserve"> =(20+30,61)</t>
  </si>
  <si>
    <t xml:space="preserve"> =(11,8)*0,7*hloubka</t>
  </si>
  <si>
    <t xml:space="preserve"> =(11,8+6,9)*0,7* plocha řezu</t>
  </si>
  <si>
    <t xml:space="preserve"> =(11,8)*0,7</t>
  </si>
  <si>
    <t xml:space="preserve"> =((5,6+5,4+6,3+3,2)*2)*výška</t>
  </si>
  <si>
    <t xml:space="preserve"> =(11,8+6,9)*výška</t>
  </si>
  <si>
    <t xml:space="preserve"> =(11,8)*0,5+(6,9)*(1,1+2)/2</t>
  </si>
  <si>
    <t xml:space="preserve"> =(11,8)*0,4</t>
  </si>
  <si>
    <t xml:space="preserve"> =(11,8)*0,8</t>
  </si>
  <si>
    <t xml:space="preserve"> =(11,8)</t>
  </si>
  <si>
    <t xml:space="preserve"> =(11,8+6,9)*0,8</t>
  </si>
  <si>
    <t xml:space="preserve"> =(11,8+6,9)*(2-0,8)</t>
  </si>
  <si>
    <t xml:space="preserve"> =(11,8+6,9)*(1-0,8)</t>
  </si>
  <si>
    <t xml:space="preserve"> =((5,6+5,4+6,3+3,2)*2+1,6*4)*2</t>
  </si>
  <si>
    <t xml:space="preserve"> =((5,6+5,4+6,3+3,2)*2)*0,7</t>
  </si>
  <si>
    <t xml:space="preserve"> =32*2</t>
  </si>
  <si>
    <t xml:space="preserve"> =(5,4+5,58+6,26+3,2)*2</t>
  </si>
  <si>
    <t xml:space="preserve"> =1*délka</t>
  </si>
  <si>
    <t xml:space="preserve"> =1,85*2+1,3*2</t>
  </si>
  <si>
    <t>odpočet INFO</t>
  </si>
  <si>
    <t xml:space="preserve"> =1,87*2,76</t>
  </si>
  <si>
    <t xml:space="preserve"> =2,5+3+1,9*3+2*2</t>
  </si>
  <si>
    <t xml:space="preserve"> =0,9*2</t>
  </si>
  <si>
    <t xml:space="preserve"> =(1,35)*3,38</t>
  </si>
  <si>
    <t xml:space="preserve"> =(0,7*1,97)*koeficient</t>
  </si>
  <si>
    <t xml:space="preserve"> =(1,86+1,275)*1,5</t>
  </si>
  <si>
    <t>původní množství</t>
  </si>
  <si>
    <t xml:space="preserve"> =5,1*výška</t>
  </si>
  <si>
    <t>celkové původní množství</t>
  </si>
  <si>
    <t>viz část INFO</t>
  </si>
  <si>
    <t>;</t>
  </si>
  <si>
    <t>1) Bourání a demolice + sanace- prostory Infocentrum a navazující</t>
  </si>
  <si>
    <t>2) Stavební práce a dodávky- prostory Infocentrum a navazující</t>
  </si>
  <si>
    <t>3) Technologie- prostory Infocentrum a navazující</t>
  </si>
  <si>
    <t>4) Vedlejší rozpočtové náklady- prostory Infocentrum a navazující</t>
  </si>
  <si>
    <t>Mezisoučet náklady za stavbu- prostory Infocentrum a navazující</t>
  </si>
  <si>
    <t xml:space="preserve">Jsou-li instalována tato zařízení k využívání vody, je pro ně uvedená spotřeba následující: umyvadlové a kuchyňské baterie mají maximální průtok vody 6 litrů/min, sprchy mají maximální průtok 8 listrů/min, WC mají úplný objem splachovací vody maximálně 6 litrů a maximální průměrný objem splachovací vody 3,75 litru, pisoáry spotřebují max. 2 litry/mísu/hodinu, splachovací pisoáry mají maximální úplný objem splachovací vody 1 litr.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</si>
</sst>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* #,##0.00\ &quot;Kč&quot;_-;\-* #,##0.00\ &quot;Kč&quot;_-;_-* &quot;-&quot;??\ &quot;Kč&quot;_-;_-@_-"/>
    <numFmt numFmtId="43" formatCode="_-* #,##0.00_-;\-* #,##0.00_-;_-* &quot;-&quot;??_-;_-@_-"/>
    <numFmt numFmtId="164" formatCode="_-* #,##0.00\ _K_č_-;\-* #,##0.00\ _K_č_-;_-* &quot;-&quot;??\ _K_č_-;_-@_-"/>
    <numFmt numFmtId="165" formatCode="#,##0.00%"/>
    <numFmt numFmtId="166" formatCode="dd\.mm\.yyyy"/>
    <numFmt numFmtId="167" formatCode="#,##0.000"/>
    <numFmt numFmtId="168" formatCode="_-* #,##0_-;\-* #,##0_-;_-* &quot;-&quot;??_-;_-@_-"/>
    <numFmt numFmtId="169" formatCode="_-* #,##0.0\ &quot;Kč&quot;_-;\-* #,##0.0\ &quot;Kč&quot;_-;_-* &quot;-&quot;??\ &quot;Kč&quot;_-;_-@_-"/>
    <numFmt numFmtId="170" formatCode="0.0%"/>
    <numFmt numFmtId="171" formatCode="_-* #,##0.0000_-;\-* #,##0.0000_-;_-* &quot;-&quot;??_-;_-@_-"/>
  </numFmts>
  <fonts count="116">
    <font>
      <sz val="8"/>
      <name val="Trebuchet MS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8"/>
      <name val="Trebuchet MS"/>
      <family val="2"/>
    </font>
    <font>
      <sz val="10"/>
      <name val="Arial"/>
      <family val="2"/>
      <charset val="238"/>
    </font>
    <font>
      <sz val="10"/>
      <name val="Arial CE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Univers (WN)"/>
      <charset val="238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9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 CE"/>
      <family val="2"/>
      <charset val="238"/>
    </font>
    <font>
      <b/>
      <sz val="9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6"/>
      <name val="Arial CE"/>
      <family val="2"/>
      <charset val="238"/>
    </font>
    <font>
      <sz val="9"/>
      <color rgb="FF000000"/>
      <name val="Arial CE"/>
      <family val="2"/>
      <charset val="238"/>
    </font>
    <font>
      <sz val="9"/>
      <color rgb="FF969696"/>
      <name val="Arial CE"/>
      <family val="2"/>
      <charset val="238"/>
    </font>
    <font>
      <sz val="8"/>
      <color theme="0" tint="-0.34998626667073579"/>
      <name val="Arial CE"/>
      <family val="2"/>
      <charset val="238"/>
    </font>
    <font>
      <sz val="10"/>
      <color rgb="FF464646"/>
      <name val="Arial CE"/>
      <family val="2"/>
      <charset val="238"/>
    </font>
    <font>
      <sz val="8"/>
      <color rgb="FF969696"/>
      <name val="Arial CE"/>
      <family val="2"/>
      <charset val="238"/>
    </font>
    <font>
      <b/>
      <sz val="8"/>
      <color rgb="FF969696"/>
      <name val="Arial CE"/>
      <family val="2"/>
      <charset val="238"/>
    </font>
    <font>
      <b/>
      <sz val="10"/>
      <color rgb="FF464646"/>
      <name val="Arial CE"/>
      <family val="2"/>
      <charset val="238"/>
    </font>
    <font>
      <sz val="10"/>
      <color rgb="FF969696"/>
      <name val="Arial CE"/>
      <family val="2"/>
      <charset val="238"/>
    </font>
    <font>
      <b/>
      <sz val="12"/>
      <color rgb="FF960000"/>
      <name val="Arial CE"/>
      <family val="2"/>
      <charset val="238"/>
    </font>
    <font>
      <b/>
      <sz val="12"/>
      <color rgb="FF800000"/>
      <name val="Arial CE"/>
      <family val="2"/>
      <charset val="238"/>
    </font>
    <font>
      <sz val="12"/>
      <color rgb="FF003366"/>
      <name val="Arial CE"/>
      <family val="2"/>
      <charset val="238"/>
    </font>
    <font>
      <sz val="10"/>
      <color rgb="FF003366"/>
      <name val="Arial CE"/>
      <family val="2"/>
      <charset val="238"/>
    </font>
    <font>
      <sz val="8"/>
      <color rgb="FF003366"/>
      <name val="Arial CE"/>
      <family val="2"/>
      <charset val="238"/>
    </font>
    <font>
      <b/>
      <sz val="10"/>
      <color rgb="FF003366"/>
      <name val="Arial CE"/>
      <family val="2"/>
      <charset val="238"/>
    </font>
    <font>
      <sz val="8"/>
      <color rgb="FF505050"/>
      <name val="Arial CE"/>
      <family val="2"/>
      <charset val="238"/>
    </font>
    <font>
      <i/>
      <sz val="8"/>
      <color rgb="FF0000FF"/>
      <name val="Arial CE"/>
      <family val="2"/>
      <charset val="238"/>
    </font>
    <font>
      <sz val="10"/>
      <color theme="10"/>
      <name val="Arial CE"/>
      <family val="2"/>
      <charset val="238"/>
    </font>
    <font>
      <sz val="11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1"/>
      <name val="Arial CE"/>
      <family val="2"/>
      <charset val="238"/>
    </font>
    <font>
      <b/>
      <sz val="11"/>
      <color indexed="10"/>
      <name val="Arial CE"/>
      <family val="2"/>
      <charset val="238"/>
    </font>
    <font>
      <b/>
      <sz val="11"/>
      <color theme="1"/>
      <name val="Arial CE"/>
      <family val="2"/>
      <charset val="238"/>
    </font>
    <font>
      <b/>
      <u/>
      <sz val="11"/>
      <name val="Arial CE"/>
      <family val="2"/>
      <charset val="238"/>
    </font>
    <font>
      <i/>
      <sz val="8"/>
      <color indexed="10"/>
      <name val="Arial CE"/>
      <family val="2"/>
      <charset val="238"/>
    </font>
    <font>
      <b/>
      <sz val="10"/>
      <color indexed="10"/>
      <name val="Times New Roman"/>
      <family val="1"/>
      <charset val="238"/>
    </font>
    <font>
      <sz val="9"/>
      <color indexed="10"/>
      <name val="Times New Roman"/>
      <family val="1"/>
      <charset val="238"/>
    </font>
    <font>
      <sz val="9"/>
      <color indexed="10"/>
      <name val="Arial CE"/>
      <family val="2"/>
      <charset val="238"/>
    </font>
    <font>
      <b/>
      <sz val="9"/>
      <color indexed="10"/>
      <name val="Times New Roman"/>
      <family val="1"/>
      <charset val="238"/>
    </font>
    <font>
      <b/>
      <sz val="8"/>
      <color indexed="10"/>
      <name val="Arial CE"/>
      <family val="2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b/>
      <i/>
      <sz val="9"/>
      <name val="Times New Roman"/>
      <family val="1"/>
      <charset val="238"/>
    </font>
    <font>
      <sz val="10"/>
      <name val="Times New Roman"/>
      <family val="1"/>
      <charset val="238"/>
    </font>
    <font>
      <b/>
      <sz val="11"/>
      <color indexed="10"/>
      <name val="Times New Roman"/>
      <family val="1"/>
      <charset val="238"/>
    </font>
    <font>
      <sz val="11"/>
      <name val="Arial CE"/>
      <family val="2"/>
      <charset val="238"/>
    </font>
    <font>
      <b/>
      <sz val="9"/>
      <name val="Arial"/>
      <family val="2"/>
      <charset val="238"/>
    </font>
    <font>
      <sz val="8"/>
      <color indexed="10"/>
      <name val="Times New Roman"/>
      <family val="1"/>
      <charset val="238"/>
    </font>
    <font>
      <b/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0"/>
      <color theme="1"/>
      <name val="Arial CE"/>
      <family val="2"/>
      <charset val="238"/>
    </font>
    <font>
      <b/>
      <sz val="7"/>
      <color rgb="FF000000"/>
      <name val="Arial CE"/>
      <family val="2"/>
      <charset val="238"/>
    </font>
    <font>
      <b/>
      <sz val="9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Arial"/>
      <family val="2"/>
      <charset val="238"/>
    </font>
    <font>
      <sz val="10"/>
      <name val="Helv"/>
      <family val="2"/>
    </font>
    <font>
      <sz val="9"/>
      <color indexed="8"/>
      <name val="Arial"/>
      <family val="2"/>
      <charset val="238"/>
    </font>
    <font>
      <sz val="8"/>
      <color theme="0" tint="-0.499984740745262"/>
      <name val="Arial CE"/>
      <family val="2"/>
      <charset val="238"/>
    </font>
    <font>
      <sz val="12"/>
      <color theme="0" tint="-0.499984740745262"/>
      <name val="Arial CE"/>
      <family val="2"/>
      <charset val="238"/>
    </font>
    <font>
      <sz val="10"/>
      <color theme="0" tint="-0.499984740745262"/>
      <name val="Arial CE"/>
      <family val="2"/>
      <charset val="238"/>
    </font>
    <font>
      <i/>
      <sz val="8"/>
      <color theme="0" tint="-0.499984740745262"/>
      <name val="Arial CE"/>
      <family val="2"/>
      <charset val="238"/>
    </font>
    <font>
      <sz val="9"/>
      <color theme="0" tint="-0.499984740745262"/>
      <name val="Arial CE"/>
      <family val="2"/>
      <charset val="238"/>
    </font>
    <font>
      <b/>
      <sz val="11"/>
      <color theme="0" tint="-0.499984740745262"/>
      <name val="Arial CE"/>
      <family val="2"/>
      <charset val="238"/>
    </font>
    <font>
      <b/>
      <sz val="9"/>
      <color indexed="8"/>
      <name val="Arial"/>
      <family val="2"/>
      <charset val="238"/>
    </font>
    <font>
      <b/>
      <sz val="9"/>
      <name val="Arial CE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9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sz val="8"/>
      <name val="Times New Roman"/>
      <family val="1"/>
      <charset val="238"/>
    </font>
    <font>
      <b/>
      <sz val="8"/>
      <name val="Arial CE"/>
      <family val="2"/>
      <charset val="238"/>
    </font>
    <font>
      <b/>
      <sz val="8"/>
      <color theme="0" tint="-0.499984740745262"/>
      <name val="Arial CE"/>
      <family val="2"/>
      <charset val="238"/>
    </font>
    <font>
      <b/>
      <i/>
      <sz val="10"/>
      <name val="Arial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family val="2"/>
      <charset val="238"/>
    </font>
    <font>
      <vertAlign val="superscript"/>
      <sz val="10"/>
      <name val="Arial CE"/>
      <family val="2"/>
      <charset val="238"/>
    </font>
    <font>
      <vertAlign val="superscript"/>
      <sz val="10"/>
      <name val="Arial"/>
      <family val="2"/>
      <charset val="238"/>
    </font>
    <font>
      <i/>
      <sz val="10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color indexed="9"/>
      <name val="Arial"/>
      <family val="2"/>
      <charset val="238"/>
    </font>
    <font>
      <sz val="12"/>
      <name val="PalmSprings"/>
      <charset val="238"/>
    </font>
    <font>
      <sz val="10"/>
      <name val="Trebuchet MS"/>
      <family val="2"/>
      <charset val="238"/>
    </font>
    <font>
      <i/>
      <sz val="10"/>
      <color indexed="60"/>
      <name val="Arial"/>
      <family val="2"/>
      <charset val="238"/>
    </font>
    <font>
      <i/>
      <sz val="10"/>
      <color indexed="60"/>
      <name val="Arial CE"/>
      <family val="2"/>
      <charset val="238"/>
    </font>
    <font>
      <b/>
      <i/>
      <u/>
      <sz val="10"/>
      <name val="Arial"/>
      <family val="2"/>
      <charset val="238"/>
    </font>
    <font>
      <sz val="8"/>
      <color theme="0" tint="-0.499984740745262"/>
      <name val="Arial"/>
      <family val="2"/>
      <charset val="238"/>
    </font>
    <font>
      <b/>
      <sz val="8"/>
      <color theme="0" tint="-0.499984740745262"/>
      <name val="Arial"/>
      <family val="2"/>
      <charset val="238"/>
    </font>
    <font>
      <sz val="9"/>
      <color theme="0" tint="-0.34998626667073579"/>
      <name val="Arial CE"/>
      <family val="2"/>
      <charset val="238"/>
    </font>
    <font>
      <b/>
      <sz val="8"/>
      <color rgb="FF003366"/>
      <name val="Arial CE"/>
      <family val="2"/>
      <charset val="238"/>
    </font>
    <font>
      <i/>
      <sz val="8"/>
      <name val="Arial CE"/>
      <family val="2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8"/>
      <color rgb="FFFF0000"/>
      <name val="Arial CE"/>
      <family val="2"/>
      <charset val="238"/>
    </font>
    <font>
      <b/>
      <sz val="8"/>
      <name val="Arial CE"/>
      <charset val="238"/>
    </font>
    <font>
      <b/>
      <sz val="8"/>
      <color theme="0" tint="-0.499984740745262"/>
      <name val="Arial CE"/>
      <charset val="238"/>
    </font>
    <font>
      <sz val="10"/>
      <color rgb="FFFF0000"/>
      <name val="Arial CE"/>
      <family val="2"/>
      <charset val="238"/>
    </font>
    <font>
      <b/>
      <i/>
      <sz val="8"/>
      <color rgb="FF0000FF"/>
      <name val="Arial CE"/>
      <charset val="238"/>
    </font>
    <font>
      <sz val="8"/>
      <color theme="9"/>
      <name val="Arial CE"/>
      <family val="2"/>
      <charset val="238"/>
    </font>
    <font>
      <b/>
      <sz val="11"/>
      <color rgb="FF800000"/>
      <name val="Arial CE"/>
      <family val="2"/>
      <charset val="238"/>
    </font>
    <font>
      <sz val="8"/>
      <name val="Arial CE"/>
      <charset val="238"/>
    </font>
    <font>
      <sz val="8"/>
      <color theme="0" tint="-0.499984740745262"/>
      <name val="Arial CE"/>
      <charset val="238"/>
    </font>
  </fonts>
  <fills count="16">
    <fill>
      <patternFill patternType="none"/>
    </fill>
    <fill>
      <patternFill patternType="gray125"/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1"/>
        <bgColor indexed="50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22"/>
        <bgColor indexed="31"/>
      </patternFill>
    </fill>
    <fill>
      <patternFill patternType="solid">
        <fgColor theme="9" tint="0.79998168889431442"/>
        <bgColor indexed="64"/>
      </patternFill>
    </fill>
  </fills>
  <borders count="8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 diagonalUp="1"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 style="thin">
        <color indexed="8"/>
      </diagonal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</borders>
  <cellStyleXfs count="150">
    <xf numFmtId="0" fontId="0" fillId="0" borderId="0"/>
    <xf numFmtId="0" fontId="6" fillId="0" borderId="0" applyNumberFormat="0" applyFill="0" applyBorder="0" applyAlignment="0" applyProtection="0"/>
    <xf numFmtId="9" fontId="7" fillId="0" borderId="0" applyFont="0" applyFill="0" applyBorder="0" applyAlignment="0" applyProtection="0"/>
    <xf numFmtId="0" fontId="8" fillId="0" borderId="0"/>
    <xf numFmtId="164" fontId="7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0" fontId="11" fillId="0" borderId="0"/>
    <xf numFmtId="0" fontId="12" fillId="5" borderId="0" applyNumberFormat="0" applyBorder="0" applyAlignment="0" applyProtection="0"/>
    <xf numFmtId="0" fontId="13" fillId="0" borderId="0">
      <alignment vertical="top"/>
    </xf>
    <xf numFmtId="164" fontId="8" fillId="0" borderId="0" applyFill="0" applyBorder="0" applyAlignment="0" applyProtection="0"/>
    <xf numFmtId="0" fontId="8" fillId="0" borderId="0"/>
    <xf numFmtId="0" fontId="14" fillId="0" borderId="0"/>
    <xf numFmtId="0" fontId="15" fillId="0" borderId="0" applyNumberFormat="0" applyFill="0" applyBorder="0" applyAlignment="0" applyProtection="0"/>
    <xf numFmtId="0" fontId="9" fillId="0" borderId="0"/>
    <xf numFmtId="0" fontId="11" fillId="0" borderId="0"/>
    <xf numFmtId="44" fontId="11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164" fontId="7" fillId="0" borderId="0" applyFont="0" applyFill="0" applyBorder="0" applyAlignment="0" applyProtection="0"/>
    <xf numFmtId="0" fontId="11" fillId="0" borderId="0"/>
    <xf numFmtId="0" fontId="11" fillId="0" borderId="0"/>
    <xf numFmtId="0" fontId="10" fillId="0" borderId="0"/>
    <xf numFmtId="0" fontId="11" fillId="0" borderId="0"/>
    <xf numFmtId="44" fontId="8" fillId="0" borderId="0" applyFont="0" applyFill="0" applyBorder="0" applyAlignment="0" applyProtection="0"/>
    <xf numFmtId="0" fontId="10" fillId="0" borderId="0"/>
    <xf numFmtId="16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8" fillId="0" borderId="0" applyFill="0" applyBorder="0" applyAlignment="0" applyProtection="0"/>
    <xf numFmtId="44" fontId="11" fillId="0" borderId="0" applyFont="0" applyFill="0" applyBorder="0" applyAlignment="0" applyProtection="0"/>
    <xf numFmtId="16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0" fillId="0" borderId="0"/>
    <xf numFmtId="44" fontId="10" fillId="0" borderId="0" applyFont="0" applyFill="0" applyBorder="0" applyAlignment="0" applyProtection="0"/>
    <xf numFmtId="0" fontId="8" fillId="0" borderId="0"/>
    <xf numFmtId="164" fontId="8" fillId="0" borderId="0" applyFill="0" applyBorder="0" applyAlignment="0" applyProtection="0"/>
    <xf numFmtId="0" fontId="8" fillId="0" borderId="0"/>
    <xf numFmtId="0" fontId="8" fillId="0" borderId="0"/>
    <xf numFmtId="0" fontId="8" fillId="0" borderId="0"/>
    <xf numFmtId="44" fontId="8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8" fillId="0" borderId="0"/>
    <xf numFmtId="0" fontId="20" fillId="0" borderId="0"/>
    <xf numFmtId="44" fontId="9" fillId="0" borderId="0" applyFont="0" applyFill="0" applyBorder="0" applyAlignment="0" applyProtection="0"/>
    <xf numFmtId="0" fontId="9" fillId="0" borderId="0"/>
    <xf numFmtId="0" fontId="13" fillId="0" borderId="0">
      <alignment vertical="top"/>
    </xf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9" fillId="0" borderId="0"/>
    <xf numFmtId="43" fontId="7" fillId="0" borderId="0" applyFont="0" applyFill="0" applyBorder="0" applyAlignment="0" applyProtection="0"/>
    <xf numFmtId="0" fontId="40" fillId="0" borderId="0"/>
    <xf numFmtId="44" fontId="9" fillId="0" borderId="0" applyFont="0" applyFill="0" applyBorder="0" applyAlignment="0" applyProtection="0"/>
    <xf numFmtId="0" fontId="9" fillId="0" borderId="0" applyProtection="0"/>
    <xf numFmtId="164" fontId="5" fillId="0" borderId="0" applyFont="0" applyFill="0" applyBorder="0" applyAlignment="0" applyProtection="0"/>
    <xf numFmtId="0" fontId="8" fillId="0" borderId="0" applyProtection="0"/>
    <xf numFmtId="0" fontId="8" fillId="0" borderId="0"/>
    <xf numFmtId="0" fontId="9" fillId="0" borderId="0"/>
    <xf numFmtId="0" fontId="41" fillId="0" borderId="0" applyProtection="0"/>
    <xf numFmtId="164" fontId="4" fillId="0" borderId="0" applyFont="0" applyFill="0" applyBorder="0" applyAlignment="0" applyProtection="0"/>
    <xf numFmtId="0" fontId="41" fillId="0" borderId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8" fillId="0" borderId="0"/>
    <xf numFmtId="0" fontId="3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4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95" fillId="0" borderId="0"/>
  </cellStyleXfs>
  <cellXfs count="859">
    <xf numFmtId="0" fontId="0" fillId="0" borderId="0" xfId="0"/>
    <xf numFmtId="0" fontId="39" fillId="0" borderId="0" xfId="1" applyFont="1" applyAlignment="1" applyProtection="1">
      <alignment horizontal="center" vertical="center"/>
    </xf>
    <xf numFmtId="44" fontId="9" fillId="0" borderId="0" xfId="69" applyFont="1" applyBorder="1" applyAlignment="1" applyProtection="1">
      <alignment vertical="center"/>
    </xf>
    <xf numFmtId="43" fontId="9" fillId="0" borderId="0" xfId="58" applyFont="1" applyBorder="1" applyAlignment="1" applyProtection="1">
      <alignment vertical="center"/>
    </xf>
    <xf numFmtId="43" fontId="42" fillId="0" borderId="0" xfId="58" applyFont="1" applyBorder="1" applyAlignment="1" applyProtection="1">
      <alignment horizontal="left" vertical="center"/>
    </xf>
    <xf numFmtId="44" fontId="42" fillId="0" borderId="0" xfId="69" applyFont="1" applyBorder="1" applyAlignment="1" applyProtection="1">
      <alignment horizontal="left" vertical="center"/>
    </xf>
    <xf numFmtId="43" fontId="65" fillId="0" borderId="57" xfId="58" applyFont="1" applyBorder="1" applyAlignment="1" applyProtection="1">
      <alignment vertical="center" wrapText="1"/>
    </xf>
    <xf numFmtId="44" fontId="65" fillId="0" borderId="58" xfId="69" applyFont="1" applyBorder="1" applyAlignment="1" applyProtection="1">
      <alignment vertical="center" wrapText="1"/>
    </xf>
    <xf numFmtId="44" fontId="58" fillId="0" borderId="60" xfId="69" applyFont="1" applyBorder="1" applyAlignment="1" applyProtection="1">
      <alignment vertical="center"/>
    </xf>
    <xf numFmtId="44" fontId="66" fillId="0" borderId="60" xfId="69" applyFont="1" applyBorder="1" applyAlignment="1" applyProtection="1">
      <alignment vertical="center"/>
    </xf>
    <xf numFmtId="43" fontId="66" fillId="0" borderId="27" xfId="58" applyFont="1" applyBorder="1" applyAlignment="1" applyProtection="1">
      <alignment horizontal="right" vertical="center"/>
    </xf>
    <xf numFmtId="43" fontId="58" fillId="0" borderId="27" xfId="58" applyFont="1" applyBorder="1" applyAlignment="1" applyProtection="1">
      <alignment horizontal="right" vertical="center"/>
    </xf>
    <xf numFmtId="43" fontId="9" fillId="0" borderId="0" xfId="58" applyFont="1" applyAlignment="1" applyProtection="1">
      <alignment vertical="center"/>
    </xf>
    <xf numFmtId="44" fontId="9" fillId="0" borderId="0" xfId="69" applyFont="1" applyAlignment="1" applyProtection="1">
      <alignment vertical="center"/>
    </xf>
    <xf numFmtId="43" fontId="9" fillId="10" borderId="49" xfId="58" applyFont="1" applyFill="1" applyBorder="1" applyAlignment="1" applyProtection="1">
      <alignment vertical="center"/>
    </xf>
    <xf numFmtId="44" fontId="9" fillId="10" borderId="49" xfId="69" applyFont="1" applyFill="1" applyBorder="1" applyAlignment="1" applyProtection="1">
      <alignment vertical="center"/>
    </xf>
    <xf numFmtId="43" fontId="16" fillId="0" borderId="50" xfId="58" applyFont="1" applyBorder="1" applyAlignment="1" applyProtection="1">
      <alignment horizontal="center" vertical="center"/>
    </xf>
    <xf numFmtId="44" fontId="16" fillId="0" borderId="50" xfId="69" applyFont="1" applyBorder="1" applyAlignment="1" applyProtection="1">
      <alignment horizontal="center" vertical="center"/>
    </xf>
    <xf numFmtId="43" fontId="16" fillId="0" borderId="52" xfId="58" applyFont="1" applyBorder="1" applyAlignment="1" applyProtection="1">
      <alignment horizontal="center" vertical="center"/>
    </xf>
    <xf numFmtId="43" fontId="16" fillId="0" borderId="0" xfId="58" applyFont="1" applyBorder="1" applyAlignment="1" applyProtection="1">
      <alignment horizontal="center" vertical="center"/>
    </xf>
    <xf numFmtId="44" fontId="16" fillId="0" borderId="0" xfId="69" applyFont="1" applyBorder="1" applyAlignment="1" applyProtection="1">
      <alignment horizontal="center" vertical="center"/>
    </xf>
    <xf numFmtId="44" fontId="16" fillId="0" borderId="0" xfId="69" applyFont="1" applyAlignment="1" applyProtection="1">
      <alignment horizontal="right" vertical="center"/>
    </xf>
    <xf numFmtId="44" fontId="16" fillId="0" borderId="44" xfId="69" applyFont="1" applyBorder="1" applyAlignment="1" applyProtection="1">
      <alignment horizontal="right" vertical="center"/>
    </xf>
    <xf numFmtId="43" fontId="16" fillId="0" borderId="0" xfId="58" applyFont="1" applyAlignment="1" applyProtection="1">
      <alignment horizontal="center" vertical="center"/>
    </xf>
    <xf numFmtId="44" fontId="57" fillId="9" borderId="34" xfId="69" applyFont="1" applyFill="1" applyBorder="1" applyAlignment="1" applyProtection="1">
      <alignment horizontal="right" vertical="center"/>
    </xf>
    <xf numFmtId="44" fontId="56" fillId="9" borderId="34" xfId="69" applyFont="1" applyFill="1" applyBorder="1" applyAlignment="1" applyProtection="1">
      <alignment horizontal="right" vertical="center"/>
    </xf>
    <xf numFmtId="43" fontId="52" fillId="0" borderId="0" xfId="58" applyFont="1" applyAlignment="1" applyProtection="1">
      <alignment horizontal="center" vertical="center"/>
    </xf>
    <xf numFmtId="44" fontId="52" fillId="0" borderId="0" xfId="69" applyFont="1" applyAlignment="1" applyProtection="1">
      <alignment horizontal="center" vertical="center"/>
    </xf>
    <xf numFmtId="44" fontId="59" fillId="0" borderId="0" xfId="69" applyFont="1" applyAlignment="1" applyProtection="1">
      <alignment horizontal="center" vertical="center"/>
    </xf>
    <xf numFmtId="43" fontId="16" fillId="0" borderId="27" xfId="58" applyFont="1" applyBorder="1" applyAlignment="1" applyProtection="1">
      <alignment horizontal="center" vertical="center"/>
    </xf>
    <xf numFmtId="44" fontId="16" fillId="0" borderId="27" xfId="69" applyFont="1" applyBorder="1" applyAlignment="1" applyProtection="1">
      <alignment horizontal="right" vertical="center"/>
    </xf>
    <xf numFmtId="43" fontId="18" fillId="8" borderId="40" xfId="58" applyFont="1" applyFill="1" applyBorder="1" applyAlignment="1" applyProtection="1">
      <alignment horizontal="center" vertical="center" wrapText="1"/>
    </xf>
    <xf numFmtId="44" fontId="18" fillId="8" borderId="40" xfId="69" applyFont="1" applyFill="1" applyBorder="1" applyAlignment="1" applyProtection="1">
      <alignment horizontal="center" vertical="center" wrapText="1"/>
    </xf>
    <xf numFmtId="44" fontId="18" fillId="8" borderId="41" xfId="69" applyFont="1" applyFill="1" applyBorder="1" applyAlignment="1" applyProtection="1">
      <alignment horizontal="center" vertical="center" wrapText="1"/>
    </xf>
    <xf numFmtId="43" fontId="16" fillId="0" borderId="44" xfId="58" applyFont="1" applyBorder="1" applyAlignment="1" applyProtection="1">
      <alignment horizontal="center" vertical="center"/>
    </xf>
    <xf numFmtId="44" fontId="16" fillId="0" borderId="45" xfId="69" applyFont="1" applyBorder="1" applyAlignment="1" applyProtection="1">
      <alignment horizontal="right" vertical="center"/>
    </xf>
    <xf numFmtId="43" fontId="48" fillId="0" borderId="47" xfId="58" applyFont="1" applyBorder="1" applyAlignment="1" applyProtection="1">
      <alignment horizontal="center" vertical="center"/>
    </xf>
    <xf numFmtId="44" fontId="50" fillId="0" borderId="34" xfId="69" applyFont="1" applyBorder="1" applyAlignment="1" applyProtection="1">
      <alignment horizontal="right" vertical="center"/>
    </xf>
    <xf numFmtId="43" fontId="53" fillId="0" borderId="44" xfId="58" applyFont="1" applyBorder="1" applyAlignment="1" applyProtection="1">
      <alignment horizontal="center" vertical="center"/>
    </xf>
    <xf numFmtId="43" fontId="53" fillId="0" borderId="47" xfId="58" applyFont="1" applyBorder="1" applyAlignment="1" applyProtection="1">
      <alignment horizontal="right" vertical="center"/>
    </xf>
    <xf numFmtId="43" fontId="53" fillId="0" borderId="44" xfId="58" applyFont="1" applyBorder="1" applyAlignment="1" applyProtection="1">
      <alignment horizontal="right" vertical="center"/>
    </xf>
    <xf numFmtId="43" fontId="42" fillId="9" borderId="34" xfId="58" applyFont="1" applyFill="1" applyBorder="1" applyAlignment="1" applyProtection="1">
      <alignment horizontal="right" vertical="center"/>
    </xf>
    <xf numFmtId="43" fontId="70" fillId="0" borderId="0" xfId="58" applyFont="1" applyAlignment="1" applyProtection="1">
      <alignment vertical="center"/>
    </xf>
    <xf numFmtId="43" fontId="72" fillId="0" borderId="0" xfId="58" applyFont="1" applyAlignment="1" applyProtection="1">
      <alignment vertical="center"/>
    </xf>
    <xf numFmtId="43" fontId="70" fillId="0" borderId="0" xfId="58" applyFont="1" applyAlignment="1" applyProtection="1">
      <alignment horizontal="center" vertical="center" wrapText="1"/>
    </xf>
    <xf numFmtId="43" fontId="70" fillId="0" borderId="0" xfId="58" applyFont="1" applyFill="1" applyAlignment="1" applyProtection="1">
      <alignment vertical="center"/>
    </xf>
    <xf numFmtId="0" fontId="18" fillId="0" borderId="2" xfId="58" applyNumberFormat="1" applyFont="1" applyBorder="1" applyAlignment="1" applyProtection="1">
      <alignment vertical="center"/>
    </xf>
    <xf numFmtId="0" fontId="18" fillId="0" borderId="0" xfId="58" applyNumberFormat="1" applyFont="1" applyBorder="1" applyAlignment="1" applyProtection="1">
      <alignment vertical="center"/>
    </xf>
    <xf numFmtId="0" fontId="18" fillId="0" borderId="12" xfId="58" applyNumberFormat="1" applyFont="1" applyBorder="1" applyAlignment="1" applyProtection="1">
      <alignment vertical="center"/>
    </xf>
    <xf numFmtId="9" fontId="27" fillId="0" borderId="0" xfId="2" applyFont="1" applyBorder="1" applyAlignment="1" applyProtection="1">
      <alignment vertical="center"/>
    </xf>
    <xf numFmtId="0" fontId="18" fillId="3" borderId="9" xfId="58" applyNumberFormat="1" applyFont="1" applyFill="1" applyBorder="1" applyAlignment="1" applyProtection="1">
      <alignment vertical="center"/>
    </xf>
    <xf numFmtId="0" fontId="29" fillId="0" borderId="11" xfId="58" applyNumberFormat="1" applyFont="1" applyBorder="1" applyAlignment="1" applyProtection="1">
      <alignment horizontal="left" vertical="center"/>
    </xf>
    <xf numFmtId="0" fontId="18" fillId="0" borderId="14" xfId="58" applyNumberFormat="1" applyFont="1" applyBorder="1" applyAlignment="1" applyProtection="1">
      <alignment vertical="center"/>
    </xf>
    <xf numFmtId="0" fontId="30" fillId="0" borderId="16" xfId="58" applyNumberFormat="1" applyFont="1" applyBorder="1" applyAlignment="1" applyProtection="1">
      <alignment horizontal="left" vertical="center"/>
    </xf>
    <xf numFmtId="0" fontId="18" fillId="0" borderId="20" xfId="58" applyNumberFormat="1" applyFont="1" applyBorder="1" applyAlignment="1" applyProtection="1">
      <alignment vertical="center"/>
    </xf>
    <xf numFmtId="0" fontId="18" fillId="3" borderId="0" xfId="58" applyNumberFormat="1" applyFont="1" applyFill="1" applyBorder="1" applyAlignment="1" applyProtection="1">
      <alignment vertical="center"/>
    </xf>
    <xf numFmtId="43" fontId="71" fillId="0" borderId="0" xfId="58" applyFont="1" applyAlignment="1" applyProtection="1">
      <alignment vertical="center"/>
    </xf>
    <xf numFmtId="0" fontId="33" fillId="0" borderId="0" xfId="58" applyNumberFormat="1" applyFont="1" applyBorder="1" applyAlignment="1" applyProtection="1">
      <alignment vertical="center"/>
    </xf>
    <xf numFmtId="0" fontId="34" fillId="0" borderId="0" xfId="58" applyNumberFormat="1" applyFont="1" applyBorder="1" applyAlignment="1" applyProtection="1">
      <alignment vertical="center"/>
    </xf>
    <xf numFmtId="0" fontId="16" fillId="3" borderId="23" xfId="58" applyNumberFormat="1" applyFont="1" applyFill="1" applyBorder="1" applyAlignment="1" applyProtection="1">
      <alignment horizontal="center" vertical="center" wrapText="1"/>
    </xf>
    <xf numFmtId="0" fontId="33" fillId="0" borderId="0" xfId="58" applyNumberFormat="1" applyFont="1" applyFill="1" applyBorder="1" applyAlignment="1" applyProtection="1">
      <alignment horizontal="left" vertical="center"/>
    </xf>
    <xf numFmtId="0" fontId="36" fillId="4" borderId="17" xfId="58" applyNumberFormat="1" applyFont="1" applyFill="1" applyBorder="1" applyAlignment="1" applyProtection="1">
      <alignment horizontal="left" vertical="center"/>
    </xf>
    <xf numFmtId="43" fontId="70" fillId="7" borderId="0" xfId="58" applyFont="1" applyFill="1" applyAlignment="1" applyProtection="1">
      <alignment vertical="center"/>
    </xf>
    <xf numFmtId="0" fontId="18" fillId="0" borderId="25" xfId="58" applyNumberFormat="1" applyFont="1" applyFill="1" applyBorder="1" applyAlignment="1" applyProtection="1">
      <alignment horizontal="center" vertical="center" wrapText="1"/>
    </xf>
    <xf numFmtId="0" fontId="70" fillId="0" borderId="23" xfId="58" applyNumberFormat="1" applyFont="1" applyFill="1" applyBorder="1" applyAlignment="1" applyProtection="1">
      <alignment vertical="center"/>
    </xf>
    <xf numFmtId="0" fontId="38" fillId="0" borderId="25" xfId="58" applyNumberFormat="1" applyFont="1" applyFill="1" applyBorder="1" applyAlignment="1" applyProtection="1">
      <alignment horizontal="center" vertical="center" wrapText="1"/>
    </xf>
    <xf numFmtId="43" fontId="18" fillId="4" borderId="25" xfId="58" applyFont="1" applyFill="1" applyBorder="1" applyAlignment="1" applyProtection="1">
      <alignment vertical="center"/>
    </xf>
    <xf numFmtId="0" fontId="18" fillId="0" borderId="20" xfId="58" applyNumberFormat="1" applyFont="1" applyFill="1" applyBorder="1" applyAlignment="1" applyProtection="1">
      <alignment vertical="center"/>
    </xf>
    <xf numFmtId="0" fontId="18" fillId="0" borderId="0" xfId="58" applyNumberFormat="1" applyFont="1" applyFill="1" applyAlignment="1" applyProtection="1">
      <alignment vertical="center"/>
    </xf>
    <xf numFmtId="0" fontId="18" fillId="0" borderId="0" xfId="58" applyNumberFormat="1" applyFont="1" applyAlignment="1" applyProtection="1">
      <alignment vertical="center"/>
    </xf>
    <xf numFmtId="43" fontId="73" fillId="0" borderId="0" xfId="58" applyFont="1" applyFill="1" applyAlignment="1" applyProtection="1">
      <alignment vertical="center"/>
    </xf>
    <xf numFmtId="14" fontId="16" fillId="6" borderId="0" xfId="0" applyNumberFormat="1" applyFont="1" applyFill="1" applyAlignment="1" applyProtection="1">
      <alignment horizontal="left" vertical="center"/>
      <protection locked="0"/>
    </xf>
    <xf numFmtId="0" fontId="36" fillId="4" borderId="17" xfId="0" applyFont="1" applyFill="1" applyBorder="1" applyAlignment="1" applyProtection="1">
      <alignment horizontal="left"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44" fontId="49" fillId="0" borderId="47" xfId="69" applyFont="1" applyBorder="1" applyAlignment="1" applyProtection="1">
      <alignment horizontal="right" vertical="center"/>
      <protection locked="0"/>
    </xf>
    <xf numFmtId="44" fontId="67" fillId="6" borderId="27" xfId="69" applyFont="1" applyFill="1" applyBorder="1" applyAlignment="1" applyProtection="1">
      <alignment horizontal="right" vertical="center" wrapText="1"/>
      <protection locked="0"/>
    </xf>
    <xf numFmtId="44" fontId="69" fillId="6" borderId="27" xfId="69" applyFont="1" applyFill="1" applyBorder="1" applyAlignment="1" applyProtection="1">
      <alignment horizontal="right" vertical="center"/>
      <protection locked="0"/>
    </xf>
    <xf numFmtId="44" fontId="76" fillId="0" borderId="27" xfId="69" applyFont="1" applyBorder="1" applyAlignment="1" applyProtection="1">
      <alignment horizontal="right" vertical="center"/>
      <protection locked="0"/>
    </xf>
    <xf numFmtId="43" fontId="18" fillId="0" borderId="0" xfId="58" applyFont="1" applyFill="1" applyAlignment="1" applyProtection="1">
      <alignment vertical="center"/>
    </xf>
    <xf numFmtId="168" fontId="32" fillId="0" borderId="0" xfId="58" applyNumberFormat="1" applyFont="1" applyBorder="1" applyAlignment="1" applyProtection="1">
      <alignment horizontal="left" vertical="center"/>
    </xf>
    <xf numFmtId="168" fontId="33" fillId="0" borderId="0" xfId="58" applyNumberFormat="1" applyFont="1" applyBorder="1" applyAlignment="1" applyProtection="1">
      <alignment horizontal="left" vertical="center"/>
    </xf>
    <xf numFmtId="168" fontId="34" fillId="0" borderId="0" xfId="58" applyNumberFormat="1" applyFont="1" applyBorder="1" applyAlignment="1" applyProtection="1">
      <alignment horizontal="left" vertical="center"/>
    </xf>
    <xf numFmtId="168" fontId="31" fillId="3" borderId="0" xfId="58" applyNumberFormat="1" applyFont="1" applyFill="1" applyBorder="1" applyAlignment="1" applyProtection="1">
      <alignment horizontal="left" vertical="center"/>
    </xf>
    <xf numFmtId="43" fontId="77" fillId="0" borderId="52" xfId="58" applyFont="1" applyFill="1" applyBorder="1" applyAlignment="1" applyProtection="1">
      <alignment horizontal="center" vertical="center"/>
    </xf>
    <xf numFmtId="44" fontId="77" fillId="0" borderId="50" xfId="69" applyFont="1" applyFill="1" applyBorder="1" applyAlignment="1" applyProtection="1">
      <alignment horizontal="center" vertical="center"/>
    </xf>
    <xf numFmtId="43" fontId="53" fillId="0" borderId="67" xfId="58" applyFont="1" applyFill="1" applyBorder="1" applyAlignment="1" applyProtection="1">
      <alignment horizontal="center" vertical="center"/>
    </xf>
    <xf numFmtId="44" fontId="53" fillId="0" borderId="68" xfId="69" applyFont="1" applyBorder="1" applyAlignment="1" applyProtection="1">
      <alignment horizontal="left" vertical="center"/>
    </xf>
    <xf numFmtId="43" fontId="53" fillId="0" borderId="64" xfId="58" applyFont="1" applyFill="1" applyBorder="1" applyAlignment="1" applyProtection="1">
      <alignment horizontal="center" vertical="center"/>
    </xf>
    <xf numFmtId="44" fontId="53" fillId="12" borderId="64" xfId="69" applyFont="1" applyFill="1" applyBorder="1" applyAlignment="1" applyProtection="1">
      <alignment horizontal="left" vertical="center"/>
      <protection locked="0"/>
    </xf>
    <xf numFmtId="44" fontId="53" fillId="0" borderId="69" xfId="69" applyFont="1" applyBorder="1" applyAlignment="1" applyProtection="1">
      <alignment horizontal="left" vertical="center"/>
    </xf>
    <xf numFmtId="44" fontId="53" fillId="12" borderId="69" xfId="69" applyFont="1" applyFill="1" applyBorder="1" applyAlignment="1" applyProtection="1">
      <alignment horizontal="right" vertical="center"/>
      <protection locked="0"/>
    </xf>
    <xf numFmtId="44" fontId="53" fillId="12" borderId="68" xfId="69" applyFont="1" applyFill="1" applyBorder="1" applyAlignment="1" applyProtection="1">
      <alignment horizontal="right" vertical="center"/>
      <protection locked="0"/>
    </xf>
    <xf numFmtId="49" fontId="66" fillId="0" borderId="59" xfId="61" applyNumberFormat="1" applyFont="1" applyBorder="1" applyAlignment="1" applyProtection="1">
      <alignment horizontal="center" vertical="center"/>
    </xf>
    <xf numFmtId="3" fontId="67" fillId="0" borderId="27" xfId="61" applyNumberFormat="1" applyFont="1" applyBorder="1" applyAlignment="1" applyProtection="1">
      <alignment horizontal="left" vertical="center" wrapText="1"/>
    </xf>
    <xf numFmtId="43" fontId="67" fillId="0" borderId="27" xfId="58" applyFont="1" applyFill="1" applyBorder="1" applyAlignment="1" applyProtection="1">
      <alignment horizontal="right" vertical="center" wrapText="1"/>
    </xf>
    <xf numFmtId="49" fontId="58" fillId="0" borderId="59" xfId="61" applyNumberFormat="1" applyFont="1" applyBorder="1" applyAlignment="1" applyProtection="1">
      <alignment horizontal="center" vertical="center"/>
    </xf>
    <xf numFmtId="0" fontId="58" fillId="0" borderId="27" xfId="63" applyFont="1" applyBorder="1" applyAlignment="1" applyProtection="1">
      <alignment vertical="center" wrapText="1"/>
    </xf>
    <xf numFmtId="43" fontId="58" fillId="0" borderId="27" xfId="58" applyFont="1" applyFill="1" applyBorder="1" applyAlignment="1" applyProtection="1">
      <alignment horizontal="right" vertical="center"/>
    </xf>
    <xf numFmtId="44" fontId="8" fillId="0" borderId="0" xfId="69" applyFont="1" applyBorder="1" applyAlignment="1" applyProtection="1">
      <alignment vertical="center"/>
    </xf>
    <xf numFmtId="43" fontId="78" fillId="0" borderId="0" xfId="58" applyFont="1" applyBorder="1" applyAlignment="1" applyProtection="1">
      <alignment vertical="center"/>
    </xf>
    <xf numFmtId="43" fontId="58" fillId="0" borderId="0" xfId="58" applyFont="1" applyBorder="1" applyAlignment="1" applyProtection="1">
      <alignment vertical="center"/>
    </xf>
    <xf numFmtId="44" fontId="78" fillId="0" borderId="0" xfId="69" applyFont="1" applyBorder="1" applyAlignment="1" applyProtection="1">
      <alignment vertical="center"/>
    </xf>
    <xf numFmtId="43" fontId="8" fillId="0" borderId="0" xfId="58" applyFont="1" applyBorder="1" applyAlignment="1" applyProtection="1">
      <alignment vertical="center"/>
    </xf>
    <xf numFmtId="49" fontId="64" fillId="8" borderId="52" xfId="61" applyNumberFormat="1" applyFont="1" applyFill="1" applyBorder="1" applyAlignment="1" applyProtection="1">
      <alignment horizontal="center" vertical="center"/>
    </xf>
    <xf numFmtId="3" fontId="64" fillId="8" borderId="52" xfId="61" applyNumberFormat="1" applyFont="1" applyFill="1" applyBorder="1" applyAlignment="1" applyProtection="1">
      <alignment horizontal="center" vertical="center" wrapText="1"/>
    </xf>
    <xf numFmtId="3" fontId="64" fillId="8" borderId="52" xfId="61" applyNumberFormat="1" applyFont="1" applyFill="1" applyBorder="1" applyAlignment="1" applyProtection="1">
      <alignment horizontal="center" vertical="center"/>
    </xf>
    <xf numFmtId="49" fontId="58" fillId="0" borderId="56" xfId="61" applyNumberFormat="1" applyFont="1" applyBorder="1" applyAlignment="1" applyProtection="1">
      <alignment horizontal="center" vertical="center"/>
    </xf>
    <xf numFmtId="3" fontId="65" fillId="0" borderId="57" xfId="61" applyNumberFormat="1" applyFont="1" applyBorder="1" applyAlignment="1" applyProtection="1">
      <alignment vertical="center" wrapText="1"/>
    </xf>
    <xf numFmtId="44" fontId="58" fillId="0" borderId="0" xfId="69" applyFont="1" applyBorder="1" applyAlignment="1" applyProtection="1">
      <alignment vertical="center"/>
    </xf>
    <xf numFmtId="44" fontId="66" fillId="0" borderId="0" xfId="69" applyFont="1" applyBorder="1" applyAlignment="1" applyProtection="1">
      <alignment vertical="center"/>
    </xf>
    <xf numFmtId="43" fontId="78" fillId="0" borderId="0" xfId="58" applyFont="1" applyBorder="1" applyAlignment="1" applyProtection="1">
      <alignment horizontal="left" vertical="center"/>
    </xf>
    <xf numFmtId="44" fontId="78" fillId="0" borderId="0" xfId="69" applyFont="1" applyBorder="1" applyAlignment="1" applyProtection="1">
      <alignment horizontal="left" vertical="center"/>
    </xf>
    <xf numFmtId="43" fontId="81" fillId="0" borderId="35" xfId="58" applyFont="1" applyFill="1" applyBorder="1" applyAlignment="1" applyProtection="1">
      <alignment horizontal="center" vertical="center"/>
    </xf>
    <xf numFmtId="44" fontId="81" fillId="0" borderId="0" xfId="69" applyFont="1" applyAlignment="1" applyProtection="1">
      <alignment vertical="center"/>
    </xf>
    <xf numFmtId="49" fontId="79" fillId="0" borderId="0" xfId="61" applyNumberFormat="1" applyFont="1" applyAlignment="1" applyProtection="1">
      <alignment horizontal="center" vertical="center"/>
    </xf>
    <xf numFmtId="43" fontId="79" fillId="0" borderId="0" xfId="58" applyFont="1" applyAlignment="1" applyProtection="1">
      <alignment horizontal="center" vertical="center"/>
    </xf>
    <xf numFmtId="44" fontId="79" fillId="0" borderId="0" xfId="69" applyFont="1" applyAlignment="1" applyProtection="1">
      <alignment horizontal="center" vertical="center"/>
    </xf>
    <xf numFmtId="0" fontId="67" fillId="0" borderId="0" xfId="61" applyFont="1" applyAlignment="1" applyProtection="1">
      <alignment vertical="center"/>
    </xf>
    <xf numFmtId="3" fontId="64" fillId="0" borderId="0" xfId="61" applyNumberFormat="1" applyFont="1" applyAlignment="1" applyProtection="1">
      <alignment horizontal="center" vertical="center"/>
    </xf>
    <xf numFmtId="0" fontId="80" fillId="0" borderId="0" xfId="61" applyFont="1" applyAlignment="1" applyProtection="1">
      <alignment vertical="center"/>
    </xf>
    <xf numFmtId="43" fontId="80" fillId="0" borderId="0" xfId="58" applyFont="1" applyAlignment="1" applyProtection="1">
      <alignment vertical="center"/>
    </xf>
    <xf numFmtId="44" fontId="80" fillId="0" borderId="0" xfId="69" applyFont="1" applyAlignment="1" applyProtection="1">
      <alignment vertical="center"/>
    </xf>
    <xf numFmtId="3" fontId="80" fillId="0" borderId="0" xfId="61" applyNumberFormat="1" applyFont="1" applyAlignment="1" applyProtection="1">
      <alignment vertical="center"/>
    </xf>
    <xf numFmtId="49" fontId="82" fillId="0" borderId="0" xfId="61" applyNumberFormat="1" applyFont="1" applyAlignment="1" applyProtection="1">
      <alignment horizontal="center" vertical="center"/>
    </xf>
    <xf numFmtId="43" fontId="82" fillId="0" borderId="0" xfId="58" applyFont="1" applyAlignment="1" applyProtection="1">
      <alignment horizontal="center" vertical="center"/>
    </xf>
    <xf numFmtId="44" fontId="82" fillId="0" borderId="0" xfId="69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vertical="center"/>
    </xf>
    <xf numFmtId="49" fontId="67" fillId="0" borderId="0" xfId="61" applyNumberFormat="1" applyFont="1" applyAlignment="1" applyProtection="1">
      <alignment horizontal="center" vertical="center"/>
    </xf>
    <xf numFmtId="3" fontId="67" fillId="0" borderId="0" xfId="61" applyNumberFormat="1" applyFont="1" applyAlignment="1" applyProtection="1">
      <alignment horizontal="justify" vertical="center" wrapText="1"/>
    </xf>
    <xf numFmtId="3" fontId="67" fillId="0" borderId="0" xfId="61" applyNumberFormat="1" applyFont="1" applyAlignment="1" applyProtection="1">
      <alignment horizontal="center" vertical="center"/>
    </xf>
    <xf numFmtId="43" fontId="67" fillId="0" borderId="0" xfId="58" applyFont="1" applyAlignment="1" applyProtection="1">
      <alignment horizontal="center" vertical="center"/>
    </xf>
    <xf numFmtId="44" fontId="67" fillId="0" borderId="0" xfId="69" applyFont="1" applyAlignment="1" applyProtection="1">
      <alignment horizontal="center" vertical="center"/>
    </xf>
    <xf numFmtId="44" fontId="67" fillId="0" borderId="0" xfId="69" applyFont="1" applyAlignment="1" applyProtection="1">
      <alignment horizontal="right" vertical="center"/>
    </xf>
    <xf numFmtId="43" fontId="61" fillId="0" borderId="67" xfId="58" applyFont="1" applyFill="1" applyBorder="1" applyAlignment="1" applyProtection="1">
      <alignment horizontal="center" vertical="center"/>
    </xf>
    <xf numFmtId="44" fontId="61" fillId="0" borderId="68" xfId="69" applyFont="1" applyFill="1" applyBorder="1" applyAlignment="1" applyProtection="1">
      <alignment horizontal="right" vertical="center"/>
      <protection locked="0"/>
    </xf>
    <xf numFmtId="44" fontId="61" fillId="0" borderId="68" xfId="69" applyFont="1" applyFill="1" applyBorder="1" applyAlignment="1" applyProtection="1">
      <alignment horizontal="left" vertical="center"/>
    </xf>
    <xf numFmtId="43" fontId="61" fillId="0" borderId="64" xfId="58" applyFont="1" applyFill="1" applyBorder="1" applyAlignment="1" applyProtection="1">
      <alignment horizontal="center" vertical="center"/>
    </xf>
    <xf numFmtId="44" fontId="61" fillId="0" borderId="69" xfId="69" applyFont="1" applyFill="1" applyBorder="1" applyAlignment="1" applyProtection="1">
      <alignment horizontal="right" vertical="center"/>
      <protection locked="0"/>
    </xf>
    <xf numFmtId="44" fontId="61" fillId="0" borderId="69" xfId="69" applyFont="1" applyFill="1" applyBorder="1" applyAlignment="1" applyProtection="1">
      <alignment horizontal="left" vertical="center"/>
    </xf>
    <xf numFmtId="43" fontId="70" fillId="0" borderId="0" xfId="58" applyFont="1" applyFill="1" applyAlignment="1" applyProtection="1">
      <alignment vertical="center" wrapText="1"/>
    </xf>
    <xf numFmtId="0" fontId="73" fillId="0" borderId="23" xfId="58" applyNumberFormat="1" applyFont="1" applyFill="1" applyBorder="1" applyAlignment="1" applyProtection="1">
      <alignment vertical="center"/>
    </xf>
    <xf numFmtId="9" fontId="70" fillId="0" borderId="23" xfId="58" applyNumberFormat="1" applyFont="1" applyFill="1" applyBorder="1" applyAlignment="1" applyProtection="1">
      <alignment vertical="center"/>
    </xf>
    <xf numFmtId="9" fontId="69" fillId="6" borderId="27" xfId="2" applyFont="1" applyFill="1" applyBorder="1" applyAlignment="1" applyProtection="1">
      <alignment horizontal="right" vertical="center"/>
      <protection locked="0"/>
    </xf>
    <xf numFmtId="0" fontId="66" fillId="0" borderId="27" xfId="63" applyFont="1" applyBorder="1" applyAlignment="1" applyProtection="1">
      <alignment vertical="center" wrapText="1"/>
    </xf>
    <xf numFmtId="43" fontId="86" fillId="0" borderId="0" xfId="58" applyFont="1" applyFill="1" applyAlignment="1" applyProtection="1">
      <alignment vertical="center"/>
    </xf>
    <xf numFmtId="0" fontId="85" fillId="4" borderId="25" xfId="58" applyNumberFormat="1" applyFont="1" applyFill="1" applyBorder="1" applyAlignment="1" applyProtection="1">
      <alignment horizontal="center" vertical="center" wrapText="1"/>
    </xf>
    <xf numFmtId="0" fontId="86" fillId="0" borderId="23" xfId="58" applyNumberFormat="1" applyFont="1" applyFill="1" applyBorder="1" applyAlignment="1" applyProtection="1">
      <alignment vertical="center"/>
    </xf>
    <xf numFmtId="169" fontId="9" fillId="0" borderId="0" xfId="69" applyNumberFormat="1" applyFont="1" applyBorder="1" applyAlignment="1" applyProtection="1">
      <alignment vertical="center"/>
    </xf>
    <xf numFmtId="169" fontId="9" fillId="0" borderId="0" xfId="69" applyNumberFormat="1" applyFont="1" applyAlignment="1" applyProtection="1">
      <alignment vertical="center"/>
    </xf>
    <xf numFmtId="169" fontId="16" fillId="0" borderId="0" xfId="69" applyNumberFormat="1" applyFont="1" applyBorder="1" applyAlignment="1" applyProtection="1">
      <alignment vertical="center"/>
    </xf>
    <xf numFmtId="169" fontId="42" fillId="0" borderId="0" xfId="69" applyNumberFormat="1" applyFont="1" applyBorder="1" applyAlignment="1" applyProtection="1">
      <alignment vertical="center"/>
    </xf>
    <xf numFmtId="169" fontId="87" fillId="13" borderId="73" xfId="69" applyNumberFormat="1" applyFont="1" applyFill="1" applyBorder="1" applyProtection="1"/>
    <xf numFmtId="169" fontId="87" fillId="13" borderId="74" xfId="69" applyNumberFormat="1" applyFont="1" applyFill="1" applyBorder="1" applyProtection="1"/>
    <xf numFmtId="169" fontId="96" fillId="0" borderId="71" xfId="69" applyNumberFormat="1" applyFont="1" applyBorder="1" applyProtection="1"/>
    <xf numFmtId="169" fontId="8" fillId="14" borderId="71" xfId="69" applyNumberFormat="1" applyFont="1" applyFill="1" applyBorder="1" applyProtection="1"/>
    <xf numFmtId="169" fontId="96" fillId="14" borderId="71" xfId="69" applyNumberFormat="1" applyFont="1" applyFill="1" applyBorder="1" applyProtection="1"/>
    <xf numFmtId="169" fontId="8" fillId="0" borderId="71" xfId="69" applyNumberFormat="1" applyFont="1" applyBorder="1" applyProtection="1"/>
    <xf numFmtId="169" fontId="92" fillId="0" borderId="71" xfId="69" applyNumberFormat="1" applyFont="1" applyBorder="1" applyAlignment="1" applyProtection="1">
      <alignment horizontal="center" wrapText="1"/>
    </xf>
    <xf numFmtId="169" fontId="8" fillId="0" borderId="71" xfId="69" applyNumberFormat="1" applyFont="1" applyBorder="1" applyAlignment="1" applyProtection="1">
      <alignment horizontal="right"/>
    </xf>
    <xf numFmtId="169" fontId="8" fillId="0" borderId="75" xfId="69" applyNumberFormat="1" applyFont="1" applyBorder="1" applyProtection="1"/>
    <xf numFmtId="169" fontId="94" fillId="0" borderId="71" xfId="69" applyNumberFormat="1" applyFont="1" applyBorder="1" applyProtection="1"/>
    <xf numFmtId="169" fontId="92" fillId="0" borderId="71" xfId="69" applyNumberFormat="1" applyFont="1" applyBorder="1" applyProtection="1"/>
    <xf numFmtId="169" fontId="81" fillId="0" borderId="71" xfId="69" applyNumberFormat="1" applyFont="1" applyBorder="1" applyProtection="1"/>
    <xf numFmtId="169" fontId="8" fillId="0" borderId="0" xfId="69" applyNumberFormat="1" applyFont="1" applyProtection="1"/>
    <xf numFmtId="169" fontId="92" fillId="0" borderId="0" xfId="69" applyNumberFormat="1" applyFont="1" applyProtection="1"/>
    <xf numFmtId="169" fontId="81" fillId="0" borderId="0" xfId="69" applyNumberFormat="1" applyFont="1" applyProtection="1"/>
    <xf numFmtId="169" fontId="89" fillId="0" borderId="0" xfId="69" applyNumberFormat="1" applyFont="1" applyProtection="1"/>
    <xf numFmtId="169" fontId="89" fillId="0" borderId="0" xfId="69" applyNumberFormat="1" applyFont="1" applyAlignment="1" applyProtection="1">
      <alignment horizontal="right"/>
    </xf>
    <xf numFmtId="43" fontId="17" fillId="0" borderId="34" xfId="58" applyFont="1" applyFill="1" applyBorder="1" applyAlignment="1" applyProtection="1">
      <alignment vertical="center"/>
    </xf>
    <xf numFmtId="43" fontId="17" fillId="0" borderId="35" xfId="58" applyFont="1" applyFill="1" applyBorder="1" applyAlignment="1" applyProtection="1">
      <alignment vertical="center"/>
    </xf>
    <xf numFmtId="169" fontId="87" fillId="13" borderId="73" xfId="69" applyNumberFormat="1" applyFont="1" applyFill="1" applyBorder="1" applyProtection="1">
      <protection locked="0"/>
    </xf>
    <xf numFmtId="169" fontId="96" fillId="12" borderId="71" xfId="69" applyNumberFormat="1" applyFont="1" applyFill="1" applyBorder="1" applyAlignment="1" applyProtection="1">
      <alignment horizontal="right"/>
      <protection locked="0"/>
    </xf>
    <xf numFmtId="169" fontId="96" fillId="0" borderId="71" xfId="69" applyNumberFormat="1" applyFont="1" applyBorder="1" applyAlignment="1" applyProtection="1">
      <alignment horizontal="right"/>
      <protection locked="0"/>
    </xf>
    <xf numFmtId="169" fontId="8" fillId="14" borderId="71" xfId="69" applyNumberFormat="1" applyFont="1" applyFill="1" applyBorder="1" applyAlignment="1" applyProtection="1">
      <alignment horizontal="right"/>
      <protection locked="0"/>
    </xf>
    <xf numFmtId="169" fontId="96" fillId="14" borderId="71" xfId="69" applyNumberFormat="1" applyFont="1" applyFill="1" applyBorder="1" applyAlignment="1" applyProtection="1">
      <alignment horizontal="right"/>
      <protection locked="0"/>
    </xf>
    <xf numFmtId="169" fontId="8" fillId="12" borderId="71" xfId="69" applyNumberFormat="1" applyFont="1" applyFill="1" applyBorder="1" applyAlignment="1" applyProtection="1">
      <alignment horizontal="right"/>
      <protection locked="0"/>
    </xf>
    <xf numFmtId="169" fontId="92" fillId="12" borderId="71" xfId="69" applyNumberFormat="1" applyFont="1" applyFill="1" applyBorder="1" applyAlignment="1" applyProtection="1">
      <alignment horizontal="center"/>
      <protection locked="0"/>
    </xf>
    <xf numFmtId="169" fontId="8" fillId="14" borderId="71" xfId="69" applyNumberFormat="1" applyFont="1" applyFill="1" applyBorder="1" applyAlignment="1" applyProtection="1">
      <protection locked="0"/>
    </xf>
    <xf numFmtId="169" fontId="8" fillId="0" borderId="71" xfId="69" applyNumberFormat="1" applyFont="1" applyBorder="1" applyAlignment="1" applyProtection="1">
      <alignment horizontal="right"/>
      <protection locked="0"/>
    </xf>
    <xf numFmtId="169" fontId="92" fillId="0" borderId="79" xfId="69" applyNumberFormat="1" applyFont="1" applyBorder="1" applyAlignment="1" applyProtection="1">
      <alignment horizontal="center" wrapText="1"/>
    </xf>
    <xf numFmtId="49" fontId="100" fillId="0" borderId="59" xfId="61" applyNumberFormat="1" applyFont="1" applyBorder="1" applyAlignment="1" applyProtection="1">
      <alignment horizontal="center" vertical="center"/>
    </xf>
    <xf numFmtId="3" fontId="100" fillId="0" borderId="27" xfId="61" applyNumberFormat="1" applyFont="1" applyBorder="1" applyAlignment="1" applyProtection="1">
      <alignment horizontal="left" vertical="center" wrapText="1"/>
    </xf>
    <xf numFmtId="43" fontId="100" fillId="0" borderId="27" xfId="58" applyFont="1" applyFill="1" applyBorder="1" applyAlignment="1" applyProtection="1">
      <alignment horizontal="right" vertical="center" wrapText="1"/>
    </xf>
    <xf numFmtId="44" fontId="100" fillId="0" borderId="27" xfId="69" applyFont="1" applyFill="1" applyBorder="1" applyAlignment="1" applyProtection="1">
      <alignment horizontal="right" vertical="center" wrapText="1"/>
      <protection locked="0"/>
    </xf>
    <xf numFmtId="44" fontId="100" fillId="0" borderId="60" xfId="69" applyFont="1" applyBorder="1" applyAlignment="1" applyProtection="1">
      <alignment vertical="center"/>
    </xf>
    <xf numFmtId="3" fontId="101" fillId="0" borderId="0" xfId="61" applyNumberFormat="1" applyFont="1" applyAlignment="1" applyProtection="1">
      <alignment horizontal="center" vertical="center"/>
    </xf>
    <xf numFmtId="170" fontId="69" fillId="6" borderId="27" xfId="2" applyNumberFormat="1" applyFont="1" applyFill="1" applyBorder="1" applyAlignment="1" applyProtection="1">
      <alignment horizontal="right" vertical="center"/>
      <protection locked="0"/>
    </xf>
    <xf numFmtId="9" fontId="70" fillId="0" borderId="23" xfId="2" applyFont="1" applyFill="1" applyBorder="1" applyAlignment="1" applyProtection="1">
      <alignment vertical="center"/>
    </xf>
    <xf numFmtId="43" fontId="25" fillId="0" borderId="0" xfId="58" applyFont="1" applyFill="1" applyAlignment="1" applyProtection="1">
      <alignment vertical="center"/>
    </xf>
    <xf numFmtId="171" fontId="70" fillId="0" borderId="0" xfId="58" applyNumberFormat="1" applyFont="1" applyFill="1" applyAlignment="1" applyProtection="1">
      <alignment vertical="center"/>
    </xf>
    <xf numFmtId="169" fontId="42" fillId="0" borderId="0" xfId="69" applyNumberFormat="1" applyFont="1" applyBorder="1" applyAlignment="1" applyProtection="1">
      <alignment horizontal="left" vertical="center"/>
    </xf>
    <xf numFmtId="169" fontId="9" fillId="10" borderId="49" xfId="69" applyNumberFormat="1" applyFont="1" applyFill="1" applyBorder="1" applyAlignment="1" applyProtection="1">
      <alignment vertical="center"/>
    </xf>
    <xf numFmtId="44" fontId="65" fillId="0" borderId="57" xfId="69" applyFont="1" applyBorder="1" applyAlignment="1" applyProtection="1">
      <alignment vertical="center" wrapText="1"/>
      <protection locked="0"/>
    </xf>
    <xf numFmtId="44" fontId="80" fillId="0" borderId="0" xfId="69" applyFont="1" applyAlignment="1" applyProtection="1">
      <alignment vertical="center"/>
      <protection locked="0"/>
    </xf>
    <xf numFmtId="43" fontId="104" fillId="0" borderId="0" xfId="58" applyFont="1" applyFill="1" applyAlignment="1" applyProtection="1">
      <alignment vertical="center"/>
    </xf>
    <xf numFmtId="0" fontId="104" fillId="0" borderId="23" xfId="58" applyNumberFormat="1" applyFont="1" applyFill="1" applyBorder="1" applyAlignment="1" applyProtection="1">
      <alignment vertical="center"/>
    </xf>
    <xf numFmtId="0" fontId="70" fillId="0" borderId="0" xfId="0" applyFont="1" applyAlignment="1" applyProtection="1">
      <alignment vertical="center"/>
      <protection locked="0"/>
    </xf>
    <xf numFmtId="0" fontId="104" fillId="0" borderId="0" xfId="0" applyFont="1" applyAlignment="1" applyProtection="1">
      <alignment vertical="center"/>
      <protection locked="0"/>
    </xf>
    <xf numFmtId="0" fontId="86" fillId="0" borderId="0" xfId="0" applyFont="1" applyAlignment="1" applyProtection="1">
      <alignment vertical="center"/>
      <protection locked="0"/>
    </xf>
    <xf numFmtId="0" fontId="73" fillId="0" borderId="0" xfId="0" applyFont="1" applyAlignment="1" applyProtection="1">
      <alignment vertical="center"/>
      <protection locked="0"/>
    </xf>
    <xf numFmtId="0" fontId="37" fillId="0" borderId="0" xfId="0" applyFont="1" applyAlignment="1" applyProtection="1">
      <alignment vertical="center"/>
      <protection locked="0"/>
    </xf>
    <xf numFmtId="44" fontId="16" fillId="0" borderId="44" xfId="69" applyFont="1" applyBorder="1" applyAlignment="1" applyProtection="1">
      <alignment horizontal="right" vertical="center"/>
      <protection locked="0"/>
    </xf>
    <xf numFmtId="44" fontId="16" fillId="0" borderId="47" xfId="69" applyFont="1" applyBorder="1" applyAlignment="1" applyProtection="1">
      <alignment horizontal="right" vertical="center"/>
      <protection locked="0"/>
    </xf>
    <xf numFmtId="43" fontId="18" fillId="0" borderId="0" xfId="58" applyFont="1" applyAlignment="1" applyProtection="1">
      <alignment vertical="center"/>
    </xf>
    <xf numFmtId="43" fontId="53" fillId="12" borderId="69" xfId="58" applyFont="1" applyFill="1" applyBorder="1" applyAlignment="1" applyProtection="1">
      <alignment horizontal="right" vertical="center"/>
      <protection locked="0"/>
    </xf>
    <xf numFmtId="170" fontId="53" fillId="12" borderId="69" xfId="2" applyNumberFormat="1" applyFont="1" applyFill="1" applyBorder="1" applyAlignment="1" applyProtection="1">
      <alignment horizontal="right" vertical="center"/>
      <protection locked="0"/>
    </xf>
    <xf numFmtId="10" fontId="53" fillId="12" borderId="69" xfId="2" applyNumberFormat="1" applyFont="1" applyFill="1" applyBorder="1" applyAlignment="1" applyProtection="1">
      <alignment horizontal="right" vertical="center"/>
      <protection locked="0"/>
    </xf>
    <xf numFmtId="43" fontId="77" fillId="0" borderId="50" xfId="58" applyFont="1" applyFill="1" applyBorder="1" applyAlignment="1" applyProtection="1">
      <alignment horizontal="center" vertical="center"/>
      <protection locked="0"/>
    </xf>
    <xf numFmtId="43" fontId="16" fillId="6" borderId="50" xfId="58" applyFont="1" applyFill="1" applyBorder="1" applyAlignment="1" applyProtection="1">
      <alignment horizontal="center" vertical="center"/>
      <protection locked="0"/>
    </xf>
    <xf numFmtId="0" fontId="107" fillId="0" borderId="23" xfId="58" applyNumberFormat="1" applyFont="1" applyFill="1" applyBorder="1" applyAlignment="1" applyProtection="1">
      <alignment vertical="center"/>
    </xf>
    <xf numFmtId="0" fontId="107" fillId="0" borderId="0" xfId="0" applyFont="1" applyAlignment="1" applyProtection="1">
      <alignment vertical="center"/>
      <protection locked="0"/>
    </xf>
    <xf numFmtId="43" fontId="107" fillId="0" borderId="0" xfId="58" applyFont="1" applyFill="1" applyAlignment="1" applyProtection="1">
      <alignment vertical="center"/>
    </xf>
    <xf numFmtId="0" fontId="39" fillId="0" borderId="0" xfId="1" applyFont="1" applyFill="1" applyAlignment="1" applyProtection="1">
      <alignment horizontal="center" vertical="center"/>
    </xf>
    <xf numFmtId="43" fontId="34" fillId="0" borderId="0" xfId="58" applyFont="1" applyFill="1" applyBorder="1" applyAlignment="1" applyProtection="1">
      <alignment horizontal="center" vertical="center" wrapText="1"/>
    </xf>
    <xf numFmtId="43" fontId="34" fillId="0" borderId="0" xfId="58" applyFont="1" applyFill="1" applyBorder="1" applyAlignment="1" applyProtection="1">
      <alignment horizontal="right" vertical="center"/>
    </xf>
    <xf numFmtId="0" fontId="108" fillId="0" borderId="25" xfId="58" applyNumberFormat="1" applyFont="1" applyFill="1" applyBorder="1" applyAlignment="1" applyProtection="1">
      <alignment horizontal="center" vertical="center" wrapText="1"/>
    </xf>
    <xf numFmtId="43" fontId="109" fillId="0" borderId="0" xfId="58" applyFont="1" applyFill="1" applyAlignment="1" applyProtection="1">
      <alignment vertical="center"/>
    </xf>
    <xf numFmtId="43" fontId="107" fillId="0" borderId="0" xfId="58" applyFont="1" applyAlignment="1" applyProtection="1">
      <alignment vertical="center"/>
    </xf>
    <xf numFmtId="43" fontId="110" fillId="0" borderId="0" xfId="58" applyFont="1" applyAlignment="1" applyProtection="1">
      <alignment vertical="center"/>
    </xf>
    <xf numFmtId="0" fontId="111" fillId="0" borderId="25" xfId="58" applyNumberFormat="1" applyFont="1" applyFill="1" applyBorder="1" applyAlignment="1" applyProtection="1">
      <alignment horizontal="center" vertical="center" wrapText="1"/>
    </xf>
    <xf numFmtId="43" fontId="112" fillId="0" borderId="0" xfId="58" applyFont="1" applyFill="1" applyAlignment="1" applyProtection="1">
      <alignment vertical="center"/>
    </xf>
    <xf numFmtId="43" fontId="17" fillId="0" borderId="55" xfId="58" applyFont="1" applyBorder="1" applyAlignment="1" applyProtection="1">
      <alignment horizontal="center" vertical="center" wrapText="1"/>
    </xf>
    <xf numFmtId="44" fontId="17" fillId="0" borderId="48" xfId="69" applyFont="1" applyBorder="1" applyAlignment="1" applyProtection="1">
      <alignment horizontal="center" vertical="center" wrapText="1"/>
    </xf>
    <xf numFmtId="44" fontId="42" fillId="10" borderId="34" xfId="69" applyFont="1" applyFill="1" applyBorder="1" applyAlignment="1" applyProtection="1">
      <alignment vertical="center"/>
    </xf>
    <xf numFmtId="44" fontId="42" fillId="10" borderId="35" xfId="69" applyFont="1" applyFill="1" applyBorder="1" applyAlignment="1" applyProtection="1">
      <alignment vertical="center"/>
    </xf>
    <xf numFmtId="49" fontId="64" fillId="8" borderId="52" xfId="61" applyNumberFormat="1" applyFont="1" applyFill="1" applyBorder="1" applyAlignment="1" applyProtection="1">
      <alignment horizontal="center" vertical="center" wrapText="1"/>
    </xf>
    <xf numFmtId="43" fontId="64" fillId="8" borderId="52" xfId="58" applyFont="1" applyFill="1" applyBorder="1" applyAlignment="1" applyProtection="1">
      <alignment horizontal="center" vertical="center" wrapText="1"/>
    </xf>
    <xf numFmtId="3" fontId="64" fillId="0" borderId="0" xfId="61" applyNumberFormat="1" applyFont="1" applyAlignment="1" applyProtection="1">
      <alignment horizontal="center" vertical="center" wrapText="1"/>
    </xf>
    <xf numFmtId="44" fontId="65" fillId="8" borderId="51" xfId="69" applyFont="1" applyFill="1" applyBorder="1" applyAlignment="1" applyProtection="1">
      <alignment vertical="center"/>
    </xf>
    <xf numFmtId="44" fontId="65" fillId="8" borderId="53" xfId="69" applyFont="1" applyFill="1" applyBorder="1" applyAlignment="1" applyProtection="1">
      <alignment vertical="center"/>
    </xf>
    <xf numFmtId="43" fontId="108" fillId="0" borderId="0" xfId="58" applyFont="1" applyFill="1" applyAlignment="1" applyProtection="1">
      <alignment vertical="center"/>
    </xf>
    <xf numFmtId="0" fontId="114" fillId="0" borderId="25" xfId="58" applyNumberFormat="1" applyFont="1" applyFill="1" applyBorder="1" applyAlignment="1" applyProtection="1">
      <alignment horizontal="center" vertical="center" wrapText="1"/>
    </xf>
    <xf numFmtId="43" fontId="115" fillId="0" borderId="0" xfId="58" applyFont="1" applyFill="1" applyAlignment="1" applyProtection="1">
      <alignment vertical="center"/>
    </xf>
    <xf numFmtId="0" fontId="18" fillId="0" borderId="1" xfId="0" applyFont="1" applyBorder="1" applyAlignment="1">
      <alignment vertical="center"/>
    </xf>
    <xf numFmtId="0" fontId="18" fillId="0" borderId="2" xfId="0" applyFont="1" applyBorder="1" applyAlignment="1">
      <alignment vertical="center"/>
    </xf>
    <xf numFmtId="0" fontId="18" fillId="0" borderId="3" xfId="0" applyFont="1" applyBorder="1" applyAlignment="1">
      <alignment vertical="center"/>
    </xf>
    <xf numFmtId="0" fontId="18" fillId="0" borderId="0" xfId="0" applyFont="1" applyAlignment="1">
      <alignment vertical="center"/>
    </xf>
    <xf numFmtId="0" fontId="18" fillId="0" borderId="4" xfId="0" applyFont="1" applyBorder="1" applyAlignment="1">
      <alignment vertical="center"/>
    </xf>
    <xf numFmtId="0" fontId="18" fillId="0" borderId="5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 wrapText="1"/>
    </xf>
    <xf numFmtId="0" fontId="105" fillId="0" borderId="4" xfId="0" applyFont="1" applyBorder="1" applyAlignment="1">
      <alignment vertical="center"/>
    </xf>
    <xf numFmtId="0" fontId="105" fillId="0" borderId="0" xfId="0" applyFont="1" applyAlignment="1">
      <alignment vertical="center"/>
    </xf>
    <xf numFmtId="0" fontId="105" fillId="15" borderId="0" xfId="0" applyFont="1" applyFill="1" applyAlignment="1">
      <alignment vertical="center"/>
    </xf>
    <xf numFmtId="0" fontId="105" fillId="0" borderId="5" xfId="0" applyFont="1" applyBorder="1" applyAlignment="1">
      <alignment vertical="center"/>
    </xf>
    <xf numFmtId="0" fontId="70" fillId="0" borderId="4" xfId="0" applyFont="1" applyBorder="1" applyAlignment="1">
      <alignment vertical="center"/>
    </xf>
    <xf numFmtId="0" fontId="70" fillId="0" borderId="0" xfId="0" applyFont="1" applyAlignment="1">
      <alignment vertical="center"/>
    </xf>
    <xf numFmtId="0" fontId="70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26" fillId="0" borderId="0" xfId="0" applyFont="1" applyAlignment="1">
      <alignment horizontal="left" vertical="center"/>
    </xf>
    <xf numFmtId="4" fontId="9" fillId="0" borderId="0" xfId="0" applyNumberFormat="1" applyFont="1" applyAlignment="1">
      <alignment vertical="center"/>
    </xf>
    <xf numFmtId="0" fontId="17" fillId="0" borderId="7" xfId="0" applyFont="1" applyBorder="1" applyAlignment="1">
      <alignment horizontal="left" vertical="center"/>
    </xf>
    <xf numFmtId="0" fontId="18" fillId="0" borderId="7" xfId="0" applyFont="1" applyBorder="1" applyAlignment="1">
      <alignment vertical="center"/>
    </xf>
    <xf numFmtId="0" fontId="27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7" fillId="0" borderId="0" xfId="0" applyFont="1" applyAlignment="1">
      <alignment horizontal="left" vertical="center"/>
    </xf>
    <xf numFmtId="165" fontId="27" fillId="0" borderId="0" xfId="0" applyNumberFormat="1" applyFont="1" applyAlignment="1">
      <alignment vertical="center"/>
    </xf>
    <xf numFmtId="0" fontId="27" fillId="0" borderId="0" xfId="0" applyFont="1" applyAlignment="1">
      <alignment horizontal="center" vertical="center"/>
    </xf>
    <xf numFmtId="0" fontId="27" fillId="0" borderId="5" xfId="0" applyFont="1" applyBorder="1" applyAlignment="1">
      <alignment vertical="center"/>
    </xf>
    <xf numFmtId="0" fontId="18" fillId="2" borderId="0" xfId="0" applyFont="1" applyFill="1" applyAlignment="1">
      <alignment vertical="center"/>
    </xf>
    <xf numFmtId="0" fontId="21" fillId="2" borderId="8" xfId="0" applyFont="1" applyFill="1" applyBorder="1" applyAlignment="1">
      <alignment horizontal="left" vertical="center"/>
    </xf>
    <xf numFmtId="0" fontId="18" fillId="2" borderId="9" xfId="0" applyFont="1" applyFill="1" applyBorder="1" applyAlignment="1">
      <alignment vertical="center"/>
    </xf>
    <xf numFmtId="0" fontId="21" fillId="2" borderId="9" xfId="0" applyFont="1" applyFill="1" applyBorder="1" applyAlignment="1">
      <alignment horizontal="center" vertical="center"/>
    </xf>
    <xf numFmtId="0" fontId="29" fillId="0" borderId="11" xfId="0" applyFont="1" applyBorder="1" applyAlignment="1">
      <alignment horizontal="left" vertical="center"/>
    </xf>
    <xf numFmtId="0" fontId="18" fillId="0" borderId="12" xfId="0" applyFont="1" applyBorder="1" applyAlignment="1">
      <alignment vertical="center"/>
    </xf>
    <xf numFmtId="0" fontId="18" fillId="0" borderId="13" xfId="0" applyFont="1" applyBorder="1" applyAlignment="1">
      <alignment vertical="center"/>
    </xf>
    <xf numFmtId="0" fontId="18" fillId="0" borderId="14" xfId="0" applyFont="1" applyBorder="1" applyAlignment="1">
      <alignment vertical="center"/>
    </xf>
    <xf numFmtId="0" fontId="18" fillId="0" borderId="15" xfId="0" applyFont="1" applyBorder="1" applyAlignment="1">
      <alignment vertical="center"/>
    </xf>
    <xf numFmtId="0" fontId="30" fillId="0" borderId="16" xfId="0" applyFont="1" applyBorder="1" applyAlignment="1">
      <alignment horizontal="left" vertical="center"/>
    </xf>
    <xf numFmtId="0" fontId="18" fillId="0" borderId="17" xfId="0" applyFont="1" applyBorder="1" applyAlignment="1">
      <alignment vertical="center"/>
    </xf>
    <xf numFmtId="0" fontId="30" fillId="0" borderId="17" xfId="0" applyFont="1" applyBorder="1" applyAlignment="1">
      <alignment horizontal="left" vertical="center"/>
    </xf>
    <xf numFmtId="0" fontId="18" fillId="0" borderId="18" xfId="0" applyFont="1" applyBorder="1" applyAlignment="1">
      <alignment vertical="center"/>
    </xf>
    <xf numFmtId="0" fontId="18" fillId="0" borderId="19" xfId="0" applyFont="1" applyBorder="1" applyAlignment="1">
      <alignment vertical="center"/>
    </xf>
    <xf numFmtId="0" fontId="18" fillId="0" borderId="20" xfId="0" applyFont="1" applyBorder="1" applyAlignment="1">
      <alignment vertical="center"/>
    </xf>
    <xf numFmtId="0" fontId="18" fillId="0" borderId="21" xfId="0" applyFont="1" applyBorder="1" applyAlignment="1">
      <alignment vertical="center"/>
    </xf>
    <xf numFmtId="0" fontId="16" fillId="0" borderId="4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16" fillId="0" borderId="5" xfId="0" applyFont="1" applyBorder="1" applyAlignment="1">
      <alignment vertical="center"/>
    </xf>
    <xf numFmtId="0" fontId="21" fillId="0" borderId="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5" xfId="0" applyFont="1" applyBorder="1" applyAlignment="1">
      <alignment vertical="center"/>
    </xf>
    <xf numFmtId="0" fontId="18" fillId="3" borderId="9" xfId="0" applyFont="1" applyFill="1" applyBorder="1" applyAlignment="1">
      <alignment vertical="center"/>
    </xf>
    <xf numFmtId="0" fontId="16" fillId="3" borderId="65" xfId="0" applyFont="1" applyFill="1" applyBorder="1" applyAlignment="1">
      <alignment horizontal="center" vertical="center"/>
    </xf>
    <xf numFmtId="0" fontId="31" fillId="0" borderId="0" xfId="0" applyFont="1" applyAlignment="1">
      <alignment horizontal="left" vertical="center"/>
    </xf>
    <xf numFmtId="0" fontId="31" fillId="0" borderId="0" xfId="0" applyFont="1" applyAlignment="1">
      <alignment vertical="center"/>
    </xf>
    <xf numFmtId="4" fontId="31" fillId="0" borderId="0" xfId="0" applyNumberFormat="1" applyFont="1" applyAlignment="1">
      <alignment vertical="center"/>
    </xf>
    <xf numFmtId="0" fontId="9" fillId="0" borderId="4" xfId="0" applyFont="1" applyBorder="1" applyAlignment="1">
      <alignment vertical="center"/>
    </xf>
    <xf numFmtId="0" fontId="36" fillId="0" borderId="0" xfId="0" applyFont="1" applyAlignment="1">
      <alignment vertical="center"/>
    </xf>
    <xf numFmtId="4" fontId="34" fillId="0" borderId="26" xfId="0" applyNumberFormat="1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4" fontId="34" fillId="0" borderId="27" xfId="0" applyNumberFormat="1" applyFont="1" applyBorder="1" applyAlignment="1">
      <alignment vertical="center"/>
    </xf>
    <xf numFmtId="4" fontId="34" fillId="0" borderId="54" xfId="0" applyNumberFormat="1" applyFont="1" applyBorder="1" applyAlignment="1">
      <alignment vertical="center"/>
    </xf>
    <xf numFmtId="0" fontId="31" fillId="3" borderId="0" xfId="0" applyFont="1" applyFill="1" applyAlignment="1">
      <alignment horizontal="left" vertical="center"/>
    </xf>
    <xf numFmtId="0" fontId="18" fillId="3" borderId="0" xfId="0" applyFont="1" applyFill="1" applyAlignment="1">
      <alignment vertical="center"/>
    </xf>
    <xf numFmtId="4" fontId="31" fillId="3" borderId="0" xfId="0" applyNumberFormat="1" applyFont="1" applyFill="1" applyAlignment="1">
      <alignment vertical="center"/>
    </xf>
    <xf numFmtId="0" fontId="36" fillId="0" borderId="0" xfId="0" applyFont="1" applyAlignment="1">
      <alignment horizontal="left" vertical="center" wrapText="1"/>
    </xf>
    <xf numFmtId="0" fontId="34" fillId="0" borderId="0" xfId="0" applyFont="1" applyAlignment="1">
      <alignment horizontal="left" vertical="center" wrapText="1"/>
    </xf>
    <xf numFmtId="10" fontId="34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Alignment="1">
      <alignment vertical="center"/>
    </xf>
    <xf numFmtId="4" fontId="18" fillId="0" borderId="0" xfId="0" applyNumberFormat="1" applyFont="1" applyAlignment="1">
      <alignment vertical="center"/>
    </xf>
    <xf numFmtId="0" fontId="9" fillId="12" borderId="0" xfId="0" applyFont="1" applyFill="1" applyAlignment="1">
      <alignment vertical="center"/>
    </xf>
    <xf numFmtId="0" fontId="18" fillId="0" borderId="0" xfId="0" applyFont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14" fontId="102" fillId="0" borderId="0" xfId="0" applyNumberFormat="1" applyFont="1" applyAlignment="1">
      <alignment horizontal="center" vertical="center" wrapText="1"/>
    </xf>
    <xf numFmtId="0" fontId="25" fillId="0" borderId="5" xfId="0" applyFont="1" applyBorder="1" applyAlignment="1">
      <alignment vertical="center"/>
    </xf>
    <xf numFmtId="0" fontId="25" fillId="0" borderId="0" xfId="0" applyFont="1" applyAlignment="1">
      <alignment vertical="center" wrapText="1"/>
    </xf>
    <xf numFmtId="14" fontId="16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21" fillId="3" borderId="8" xfId="0" applyFont="1" applyFill="1" applyBorder="1" applyAlignment="1">
      <alignment horizontal="left" vertical="center"/>
    </xf>
    <xf numFmtId="0" fontId="21" fillId="3" borderId="9" xfId="0" applyFont="1" applyFill="1" applyBorder="1" applyAlignment="1">
      <alignment horizontal="right" vertical="center"/>
    </xf>
    <xf numFmtId="0" fontId="21" fillId="3" borderId="9" xfId="0" applyFont="1" applyFill="1" applyBorder="1" applyAlignment="1">
      <alignment horizontal="center" vertical="center"/>
    </xf>
    <xf numFmtId="4" fontId="18" fillId="3" borderId="0" xfId="0" applyNumberFormat="1" applyFont="1" applyFill="1" applyAlignment="1">
      <alignment horizontal="left" vertical="center"/>
    </xf>
    <xf numFmtId="0" fontId="113" fillId="0" borderId="0" xfId="0" applyFont="1" applyAlignment="1">
      <alignment horizontal="left" vertical="center"/>
    </xf>
    <xf numFmtId="0" fontId="33" fillId="0" borderId="4" xfId="0" applyFont="1" applyBorder="1" applyAlignment="1">
      <alignment vertical="center"/>
    </xf>
    <xf numFmtId="0" fontId="33" fillId="0" borderId="0" xfId="0" applyFont="1" applyAlignment="1">
      <alignment vertical="center"/>
    </xf>
    <xf numFmtId="0" fontId="33" fillId="0" borderId="0" xfId="0" applyFont="1" applyAlignment="1">
      <alignment horizontal="left" vertical="center"/>
    </xf>
    <xf numFmtId="0" fontId="33" fillId="0" borderId="5" xfId="0" applyFont="1" applyBorder="1" applyAlignment="1">
      <alignment vertical="center"/>
    </xf>
    <xf numFmtId="0" fontId="71" fillId="0" borderId="0" xfId="0" applyFont="1" applyAlignment="1">
      <alignment vertical="center"/>
    </xf>
    <xf numFmtId="0" fontId="33" fillId="0" borderId="0" xfId="0" applyFont="1" applyAlignment="1">
      <alignment vertical="center" wrapText="1"/>
    </xf>
    <xf numFmtId="0" fontId="34" fillId="0" borderId="4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4" fillId="0" borderId="5" xfId="0" applyFont="1" applyBorder="1" applyAlignment="1">
      <alignment vertical="center"/>
    </xf>
    <xf numFmtId="0" fontId="72" fillId="0" borderId="0" xfId="0" applyFont="1" applyAlignment="1">
      <alignment vertical="center"/>
    </xf>
    <xf numFmtId="0" fontId="34" fillId="0" borderId="0" xfId="0" applyFont="1" applyAlignment="1">
      <alignment vertical="center" wrapText="1"/>
    </xf>
    <xf numFmtId="4" fontId="18" fillId="0" borderId="0" xfId="0" applyNumberFormat="1" applyFont="1" applyAlignment="1">
      <alignment horizontal="left" vertical="center"/>
    </xf>
    <xf numFmtId="0" fontId="107" fillId="0" borderId="0" xfId="0" applyFont="1" applyAlignment="1">
      <alignment vertical="center"/>
    </xf>
    <xf numFmtId="0" fontId="18" fillId="0" borderId="4" xfId="0" applyFont="1" applyBorder="1" applyAlignment="1">
      <alignment horizontal="center" vertical="center" wrapText="1"/>
    </xf>
    <xf numFmtId="0" fontId="16" fillId="3" borderId="22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70" fillId="0" borderId="0" xfId="0" applyFont="1" applyAlignment="1">
      <alignment horizontal="center" vertical="center" wrapText="1"/>
    </xf>
    <xf numFmtId="0" fontId="35" fillId="0" borderId="4" xfId="0" applyFont="1" applyBorder="1" applyAlignment="1">
      <alignment vertical="center"/>
    </xf>
    <xf numFmtId="0" fontId="35" fillId="0" borderId="0" xfId="0" applyFont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0" xfId="0" applyFont="1" applyAlignment="1">
      <alignment vertical="center" wrapText="1"/>
    </xf>
    <xf numFmtId="0" fontId="36" fillId="4" borderId="17" xfId="0" applyFont="1" applyFill="1" applyBorder="1" applyAlignment="1">
      <alignment horizontal="left" vertical="center"/>
    </xf>
    <xf numFmtId="0" fontId="18" fillId="0" borderId="25" xfId="0" applyFont="1" applyBorder="1" applyAlignment="1">
      <alignment horizontal="center" vertical="center"/>
    </xf>
    <xf numFmtId="0" fontId="18" fillId="0" borderId="25" xfId="0" applyFont="1" applyBorder="1" applyAlignment="1">
      <alignment horizontal="left" vertical="center" wrapText="1"/>
    </xf>
    <xf numFmtId="167" fontId="18" fillId="0" borderId="25" xfId="0" applyNumberFormat="1" applyFont="1" applyBorder="1" applyAlignment="1">
      <alignment vertical="center"/>
    </xf>
    <xf numFmtId="167" fontId="70" fillId="0" borderId="0" xfId="0" applyNumberFormat="1" applyFont="1" applyAlignment="1">
      <alignment vertical="center"/>
    </xf>
    <xf numFmtId="0" fontId="70" fillId="0" borderId="23" xfId="0" applyFont="1" applyBorder="1" applyAlignment="1">
      <alignment horizontal="left" vertical="center" wrapText="1"/>
    </xf>
    <xf numFmtId="167" fontId="70" fillId="0" borderId="23" xfId="0" applyNumberFormat="1" applyFont="1" applyBorder="1" applyAlignment="1">
      <alignment vertical="center"/>
    </xf>
    <xf numFmtId="0" fontId="70" fillId="0" borderId="0" xfId="0" applyFont="1" applyAlignment="1">
      <alignment vertical="center" wrapText="1"/>
    </xf>
    <xf numFmtId="0" fontId="70" fillId="7" borderId="0" xfId="0" applyFont="1" applyFill="1" applyAlignment="1">
      <alignment vertical="center"/>
    </xf>
    <xf numFmtId="0" fontId="108" fillId="0" borderId="4" xfId="0" applyFont="1" applyBorder="1" applyAlignment="1">
      <alignment vertical="center"/>
    </xf>
    <xf numFmtId="0" fontId="108" fillId="0" borderId="25" xfId="0" applyFont="1" applyBorder="1" applyAlignment="1">
      <alignment horizontal="center" vertical="center"/>
    </xf>
    <xf numFmtId="0" fontId="108" fillId="0" borderId="25" xfId="0" applyFont="1" applyBorder="1" applyAlignment="1">
      <alignment horizontal="left" vertical="center" wrapText="1"/>
    </xf>
    <xf numFmtId="167" fontId="108" fillId="0" borderId="25" xfId="0" applyNumberFormat="1" applyFont="1" applyBorder="1" applyAlignment="1">
      <alignment vertical="center"/>
    </xf>
    <xf numFmtId="0" fontId="108" fillId="0" borderId="5" xfId="0" applyFont="1" applyBorder="1" applyAlignment="1">
      <alignment vertical="center"/>
    </xf>
    <xf numFmtId="0" fontId="108" fillId="0" borderId="0" xfId="0" applyFont="1" applyAlignment="1">
      <alignment vertical="center"/>
    </xf>
    <xf numFmtId="0" fontId="109" fillId="0" borderId="0" xfId="0" applyFont="1" applyAlignment="1">
      <alignment vertical="center"/>
    </xf>
    <xf numFmtId="167" fontId="109" fillId="0" borderId="0" xfId="0" applyNumberFormat="1" applyFont="1" applyAlignment="1">
      <alignment vertical="center"/>
    </xf>
    <xf numFmtId="0" fontId="108" fillId="0" borderId="0" xfId="0" applyFont="1" applyAlignment="1">
      <alignment vertical="center" wrapText="1"/>
    </xf>
    <xf numFmtId="0" fontId="107" fillId="0" borderId="4" xfId="0" applyFont="1" applyBorder="1" applyAlignment="1">
      <alignment vertical="center"/>
    </xf>
    <xf numFmtId="0" fontId="107" fillId="0" borderId="23" xfId="0" applyFont="1" applyBorder="1" applyAlignment="1">
      <alignment horizontal="left" vertical="center" wrapText="1"/>
    </xf>
    <xf numFmtId="167" fontId="107" fillId="0" borderId="23" xfId="0" applyNumberFormat="1" applyFont="1" applyBorder="1" applyAlignment="1">
      <alignment vertical="center"/>
    </xf>
    <xf numFmtId="0" fontId="107" fillId="0" borderId="5" xfId="0" applyFont="1" applyBorder="1" applyAlignment="1">
      <alignment vertical="center"/>
    </xf>
    <xf numFmtId="0" fontId="107" fillId="0" borderId="0" xfId="0" applyFont="1" applyAlignment="1">
      <alignment vertical="center" wrapText="1"/>
    </xf>
    <xf numFmtId="0" fontId="18" fillId="0" borderId="0" xfId="0" applyFont="1" applyAlignment="1" applyProtection="1">
      <alignment vertical="center"/>
      <protection locked="0"/>
    </xf>
    <xf numFmtId="4" fontId="72" fillId="0" borderId="0" xfId="0" applyNumberFormat="1" applyFont="1" applyAlignment="1">
      <alignment vertical="center"/>
    </xf>
    <xf numFmtId="0" fontId="18" fillId="7" borderId="0" xfId="0" applyFont="1" applyFill="1" applyAlignment="1">
      <alignment vertical="center"/>
    </xf>
    <xf numFmtId="0" fontId="85" fillId="0" borderId="4" xfId="0" applyFont="1" applyBorder="1" applyAlignment="1">
      <alignment vertical="center"/>
    </xf>
    <xf numFmtId="0" fontId="85" fillId="4" borderId="25" xfId="0" applyFont="1" applyFill="1" applyBorder="1" applyAlignment="1">
      <alignment horizontal="center" vertical="center"/>
    </xf>
    <xf numFmtId="167" fontId="85" fillId="4" borderId="25" xfId="0" applyNumberFormat="1" applyFont="1" applyFill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85" fillId="0" borderId="0" xfId="0" applyFont="1" applyAlignment="1">
      <alignment vertical="center"/>
    </xf>
    <xf numFmtId="0" fontId="86" fillId="0" borderId="0" xfId="0" applyFont="1" applyAlignment="1">
      <alignment vertical="center"/>
    </xf>
    <xf numFmtId="0" fontId="85" fillId="0" borderId="0" xfId="0" applyFont="1" applyAlignment="1">
      <alignment vertical="center" wrapText="1"/>
    </xf>
    <xf numFmtId="0" fontId="104" fillId="0" borderId="4" xfId="0" applyFont="1" applyBorder="1" applyAlignment="1">
      <alignment vertical="center"/>
    </xf>
    <xf numFmtId="0" fontId="104" fillId="0" borderId="0" xfId="0" applyFont="1" applyAlignment="1">
      <alignment vertical="center"/>
    </xf>
    <xf numFmtId="0" fontId="104" fillId="0" borderId="23" xfId="0" applyFont="1" applyBorder="1" applyAlignment="1">
      <alignment horizontal="left" vertical="center" wrapText="1"/>
    </xf>
    <xf numFmtId="167" fontId="104" fillId="0" borderId="23" xfId="0" applyNumberFormat="1" applyFont="1" applyBorder="1" applyAlignment="1">
      <alignment vertical="center"/>
    </xf>
    <xf numFmtId="0" fontId="104" fillId="0" borderId="5" xfId="0" applyFont="1" applyBorder="1" applyAlignment="1">
      <alignment vertical="center"/>
    </xf>
    <xf numFmtId="0" fontId="104" fillId="0" borderId="0" xfId="0" applyFont="1" applyAlignment="1">
      <alignment vertical="center" wrapText="1"/>
    </xf>
    <xf numFmtId="0" fontId="38" fillId="0" borderId="25" xfId="0" applyFont="1" applyBorder="1" applyAlignment="1">
      <alignment horizontal="center" vertical="center"/>
    </xf>
    <xf numFmtId="0" fontId="38" fillId="0" borderId="25" xfId="0" applyFont="1" applyBorder="1" applyAlignment="1">
      <alignment horizontal="left" vertical="center" wrapText="1"/>
    </xf>
    <xf numFmtId="167" fontId="38" fillId="0" borderId="25" xfId="0" applyNumberFormat="1" applyFont="1" applyBorder="1" applyAlignment="1">
      <alignment vertical="center"/>
    </xf>
    <xf numFmtId="0" fontId="111" fillId="0" borderId="25" xfId="0" applyFont="1" applyBorder="1" applyAlignment="1">
      <alignment horizontal="center" vertical="center"/>
    </xf>
    <xf numFmtId="0" fontId="111" fillId="0" borderId="25" xfId="0" applyFont="1" applyBorder="1" applyAlignment="1">
      <alignment horizontal="left" vertical="center" wrapText="1"/>
    </xf>
    <xf numFmtId="167" fontId="111" fillId="0" borderId="25" xfId="0" applyNumberFormat="1" applyFont="1" applyBorder="1" applyAlignment="1">
      <alignment vertical="center"/>
    </xf>
    <xf numFmtId="43" fontId="18" fillId="0" borderId="0" xfId="58" applyFont="1" applyAlignment="1" applyProtection="1">
      <alignment vertical="center" wrapText="1"/>
    </xf>
    <xf numFmtId="43" fontId="25" fillId="0" borderId="0" xfId="58" applyFont="1" applyAlignment="1" applyProtection="1">
      <alignment vertical="center" wrapText="1"/>
    </xf>
    <xf numFmtId="43" fontId="25" fillId="0" borderId="0" xfId="58" applyFont="1" applyAlignment="1" applyProtection="1">
      <alignment vertical="center"/>
    </xf>
    <xf numFmtId="0" fontId="18" fillId="3" borderId="0" xfId="0" applyFont="1" applyFill="1" applyAlignment="1">
      <alignment horizontal="left" vertical="center"/>
    </xf>
    <xf numFmtId="43" fontId="33" fillId="0" borderId="0" xfId="58" applyFont="1" applyAlignment="1" applyProtection="1">
      <alignment vertical="center" wrapText="1"/>
    </xf>
    <xf numFmtId="43" fontId="33" fillId="0" borderId="0" xfId="58" applyFont="1" applyAlignment="1" applyProtection="1">
      <alignment vertical="center"/>
    </xf>
    <xf numFmtId="43" fontId="34" fillId="0" borderId="0" xfId="58" applyFont="1" applyAlignment="1" applyProtection="1">
      <alignment vertical="center" wrapText="1"/>
    </xf>
    <xf numFmtId="43" fontId="34" fillId="0" borderId="0" xfId="58" applyFont="1" applyAlignment="1" applyProtection="1">
      <alignment vertical="center"/>
    </xf>
    <xf numFmtId="43" fontId="18" fillId="0" borderId="0" xfId="58" applyFont="1" applyAlignment="1" applyProtection="1">
      <alignment horizontal="center" vertical="center" wrapText="1"/>
    </xf>
    <xf numFmtId="43" fontId="35" fillId="0" borderId="0" xfId="58" applyFont="1" applyAlignment="1" applyProtection="1">
      <alignment vertical="center" wrapText="1"/>
    </xf>
    <xf numFmtId="43" fontId="35" fillId="0" borderId="0" xfId="58" applyFont="1" applyAlignment="1" applyProtection="1">
      <alignment vertical="center"/>
    </xf>
    <xf numFmtId="43" fontId="18" fillId="7" borderId="0" xfId="58" applyFont="1" applyFill="1" applyAlignment="1" applyProtection="1">
      <alignment vertical="center" wrapText="1"/>
    </xf>
    <xf numFmtId="43" fontId="18" fillId="7" borderId="0" xfId="58" applyFont="1" applyFill="1" applyAlignment="1" applyProtection="1">
      <alignment vertical="center"/>
    </xf>
    <xf numFmtId="43" fontId="70" fillId="0" borderId="0" xfId="58" applyFont="1" applyAlignment="1" applyProtection="1">
      <alignment vertical="center" wrapText="1"/>
    </xf>
    <xf numFmtId="4" fontId="70" fillId="0" borderId="0" xfId="0" applyNumberFormat="1" applyFont="1" applyAlignment="1">
      <alignment vertical="center"/>
    </xf>
    <xf numFmtId="0" fontId="86" fillId="0" borderId="4" xfId="0" applyFont="1" applyBorder="1" applyAlignment="1">
      <alignment vertical="center"/>
    </xf>
    <xf numFmtId="167" fontId="86" fillId="0" borderId="23" xfId="0" applyNumberFormat="1" applyFont="1" applyBorder="1" applyAlignment="1">
      <alignment vertical="center"/>
    </xf>
    <xf numFmtId="0" fontId="86" fillId="0" borderId="5" xfId="0" applyFont="1" applyBorder="1" applyAlignment="1">
      <alignment vertical="center"/>
    </xf>
    <xf numFmtId="43" fontId="86" fillId="0" borderId="0" xfId="58" applyFont="1" applyAlignment="1" applyProtection="1">
      <alignment vertical="center" wrapText="1"/>
    </xf>
    <xf numFmtId="43" fontId="86" fillId="0" borderId="0" xfId="58" applyFont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7" fillId="0" borderId="0" xfId="0" applyFont="1" applyAlignment="1">
      <alignment vertical="center"/>
    </xf>
    <xf numFmtId="0" fontId="37" fillId="0" borderId="5" xfId="0" applyFont="1" applyBorder="1" applyAlignment="1">
      <alignment vertical="center"/>
    </xf>
    <xf numFmtId="43" fontId="37" fillId="0" borderId="0" xfId="58" applyFont="1" applyAlignment="1" applyProtection="1">
      <alignment vertical="center" wrapText="1"/>
    </xf>
    <xf numFmtId="43" fontId="37" fillId="0" borderId="0" xfId="58" applyFont="1" applyAlignment="1" applyProtection="1">
      <alignment vertical="center"/>
    </xf>
    <xf numFmtId="43" fontId="108" fillId="0" borderId="0" xfId="58" applyFont="1" applyAlignment="1" applyProtection="1">
      <alignment vertical="center" wrapText="1"/>
    </xf>
    <xf numFmtId="43" fontId="108" fillId="0" borderId="0" xfId="58" applyFont="1" applyAlignment="1" applyProtection="1">
      <alignment vertical="center"/>
    </xf>
    <xf numFmtId="4" fontId="109" fillId="0" borderId="0" xfId="0" applyNumberFormat="1" applyFont="1" applyAlignment="1">
      <alignment vertical="center"/>
    </xf>
    <xf numFmtId="43" fontId="109" fillId="0" borderId="0" xfId="58" applyFont="1" applyAlignment="1" applyProtection="1">
      <alignment vertical="center" wrapText="1"/>
    </xf>
    <xf numFmtId="43" fontId="109" fillId="0" borderId="0" xfId="58" applyFont="1" applyAlignment="1" applyProtection="1">
      <alignment vertical="center"/>
    </xf>
    <xf numFmtId="0" fontId="114" fillId="0" borderId="4" xfId="0" applyFont="1" applyBorder="1" applyAlignment="1">
      <alignment vertical="center"/>
    </xf>
    <xf numFmtId="0" fontId="114" fillId="0" borderId="25" xfId="0" applyFont="1" applyBorder="1" applyAlignment="1">
      <alignment horizontal="center" vertical="center"/>
    </xf>
    <xf numFmtId="0" fontId="114" fillId="0" borderId="25" xfId="0" applyFont="1" applyBorder="1" applyAlignment="1">
      <alignment horizontal="left" vertical="center" wrapText="1"/>
    </xf>
    <xf numFmtId="167" fontId="114" fillId="0" borderId="25" xfId="0" applyNumberFormat="1" applyFont="1" applyBorder="1" applyAlignment="1">
      <alignment vertical="center"/>
    </xf>
    <xf numFmtId="0" fontId="114" fillId="0" borderId="5" xfId="0" applyFont="1" applyBorder="1" applyAlignment="1">
      <alignment vertical="center"/>
    </xf>
    <xf numFmtId="0" fontId="114" fillId="0" borderId="0" xfId="0" applyFont="1" applyAlignment="1">
      <alignment vertical="center"/>
    </xf>
    <xf numFmtId="4" fontId="115" fillId="0" borderId="0" xfId="0" applyNumberFormat="1" applyFont="1" applyAlignment="1">
      <alignment vertical="center"/>
    </xf>
    <xf numFmtId="43" fontId="114" fillId="0" borderId="0" xfId="58" applyFont="1" applyAlignment="1" applyProtection="1">
      <alignment vertical="center" wrapText="1"/>
    </xf>
    <xf numFmtId="43" fontId="114" fillId="0" borderId="0" xfId="58" applyFont="1" applyAlignment="1" applyProtection="1">
      <alignment vertical="center"/>
    </xf>
    <xf numFmtId="0" fontId="73" fillId="0" borderId="4" xfId="0" applyFont="1" applyBorder="1" applyAlignment="1">
      <alignment vertical="center"/>
    </xf>
    <xf numFmtId="0" fontId="73" fillId="0" borderId="0" xfId="0" applyFont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167" fontId="73" fillId="0" borderId="23" xfId="0" applyNumberFormat="1" applyFont="1" applyBorder="1" applyAlignment="1">
      <alignment vertical="center"/>
    </xf>
    <xf numFmtId="0" fontId="73" fillId="0" borderId="5" xfId="0" applyFont="1" applyBorder="1" applyAlignment="1">
      <alignment vertical="center"/>
    </xf>
    <xf numFmtId="43" fontId="73" fillId="0" borderId="0" xfId="58" applyFont="1" applyAlignment="1" applyProtection="1">
      <alignment vertical="center" wrapText="1"/>
    </xf>
    <xf numFmtId="43" fontId="73" fillId="0" borderId="0" xfId="58" applyFont="1" applyAlignment="1" applyProtection="1">
      <alignment vertical="center"/>
    </xf>
    <xf numFmtId="43" fontId="104" fillId="0" borderId="0" xfId="58" applyFont="1" applyAlignment="1" applyProtection="1">
      <alignment vertical="center"/>
    </xf>
    <xf numFmtId="0" fontId="32" fillId="0" borderId="0" xfId="0" applyFont="1" applyAlignment="1">
      <alignment horizontal="left" vertical="center"/>
    </xf>
    <xf numFmtId="49" fontId="38" fillId="0" borderId="25" xfId="0" applyNumberFormat="1" applyFont="1" applyBorder="1" applyAlignment="1">
      <alignment horizontal="left" vertical="center" wrapText="1"/>
    </xf>
    <xf numFmtId="0" fontId="18" fillId="0" borderId="2" xfId="0" applyFont="1" applyBorder="1" applyAlignment="1">
      <alignment vertical="center" wrapText="1"/>
    </xf>
    <xf numFmtId="14" fontId="16" fillId="15" borderId="0" xfId="0" applyNumberFormat="1" applyFont="1" applyFill="1" applyAlignment="1">
      <alignment horizontal="center" vertical="center" wrapText="1"/>
    </xf>
    <xf numFmtId="0" fontId="18" fillId="0" borderId="12" xfId="0" applyFont="1" applyBorder="1" applyAlignment="1">
      <alignment vertical="center" wrapText="1"/>
    </xf>
    <xf numFmtId="0" fontId="27" fillId="0" borderId="0" xfId="0" applyFont="1" applyAlignment="1">
      <alignment horizontal="left" vertical="center" wrapText="1"/>
    </xf>
    <xf numFmtId="0" fontId="18" fillId="3" borderId="9" xfId="0" applyFont="1" applyFill="1" applyBorder="1" applyAlignment="1">
      <alignment vertical="center" wrapText="1"/>
    </xf>
    <xf numFmtId="0" fontId="18" fillId="0" borderId="17" xfId="0" applyFont="1" applyBorder="1" applyAlignment="1">
      <alignment vertical="center" wrapText="1"/>
    </xf>
    <xf numFmtId="0" fontId="18" fillId="0" borderId="20" xfId="0" applyFont="1" applyBorder="1" applyAlignment="1">
      <alignment vertical="center" wrapText="1"/>
    </xf>
    <xf numFmtId="164" fontId="18" fillId="0" borderId="0" xfId="0" applyNumberFormat="1" applyFont="1" applyAlignment="1">
      <alignment vertical="center"/>
    </xf>
    <xf numFmtId="0" fontId="18" fillId="3" borderId="0" xfId="0" applyFont="1" applyFill="1" applyAlignment="1">
      <alignment vertical="center" wrapText="1"/>
    </xf>
    <xf numFmtId="0" fontId="36" fillId="4" borderId="17" xfId="0" applyFont="1" applyFill="1" applyBorder="1" applyAlignment="1">
      <alignment vertical="center"/>
    </xf>
    <xf numFmtId="0" fontId="36" fillId="4" borderId="17" xfId="0" applyFont="1" applyFill="1" applyBorder="1" applyAlignment="1">
      <alignment horizontal="left" vertical="center" wrapText="1"/>
    </xf>
    <xf numFmtId="167" fontId="36" fillId="4" borderId="17" xfId="0" applyNumberFormat="1" applyFont="1" applyFill="1" applyBorder="1" applyAlignment="1">
      <alignment horizontal="left" vertical="center"/>
    </xf>
    <xf numFmtId="0" fontId="85" fillId="0" borderId="25" xfId="0" applyFont="1" applyBorder="1" applyAlignment="1">
      <alignment horizontal="center" vertical="center"/>
    </xf>
    <xf numFmtId="0" fontId="85" fillId="0" borderId="25" xfId="0" applyFont="1" applyBorder="1" applyAlignment="1">
      <alignment horizontal="center" vertical="center" wrapText="1"/>
    </xf>
    <xf numFmtId="167" fontId="85" fillId="0" borderId="25" xfId="0" applyNumberFormat="1" applyFont="1" applyBorder="1" applyAlignment="1">
      <alignment vertical="center"/>
    </xf>
    <xf numFmtId="0" fontId="18" fillId="0" borderId="25" xfId="0" applyFont="1" applyBorder="1" applyAlignment="1">
      <alignment horizontal="center" vertical="center" wrapText="1"/>
    </xf>
    <xf numFmtId="0" fontId="103" fillId="4" borderId="17" xfId="0" applyFont="1" applyFill="1" applyBorder="1" applyAlignment="1">
      <alignment horizontal="center" vertical="center"/>
    </xf>
    <xf numFmtId="0" fontId="107" fillId="0" borderId="25" xfId="0" applyFont="1" applyBorder="1" applyAlignment="1">
      <alignment horizontal="center" vertical="center"/>
    </xf>
    <xf numFmtId="0" fontId="107" fillId="0" borderId="25" xfId="0" applyFont="1" applyBorder="1" applyAlignment="1">
      <alignment horizontal="left" vertical="center" wrapText="1"/>
    </xf>
    <xf numFmtId="0" fontId="107" fillId="0" borderId="25" xfId="0" applyFont="1" applyBorder="1" applyAlignment="1">
      <alignment horizontal="center" vertical="center" wrapText="1"/>
    </xf>
    <xf numFmtId="167" fontId="107" fillId="0" borderId="25" xfId="0" applyNumberFormat="1" applyFont="1" applyBorder="1" applyAlignment="1">
      <alignment vertical="center"/>
    </xf>
    <xf numFmtId="0" fontId="112" fillId="0" borderId="4" xfId="0" applyFont="1" applyBorder="1" applyAlignment="1">
      <alignment vertical="center"/>
    </xf>
    <xf numFmtId="0" fontId="112" fillId="0" borderId="25" xfId="0" applyFont="1" applyBorder="1" applyAlignment="1">
      <alignment horizontal="center" vertical="center"/>
    </xf>
    <xf numFmtId="0" fontId="112" fillId="0" borderId="25" xfId="0" applyFont="1" applyBorder="1" applyAlignment="1">
      <alignment horizontal="left" vertical="center" wrapText="1"/>
    </xf>
    <xf numFmtId="0" fontId="112" fillId="0" borderId="25" xfId="0" applyFont="1" applyBorder="1" applyAlignment="1">
      <alignment horizontal="center" vertical="center" wrapText="1"/>
    </xf>
    <xf numFmtId="167" fontId="112" fillId="0" borderId="25" xfId="0" applyNumberFormat="1" applyFont="1" applyBorder="1" applyAlignment="1">
      <alignment vertical="center"/>
    </xf>
    <xf numFmtId="0" fontId="112" fillId="0" borderId="5" xfId="0" applyFont="1" applyBorder="1" applyAlignment="1">
      <alignment vertical="center"/>
    </xf>
    <xf numFmtId="0" fontId="112" fillId="0" borderId="0" xfId="0" applyFont="1" applyAlignment="1">
      <alignment vertical="center"/>
    </xf>
    <xf numFmtId="0" fontId="18" fillId="15" borderId="25" xfId="0" applyFont="1" applyFill="1" applyBorder="1" applyAlignment="1">
      <alignment horizontal="center" vertical="center"/>
    </xf>
    <xf numFmtId="0" fontId="18" fillId="15" borderId="25" xfId="0" applyFont="1" applyFill="1" applyBorder="1" applyAlignment="1">
      <alignment horizontal="left" vertical="center" wrapText="1"/>
    </xf>
    <xf numFmtId="0" fontId="18" fillId="15" borderId="25" xfId="0" applyFont="1" applyFill="1" applyBorder="1" applyAlignment="1">
      <alignment horizontal="center" vertical="center" wrapText="1"/>
    </xf>
    <xf numFmtId="167" fontId="18" fillId="15" borderId="25" xfId="0" applyNumberFormat="1" applyFont="1" applyFill="1" applyBorder="1" applyAlignment="1">
      <alignment vertical="center"/>
    </xf>
    <xf numFmtId="164" fontId="107" fillId="0" borderId="0" xfId="0" applyNumberFormat="1" applyFont="1" applyAlignment="1">
      <alignment vertical="center"/>
    </xf>
    <xf numFmtId="0" fontId="42" fillId="0" borderId="56" xfId="68" applyFont="1" applyBorder="1" applyAlignment="1">
      <alignment vertical="center" wrapText="1"/>
    </xf>
    <xf numFmtId="0" fontId="42" fillId="0" borderId="0" xfId="68" applyFont="1" applyAlignment="1">
      <alignment vertical="center"/>
    </xf>
    <xf numFmtId="0" fontId="16" fillId="0" borderId="0" xfId="68" applyFont="1" applyAlignment="1">
      <alignment vertical="center"/>
    </xf>
    <xf numFmtId="0" fontId="44" fillId="0" borderId="33" xfId="68" applyFont="1" applyBorder="1" applyAlignment="1">
      <alignment horizontal="left" vertical="center" wrapText="1"/>
    </xf>
    <xf numFmtId="0" fontId="45" fillId="0" borderId="0" xfId="68" applyFont="1" applyAlignment="1">
      <alignment vertical="center"/>
    </xf>
    <xf numFmtId="0" fontId="18" fillId="8" borderId="40" xfId="68" applyFont="1" applyFill="1" applyBorder="1" applyAlignment="1">
      <alignment horizontal="center" vertical="center" wrapText="1"/>
    </xf>
    <xf numFmtId="0" fontId="18" fillId="8" borderId="42" xfId="68" applyFont="1" applyFill="1" applyBorder="1" applyAlignment="1">
      <alignment horizontal="center" vertical="center" wrapText="1"/>
    </xf>
    <xf numFmtId="0" fontId="18" fillId="0" borderId="0" xfId="68" applyFont="1" applyAlignment="1">
      <alignment horizontal="center" vertical="center" wrapText="1"/>
    </xf>
    <xf numFmtId="0" fontId="16" fillId="0" borderId="43" xfId="68" applyFont="1" applyBorder="1" applyAlignment="1">
      <alignment vertical="center" wrapText="1"/>
    </xf>
    <xf numFmtId="0" fontId="16" fillId="0" borderId="44" xfId="68" applyFont="1" applyBorder="1" applyAlignment="1">
      <alignment horizontal="right" vertical="center"/>
    </xf>
    <xf numFmtId="0" fontId="18" fillId="0" borderId="46" xfId="68" applyFont="1" applyBorder="1" applyAlignment="1">
      <alignment horizontal="left" vertical="center"/>
    </xf>
    <xf numFmtId="0" fontId="47" fillId="0" borderId="33" xfId="68" applyFont="1" applyBorder="1" applyAlignment="1">
      <alignment vertical="center" wrapText="1"/>
    </xf>
    <xf numFmtId="0" fontId="48" fillId="0" borderId="47" xfId="68" applyFont="1" applyBorder="1" applyAlignment="1">
      <alignment horizontal="center" vertical="center"/>
    </xf>
    <xf numFmtId="44" fontId="49" fillId="0" borderId="47" xfId="69" applyFont="1" applyBorder="1" applyAlignment="1" applyProtection="1">
      <alignment horizontal="right" vertical="center"/>
    </xf>
    <xf numFmtId="0" fontId="51" fillId="0" borderId="48" xfId="68" applyFont="1" applyBorder="1" applyAlignment="1">
      <alignment horizontal="right" vertical="center"/>
    </xf>
    <xf numFmtId="0" fontId="84" fillId="0" borderId="26" xfId="68" applyFont="1" applyBorder="1" applyAlignment="1">
      <alignment vertical="center" wrapText="1"/>
    </xf>
    <xf numFmtId="0" fontId="61" fillId="0" borderId="64" xfId="68" applyFont="1" applyBorder="1" applyAlignment="1">
      <alignment horizontal="center" vertical="center"/>
    </xf>
    <xf numFmtId="0" fontId="19" fillId="0" borderId="44" xfId="68" applyFont="1" applyBorder="1" applyAlignment="1">
      <alignment horizontal="left" vertical="center"/>
    </xf>
    <xf numFmtId="0" fontId="19" fillId="0" borderId="0" xfId="68" applyFont="1" applyAlignment="1">
      <alignment vertical="center"/>
    </xf>
    <xf numFmtId="0" fontId="52" fillId="0" borderId="26" xfId="68" applyFont="1" applyBorder="1" applyAlignment="1">
      <alignment horizontal="left" vertical="center" wrapText="1"/>
    </xf>
    <xf numFmtId="0" fontId="53" fillId="0" borderId="64" xfId="68" applyFont="1" applyBorder="1" applyAlignment="1">
      <alignment horizontal="center" vertical="center"/>
    </xf>
    <xf numFmtId="0" fontId="54" fillId="0" borderId="44" xfId="68" applyFont="1" applyBorder="1" applyAlignment="1">
      <alignment horizontal="left" vertical="center"/>
    </xf>
    <xf numFmtId="0" fontId="55" fillId="0" borderId="0" xfId="68" applyFont="1" applyAlignment="1">
      <alignment vertical="center" wrapText="1"/>
    </xf>
    <xf numFmtId="0" fontId="53" fillId="0" borderId="44" xfId="68" applyFont="1" applyBorder="1" applyAlignment="1">
      <alignment horizontal="center" vertical="center"/>
    </xf>
    <xf numFmtId="0" fontId="18" fillId="0" borderId="44" xfId="68" applyFont="1" applyBorder="1" applyAlignment="1">
      <alignment horizontal="left" vertical="center"/>
    </xf>
    <xf numFmtId="0" fontId="53" fillId="0" borderId="47" xfId="68" applyFont="1" applyBorder="1" applyAlignment="1">
      <alignment horizontal="right" vertical="center"/>
    </xf>
    <xf numFmtId="0" fontId="52" fillId="0" borderId="66" xfId="68" applyFont="1" applyBorder="1" applyAlignment="1">
      <alignment vertical="center" wrapText="1"/>
    </xf>
    <xf numFmtId="0" fontId="53" fillId="0" borderId="67" xfId="68" applyFont="1" applyBorder="1" applyAlignment="1">
      <alignment horizontal="center" vertical="center"/>
    </xf>
    <xf numFmtId="0" fontId="16" fillId="0" borderId="44" xfId="68" applyFont="1" applyBorder="1" applyAlignment="1">
      <alignment horizontal="left" vertical="center"/>
    </xf>
    <xf numFmtId="0" fontId="52" fillId="0" borderId="26" xfId="68" applyFont="1" applyBorder="1" applyAlignment="1">
      <alignment vertical="center" wrapText="1"/>
    </xf>
    <xf numFmtId="0" fontId="53" fillId="0" borderId="0" xfId="68" applyFont="1" applyAlignment="1">
      <alignment vertical="center" wrapText="1"/>
    </xf>
    <xf numFmtId="0" fontId="53" fillId="0" borderId="44" xfId="68" applyFont="1" applyBorder="1" applyAlignment="1">
      <alignment horizontal="right" vertical="center"/>
    </xf>
    <xf numFmtId="0" fontId="84" fillId="0" borderId="66" xfId="68" applyFont="1" applyBorder="1" applyAlignment="1">
      <alignment vertical="center" wrapText="1"/>
    </xf>
    <xf numFmtId="0" fontId="61" fillId="0" borderId="67" xfId="68" applyFont="1" applyBorder="1" applyAlignment="1">
      <alignment horizontal="center" vertical="center"/>
    </xf>
    <xf numFmtId="0" fontId="56" fillId="9" borderId="33" xfId="68" applyFont="1" applyFill="1" applyBorder="1" applyAlignment="1">
      <alignment vertical="center" wrapText="1"/>
    </xf>
    <xf numFmtId="0" fontId="57" fillId="9" borderId="34" xfId="68" applyFont="1" applyFill="1" applyBorder="1" applyAlignment="1">
      <alignment horizontal="right" vertical="center"/>
    </xf>
    <xf numFmtId="0" fontId="51" fillId="9" borderId="48" xfId="68" applyFont="1" applyFill="1" applyBorder="1" applyAlignment="1">
      <alignment horizontal="right" vertical="center"/>
    </xf>
    <xf numFmtId="44" fontId="74" fillId="0" borderId="0" xfId="68" applyNumberFormat="1" applyFont="1" applyAlignment="1">
      <alignment vertical="center"/>
    </xf>
    <xf numFmtId="0" fontId="16" fillId="0" borderId="0" xfId="68" applyFont="1" applyAlignment="1">
      <alignment vertical="center" wrapText="1"/>
    </xf>
    <xf numFmtId="0" fontId="16" fillId="0" borderId="0" xfId="68" applyFont="1" applyAlignment="1">
      <alignment horizontal="right" vertical="center"/>
    </xf>
    <xf numFmtId="0" fontId="18" fillId="0" borderId="0" xfId="68" applyFont="1" applyAlignment="1">
      <alignment horizontal="left" vertical="center"/>
    </xf>
    <xf numFmtId="0" fontId="52" fillId="0" borderId="0" xfId="68" applyFont="1" applyAlignment="1">
      <alignment vertical="center"/>
    </xf>
    <xf numFmtId="0" fontId="52" fillId="0" borderId="0" xfId="68" applyFont="1" applyAlignment="1">
      <alignment horizontal="left" vertical="center" wrapText="1"/>
    </xf>
    <xf numFmtId="0" fontId="52" fillId="0" borderId="0" xfId="68" applyFont="1" applyAlignment="1">
      <alignment horizontal="center" vertical="center"/>
    </xf>
    <xf numFmtId="0" fontId="52" fillId="0" borderId="0" xfId="68" applyFont="1" applyAlignment="1">
      <alignment vertical="center" wrapText="1"/>
    </xf>
    <xf numFmtId="49" fontId="52" fillId="0" borderId="0" xfId="68" applyNumberFormat="1" applyFont="1" applyAlignment="1">
      <alignment vertical="center" wrapText="1"/>
    </xf>
    <xf numFmtId="0" fontId="16" fillId="0" borderId="27" xfId="68" applyFont="1" applyBorder="1" applyAlignment="1">
      <alignment vertical="center" wrapText="1"/>
    </xf>
    <xf numFmtId="0" fontId="16" fillId="0" borderId="27" xfId="68" applyFont="1" applyBorder="1" applyAlignment="1">
      <alignment horizontal="right" vertical="center"/>
    </xf>
    <xf numFmtId="0" fontId="18" fillId="0" borderId="27" xfId="68" applyFont="1" applyBorder="1" applyAlignment="1">
      <alignment horizontal="left" vertical="center"/>
    </xf>
    <xf numFmtId="0" fontId="19" fillId="0" borderId="59" xfId="68" applyFont="1" applyBorder="1" applyAlignment="1">
      <alignment vertical="center"/>
    </xf>
    <xf numFmtId="0" fontId="106" fillId="15" borderId="27" xfId="68" applyFont="1" applyFill="1" applyBorder="1" applyAlignment="1">
      <alignment vertical="center"/>
    </xf>
    <xf numFmtId="14" fontId="106" fillId="15" borderId="27" xfId="68" applyNumberFormat="1" applyFont="1" applyFill="1" applyBorder="1" applyAlignment="1">
      <alignment vertical="center"/>
    </xf>
    <xf numFmtId="0" fontId="52" fillId="15" borderId="26" xfId="68" applyFont="1" applyFill="1" applyBorder="1" applyAlignment="1">
      <alignment vertical="center" wrapText="1"/>
    </xf>
    <xf numFmtId="0" fontId="47" fillId="15" borderId="33" xfId="68" applyFont="1" applyFill="1" applyBorder="1" applyAlignment="1">
      <alignment vertical="center" wrapText="1"/>
    </xf>
    <xf numFmtId="49" fontId="42" fillId="0" borderId="0" xfId="68" applyNumberFormat="1" applyFont="1" applyAlignment="1">
      <alignment vertical="center"/>
    </xf>
    <xf numFmtId="0" fontId="72" fillId="0" borderId="0" xfId="14" applyFont="1" applyAlignment="1">
      <alignment vertical="center"/>
    </xf>
    <xf numFmtId="0" fontId="9" fillId="0" borderId="0" xfId="14" applyAlignment="1">
      <alignment vertical="center"/>
    </xf>
    <xf numFmtId="49" fontId="9" fillId="0" borderId="0" xfId="14" applyNumberFormat="1" applyAlignment="1">
      <alignment vertical="center"/>
    </xf>
    <xf numFmtId="0" fontId="9" fillId="0" borderId="0" xfId="14" applyAlignment="1">
      <alignment vertical="center" wrapText="1"/>
    </xf>
    <xf numFmtId="0" fontId="74" fillId="0" borderId="0" xfId="68" applyFont="1" applyAlignment="1">
      <alignment vertical="center"/>
    </xf>
    <xf numFmtId="0" fontId="75" fillId="0" borderId="0" xfId="68" applyFont="1" applyAlignment="1">
      <alignment vertical="center"/>
    </xf>
    <xf numFmtId="49" fontId="42" fillId="0" borderId="0" xfId="68" applyNumberFormat="1" applyFont="1" applyAlignment="1">
      <alignment horizontal="left" vertical="center"/>
    </xf>
    <xf numFmtId="0" fontId="42" fillId="0" borderId="0" xfId="68" applyFont="1" applyAlignment="1">
      <alignment horizontal="left" vertical="center" wrapText="1"/>
    </xf>
    <xf numFmtId="49" fontId="62" fillId="0" borderId="33" xfId="68" applyNumberFormat="1" applyFont="1" applyBorder="1" applyAlignment="1">
      <alignment horizontal="left" vertical="center"/>
    </xf>
    <xf numFmtId="0" fontId="17" fillId="0" borderId="0" xfId="68" applyFont="1" applyAlignment="1">
      <alignment vertical="center"/>
    </xf>
    <xf numFmtId="49" fontId="9" fillId="10" borderId="61" xfId="14" applyNumberFormat="1" applyFill="1" applyBorder="1" applyAlignment="1">
      <alignment vertical="center"/>
    </xf>
    <xf numFmtId="0" fontId="17" fillId="10" borderId="49" xfId="14" applyFont="1" applyFill="1" applyBorder="1" applyAlignment="1">
      <alignment vertical="center" wrapText="1"/>
    </xf>
    <xf numFmtId="0" fontId="9" fillId="10" borderId="49" xfId="14" applyFill="1" applyBorder="1" applyAlignment="1">
      <alignment vertical="center" wrapText="1"/>
    </xf>
    <xf numFmtId="49" fontId="92" fillId="0" borderId="70" xfId="0" applyNumberFormat="1" applyFont="1" applyBorder="1"/>
    <xf numFmtId="49" fontId="92" fillId="0" borderId="70" xfId="0" applyNumberFormat="1" applyFont="1" applyBorder="1" applyAlignment="1">
      <alignment wrapText="1"/>
    </xf>
    <xf numFmtId="49" fontId="92" fillId="0" borderId="81" xfId="0" applyNumberFormat="1" applyFont="1" applyBorder="1" applyAlignment="1">
      <alignment horizontal="center"/>
    </xf>
    <xf numFmtId="0" fontId="8" fillId="0" borderId="0" xfId="0" applyFont="1"/>
    <xf numFmtId="49" fontId="92" fillId="0" borderId="79" xfId="0" applyNumberFormat="1" applyFont="1" applyBorder="1" applyAlignment="1">
      <alignment wrapText="1"/>
    </xf>
    <xf numFmtId="49" fontId="92" fillId="0" borderId="79" xfId="0" applyNumberFormat="1" applyFont="1" applyBorder="1" applyAlignment="1">
      <alignment textRotation="90" wrapText="1"/>
    </xf>
    <xf numFmtId="49" fontId="92" fillId="0" borderId="79" xfId="0" applyNumberFormat="1" applyFont="1" applyBorder="1" applyAlignment="1">
      <alignment horizontal="center" wrapText="1"/>
    </xf>
    <xf numFmtId="0" fontId="8" fillId="0" borderId="0" xfId="0" applyFont="1" applyAlignment="1">
      <alignment wrapText="1"/>
    </xf>
    <xf numFmtId="49" fontId="87" fillId="13" borderId="72" xfId="0" applyNumberFormat="1" applyFont="1" applyFill="1" applyBorder="1"/>
    <xf numFmtId="49" fontId="87" fillId="13" borderId="73" xfId="0" applyNumberFormat="1" applyFont="1" applyFill="1" applyBorder="1"/>
    <xf numFmtId="49" fontId="87" fillId="13" borderId="73" xfId="0" applyNumberFormat="1" applyFont="1" applyFill="1" applyBorder="1" applyAlignment="1">
      <alignment wrapText="1"/>
    </xf>
    <xf numFmtId="49" fontId="96" fillId="0" borderId="75" xfId="0" applyNumberFormat="1" applyFont="1" applyBorder="1" applyAlignment="1">
      <alignment horizontal="left"/>
    </xf>
    <xf numFmtId="49" fontId="96" fillId="0" borderId="76" xfId="0" applyNumberFormat="1" applyFont="1" applyBorder="1" applyAlignment="1">
      <alignment wrapText="1"/>
    </xf>
    <xf numFmtId="0" fontId="96" fillId="0" borderId="71" xfId="0" applyFont="1" applyBorder="1" applyAlignment="1">
      <alignment horizontal="left"/>
    </xf>
    <xf numFmtId="168" fontId="96" fillId="0" borderId="71" xfId="58" applyNumberFormat="1" applyFont="1" applyBorder="1" applyAlignment="1" applyProtection="1">
      <alignment horizontal="left"/>
    </xf>
    <xf numFmtId="49" fontId="96" fillId="0" borderId="71" xfId="0" applyNumberFormat="1" applyFont="1" applyBorder="1"/>
    <xf numFmtId="3" fontId="88" fillId="0" borderId="71" xfId="0" applyNumberFormat="1" applyFont="1" applyBorder="1" applyAlignment="1">
      <alignment horizontal="right"/>
    </xf>
    <xf numFmtId="0" fontId="96" fillId="0" borderId="0" xfId="0" applyFont="1"/>
    <xf numFmtId="169" fontId="96" fillId="0" borderId="71" xfId="69" applyNumberFormat="1" applyFont="1" applyBorder="1" applyAlignment="1" applyProtection="1">
      <alignment horizontal="right"/>
    </xf>
    <xf numFmtId="49" fontId="89" fillId="0" borderId="76" xfId="0" applyNumberFormat="1" applyFont="1" applyBorder="1" applyAlignment="1">
      <alignment wrapText="1"/>
    </xf>
    <xf numFmtId="49" fontId="96" fillId="0" borderId="71" xfId="0" applyNumberFormat="1" applyFont="1" applyBorder="1" applyAlignment="1">
      <alignment wrapText="1"/>
    </xf>
    <xf numFmtId="49" fontId="8" fillId="14" borderId="75" xfId="0" applyNumberFormat="1" applyFont="1" applyFill="1" applyBorder="1" applyAlignment="1">
      <alignment horizontal="left"/>
    </xf>
    <xf numFmtId="49" fontId="97" fillId="14" borderId="71" xfId="0" applyNumberFormat="1" applyFont="1" applyFill="1" applyBorder="1" applyAlignment="1">
      <alignment wrapText="1"/>
    </xf>
    <xf numFmtId="0" fontId="8" fillId="14" borderId="71" xfId="0" applyFont="1" applyFill="1" applyBorder="1" applyAlignment="1">
      <alignment horizontal="left"/>
    </xf>
    <xf numFmtId="168" fontId="8" fillId="14" borderId="71" xfId="58" applyNumberFormat="1" applyFont="1" applyFill="1" applyBorder="1" applyAlignment="1" applyProtection="1">
      <alignment horizontal="left"/>
    </xf>
    <xf numFmtId="49" fontId="8" fillId="14" borderId="71" xfId="0" applyNumberFormat="1" applyFont="1" applyFill="1" applyBorder="1"/>
    <xf numFmtId="169" fontId="8" fillId="14" borderId="71" xfId="69" applyNumberFormat="1" applyFont="1" applyFill="1" applyBorder="1" applyAlignment="1" applyProtection="1">
      <alignment horizontal="right"/>
    </xf>
    <xf numFmtId="3" fontId="8" fillId="14" borderId="71" xfId="0" applyNumberFormat="1" applyFont="1" applyFill="1" applyBorder="1" applyAlignment="1">
      <alignment horizontal="right"/>
    </xf>
    <xf numFmtId="49" fontId="98" fillId="0" borderId="71" xfId="0" applyNumberFormat="1" applyFont="1" applyBorder="1" applyAlignment="1">
      <alignment wrapText="1"/>
    </xf>
    <xf numFmtId="3" fontId="96" fillId="0" borderId="71" xfId="0" applyNumberFormat="1" applyFont="1" applyBorder="1" applyAlignment="1">
      <alignment horizontal="right"/>
    </xf>
    <xf numFmtId="0" fontId="96" fillId="0" borderId="71" xfId="0" applyFont="1" applyBorder="1"/>
    <xf numFmtId="49" fontId="96" fillId="14" borderId="71" xfId="0" applyNumberFormat="1" applyFont="1" applyFill="1" applyBorder="1" applyAlignment="1">
      <alignment horizontal="left"/>
    </xf>
    <xf numFmtId="49" fontId="98" fillId="14" borderId="71" xfId="0" applyNumberFormat="1" applyFont="1" applyFill="1" applyBorder="1" applyAlignment="1">
      <alignment wrapText="1"/>
    </xf>
    <xf numFmtId="0" fontId="96" fillId="14" borderId="71" xfId="0" applyFont="1" applyFill="1" applyBorder="1" applyAlignment="1">
      <alignment horizontal="left"/>
    </xf>
    <xf numFmtId="168" fontId="96" fillId="14" borderId="71" xfId="58" applyNumberFormat="1" applyFont="1" applyFill="1" applyBorder="1" applyAlignment="1" applyProtection="1">
      <alignment horizontal="left"/>
    </xf>
    <xf numFmtId="49" fontId="13" fillId="14" borderId="71" xfId="0" applyNumberFormat="1" applyFont="1" applyFill="1" applyBorder="1"/>
    <xf numFmtId="169" fontId="96" fillId="14" borderId="71" xfId="69" applyNumberFormat="1" applyFont="1" applyFill="1" applyBorder="1" applyAlignment="1" applyProtection="1">
      <alignment horizontal="right"/>
    </xf>
    <xf numFmtId="3" fontId="96" fillId="14" borderId="71" xfId="0" applyNumberFormat="1" applyFont="1" applyFill="1" applyBorder="1" applyAlignment="1">
      <alignment horizontal="right"/>
    </xf>
    <xf numFmtId="49" fontId="96" fillId="0" borderId="71" xfId="0" applyNumberFormat="1" applyFont="1" applyBorder="1" applyAlignment="1">
      <alignment horizontal="left"/>
    </xf>
    <xf numFmtId="0" fontId="96" fillId="0" borderId="71" xfId="0" applyFont="1" applyBorder="1" applyAlignment="1">
      <alignment wrapText="1"/>
    </xf>
    <xf numFmtId="0" fontId="8" fillId="0" borderId="71" xfId="0" applyFont="1" applyBorder="1"/>
    <xf numFmtId="49" fontId="8" fillId="0" borderId="71" xfId="0" applyNumberFormat="1" applyFont="1" applyBorder="1"/>
    <xf numFmtId="49" fontId="8" fillId="0" borderId="71" xfId="0" applyNumberFormat="1" applyFont="1" applyBorder="1" applyAlignment="1">
      <alignment horizontal="center"/>
    </xf>
    <xf numFmtId="0" fontId="8" fillId="0" borderId="71" xfId="0" applyFont="1" applyBorder="1" applyAlignment="1">
      <alignment wrapText="1"/>
    </xf>
    <xf numFmtId="0" fontId="8" fillId="0" borderId="71" xfId="0" applyFont="1" applyBorder="1" applyAlignment="1">
      <alignment horizontal="left"/>
    </xf>
    <xf numFmtId="168" fontId="8" fillId="0" borderId="71" xfId="58" applyNumberFormat="1" applyFont="1" applyBorder="1" applyAlignment="1" applyProtection="1">
      <alignment horizontal="left"/>
    </xf>
    <xf numFmtId="49" fontId="92" fillId="0" borderId="71" xfId="0" applyNumberFormat="1" applyFont="1" applyBorder="1" applyAlignment="1">
      <alignment horizontal="center" wrapText="1"/>
    </xf>
    <xf numFmtId="49" fontId="8" fillId="0" borderId="75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wrapText="1"/>
    </xf>
    <xf numFmtId="3" fontId="8" fillId="0" borderId="71" xfId="0" applyNumberFormat="1" applyFont="1" applyBorder="1"/>
    <xf numFmtId="49" fontId="89" fillId="0" borderId="71" xfId="0" applyNumberFormat="1" applyFont="1" applyBorder="1" applyAlignment="1">
      <alignment wrapText="1"/>
    </xf>
    <xf numFmtId="168" fontId="87" fillId="13" borderId="73" xfId="58" applyNumberFormat="1" applyFont="1" applyFill="1" applyBorder="1" applyProtection="1"/>
    <xf numFmtId="49" fontId="96" fillId="0" borderId="75" xfId="0" applyNumberFormat="1" applyFont="1" applyBorder="1"/>
    <xf numFmtId="168" fontId="96" fillId="0" borderId="71" xfId="58" applyNumberFormat="1" applyFont="1" applyBorder="1" applyProtection="1"/>
    <xf numFmtId="49" fontId="8" fillId="14" borderId="75" xfId="0" applyNumberFormat="1" applyFont="1" applyFill="1" applyBorder="1"/>
    <xf numFmtId="0" fontId="8" fillId="14" borderId="71" xfId="0" applyFont="1" applyFill="1" applyBorder="1"/>
    <xf numFmtId="168" fontId="8" fillId="14" borderId="71" xfId="58" applyNumberFormat="1" applyFont="1" applyFill="1" applyBorder="1" applyProtection="1"/>
    <xf numFmtId="49" fontId="89" fillId="0" borderId="71" xfId="0" applyNumberFormat="1" applyFont="1" applyBorder="1"/>
    <xf numFmtId="49" fontId="8" fillId="0" borderId="75" xfId="0" applyNumberFormat="1" applyFont="1" applyBorder="1"/>
    <xf numFmtId="49" fontId="92" fillId="0" borderId="71" xfId="0" applyNumberFormat="1" applyFont="1" applyBorder="1" applyAlignment="1">
      <alignment wrapText="1"/>
    </xf>
    <xf numFmtId="3" fontId="93" fillId="0" borderId="71" xfId="0" applyNumberFormat="1" applyFont="1" applyBorder="1" applyAlignment="1">
      <alignment horizontal="right"/>
    </xf>
    <xf numFmtId="3" fontId="8" fillId="0" borderId="71" xfId="0" applyNumberFormat="1" applyFont="1" applyBorder="1" applyAlignment="1">
      <alignment horizontal="right"/>
    </xf>
    <xf numFmtId="49" fontId="8" fillId="0" borderId="77" xfId="0" applyNumberFormat="1" applyFont="1" applyBorder="1"/>
    <xf numFmtId="49" fontId="8" fillId="0" borderId="75" xfId="0" applyNumberFormat="1" applyFont="1" applyBorder="1" applyAlignment="1">
      <alignment wrapText="1"/>
    </xf>
    <xf numFmtId="0" fontId="13" fillId="0" borderId="75" xfId="0" applyFont="1" applyBorder="1" applyAlignment="1">
      <alignment horizontal="left"/>
    </xf>
    <xf numFmtId="168" fontId="13" fillId="0" borderId="75" xfId="58" applyNumberFormat="1" applyFont="1" applyBorder="1" applyAlignment="1" applyProtection="1">
      <alignment horizontal="left"/>
    </xf>
    <xf numFmtId="49" fontId="13" fillId="0" borderId="75" xfId="0" applyNumberFormat="1" applyFont="1" applyBorder="1"/>
    <xf numFmtId="3" fontId="8" fillId="0" borderId="75" xfId="0" applyNumberFormat="1" applyFont="1" applyBorder="1"/>
    <xf numFmtId="49" fontId="8" fillId="0" borderId="77" xfId="0" applyNumberFormat="1" applyFont="1" applyBorder="1" applyAlignment="1">
      <alignment horizontal="left"/>
    </xf>
    <xf numFmtId="49" fontId="8" fillId="0" borderId="71" xfId="0" applyNumberFormat="1" applyFont="1" applyBorder="1" applyAlignment="1">
      <alignment horizontal="left"/>
    </xf>
    <xf numFmtId="169" fontId="8" fillId="0" borderId="78" xfId="69" applyNumberFormat="1" applyFont="1" applyBorder="1" applyProtection="1"/>
    <xf numFmtId="3" fontId="8" fillId="0" borderId="78" xfId="0" applyNumberFormat="1" applyFont="1" applyBorder="1" applyAlignment="1">
      <alignment horizontal="right"/>
    </xf>
    <xf numFmtId="3" fontId="8" fillId="0" borderId="78" xfId="0" applyNumberFormat="1" applyFont="1" applyBorder="1"/>
    <xf numFmtId="49" fontId="13" fillId="0" borderId="71" xfId="0" applyNumberFormat="1" applyFont="1" applyBorder="1"/>
    <xf numFmtId="49" fontId="8" fillId="0" borderId="0" xfId="0" applyNumberFormat="1" applyFont="1"/>
    <xf numFmtId="0" fontId="13" fillId="0" borderId="71" xfId="0" applyFont="1" applyBorder="1" applyAlignment="1">
      <alignment horizontal="left"/>
    </xf>
    <xf numFmtId="168" fontId="13" fillId="0" borderId="71" xfId="58" applyNumberFormat="1" applyFont="1" applyBorder="1" applyAlignment="1" applyProtection="1">
      <alignment horizontal="left"/>
    </xf>
    <xf numFmtId="168" fontId="13" fillId="0" borderId="71" xfId="58" applyNumberFormat="1" applyFont="1" applyBorder="1" applyProtection="1"/>
    <xf numFmtId="49" fontId="8" fillId="0" borderId="77" xfId="0" applyNumberFormat="1" applyFont="1" applyBorder="1" applyAlignment="1">
      <alignment wrapText="1"/>
    </xf>
    <xf numFmtId="3" fontId="94" fillId="0" borderId="71" xfId="0" applyNumberFormat="1" applyFont="1" applyBorder="1"/>
    <xf numFmtId="49" fontId="81" fillId="0" borderId="71" xfId="149" applyNumberFormat="1" applyFont="1" applyBorder="1" applyAlignment="1">
      <alignment wrapText="1"/>
    </xf>
    <xf numFmtId="0" fontId="8" fillId="0" borderId="71" xfId="149" applyFont="1" applyBorder="1" applyAlignment="1">
      <alignment horizontal="left" wrapText="1"/>
    </xf>
    <xf numFmtId="3" fontId="8" fillId="0" borderId="0" xfId="0" applyNumberFormat="1" applyFont="1"/>
    <xf numFmtId="49" fontId="8" fillId="0" borderId="0" xfId="0" applyNumberFormat="1" applyFont="1" applyAlignment="1">
      <alignment horizontal="left"/>
    </xf>
    <xf numFmtId="49" fontId="81" fillId="0" borderId="0" xfId="149" applyNumberFormat="1" applyFont="1" applyAlignment="1">
      <alignment wrapText="1"/>
    </xf>
    <xf numFmtId="0" fontId="8" fillId="0" borderId="0" xfId="149" applyFont="1" applyAlignment="1">
      <alignment horizontal="left" wrapText="1"/>
    </xf>
    <xf numFmtId="0" fontId="8" fillId="0" borderId="0" xfId="0" applyFont="1" applyAlignment="1">
      <alignment horizontal="left"/>
    </xf>
    <xf numFmtId="49" fontId="96" fillId="0" borderId="0" xfId="0" applyNumberFormat="1" applyFont="1" applyAlignment="1">
      <alignment horizontal="left"/>
    </xf>
    <xf numFmtId="49" fontId="89" fillId="0" borderId="0" xfId="0" applyNumberFormat="1" applyFont="1"/>
    <xf numFmtId="49" fontId="96" fillId="0" borderId="0" xfId="0" applyNumberFormat="1" applyFont="1"/>
    <xf numFmtId="49" fontId="17" fillId="0" borderId="0" xfId="149" applyNumberFormat="1" applyFont="1" applyAlignment="1">
      <alignment wrapText="1"/>
    </xf>
    <xf numFmtId="0" fontId="96" fillId="0" borderId="0" xfId="149" applyFont="1" applyAlignment="1">
      <alignment horizontal="left" wrapText="1"/>
    </xf>
    <xf numFmtId="0" fontId="96" fillId="0" borderId="0" xfId="0" applyFont="1" applyAlignment="1">
      <alignment horizontal="left"/>
    </xf>
    <xf numFmtId="49" fontId="89" fillId="0" borderId="0" xfId="0" applyNumberFormat="1" applyFont="1" applyAlignment="1">
      <alignment horizontal="right"/>
    </xf>
    <xf numFmtId="0" fontId="99" fillId="0" borderId="0" xfId="0" applyFont="1"/>
    <xf numFmtId="0" fontId="42" fillId="0" borderId="0" xfId="68" applyFont="1" applyAlignment="1">
      <alignment horizontal="left" vertical="center"/>
    </xf>
    <xf numFmtId="0" fontId="9" fillId="10" borderId="49" xfId="14" applyFill="1" applyBorder="1" applyAlignment="1">
      <alignment vertical="center"/>
    </xf>
    <xf numFmtId="49" fontId="17" fillId="0" borderId="62" xfId="14" applyNumberFormat="1" applyFont="1" applyBorder="1" applyAlignment="1">
      <alignment vertical="center" wrapText="1"/>
    </xf>
    <xf numFmtId="0" fontId="17" fillId="0" borderId="55" xfId="14" applyFont="1" applyBorder="1" applyAlignment="1">
      <alignment vertical="center" wrapText="1"/>
    </xf>
    <xf numFmtId="0" fontId="17" fillId="0" borderId="55" xfId="14" applyFont="1" applyBorder="1" applyAlignment="1">
      <alignment horizontal="center" vertical="center" wrapText="1"/>
    </xf>
    <xf numFmtId="49" fontId="77" fillId="0" borderId="52" xfId="14" applyNumberFormat="1" applyFont="1" applyBorder="1" applyAlignment="1">
      <alignment horizontal="center" vertical="center"/>
    </xf>
    <xf numFmtId="0" fontId="77" fillId="0" borderId="52" xfId="14" applyFont="1" applyBorder="1" applyAlignment="1">
      <alignment horizontal="left" vertical="center" wrapText="1" shrinkToFit="1"/>
    </xf>
    <xf numFmtId="0" fontId="77" fillId="0" borderId="52" xfId="14" applyFont="1" applyBorder="1" applyAlignment="1">
      <alignment horizontal="center" vertical="center"/>
    </xf>
    <xf numFmtId="0" fontId="77" fillId="0" borderId="0" xfId="14" applyFont="1" applyAlignment="1">
      <alignment vertical="center"/>
    </xf>
    <xf numFmtId="49" fontId="16" fillId="0" borderId="52" xfId="14" applyNumberFormat="1" applyFont="1" applyBorder="1" applyAlignment="1">
      <alignment horizontal="center" vertical="center"/>
    </xf>
    <xf numFmtId="0" fontId="16" fillId="0" borderId="52" xfId="14" applyFont="1" applyBorder="1" applyAlignment="1">
      <alignment horizontal="left" vertical="center" wrapText="1"/>
    </xf>
    <xf numFmtId="0" fontId="16" fillId="0" borderId="52" xfId="14" applyFont="1" applyBorder="1" applyAlignment="1">
      <alignment horizontal="center" vertical="center"/>
    </xf>
    <xf numFmtId="0" fontId="16" fillId="0" borderId="0" xfId="14" applyFont="1" applyAlignment="1">
      <alignment vertical="center"/>
    </xf>
    <xf numFmtId="0" fontId="16" fillId="0" borderId="52" xfId="14" applyFont="1" applyBorder="1" applyAlignment="1">
      <alignment horizontal="left" vertical="center" wrapText="1" shrinkToFit="1"/>
    </xf>
    <xf numFmtId="0" fontId="16" fillId="15" borderId="52" xfId="14" applyFont="1" applyFill="1" applyBorder="1" applyAlignment="1">
      <alignment horizontal="left" vertical="center" wrapText="1" shrinkToFit="1"/>
    </xf>
    <xf numFmtId="16" fontId="77" fillId="0" borderId="52" xfId="14" applyNumberFormat="1" applyFont="1" applyBorder="1" applyAlignment="1">
      <alignment horizontal="left" vertical="center" wrapText="1" shrinkToFit="1"/>
    </xf>
    <xf numFmtId="49" fontId="16" fillId="15" borderId="52" xfId="14" applyNumberFormat="1" applyFont="1" applyFill="1" applyBorder="1" applyAlignment="1">
      <alignment horizontal="center" vertical="center"/>
    </xf>
    <xf numFmtId="49" fontId="16" fillId="0" borderId="63" xfId="14" applyNumberFormat="1" applyFont="1" applyBorder="1" applyAlignment="1">
      <alignment horizontal="center" vertical="center"/>
    </xf>
    <xf numFmtId="0" fontId="16" fillId="0" borderId="63" xfId="14" applyFont="1" applyBorder="1" applyAlignment="1">
      <alignment horizontal="left" vertical="center" wrapText="1"/>
    </xf>
    <xf numFmtId="0" fontId="16" fillId="0" borderId="63" xfId="14" applyFont="1" applyBorder="1" applyAlignment="1">
      <alignment horizontal="center" vertical="center"/>
    </xf>
    <xf numFmtId="43" fontId="16" fillId="11" borderId="63" xfId="58" applyFont="1" applyFill="1" applyBorder="1" applyAlignment="1" applyProtection="1">
      <alignment horizontal="center" vertical="center"/>
    </xf>
    <xf numFmtId="164" fontId="9" fillId="0" borderId="0" xfId="14" applyNumberFormat="1" applyAlignment="1">
      <alignment vertical="center"/>
    </xf>
    <xf numFmtId="0" fontId="78" fillId="0" borderId="0" xfId="68" applyFont="1" applyAlignment="1">
      <alignment vertical="center"/>
    </xf>
    <xf numFmtId="0" fontId="8" fillId="0" borderId="0" xfId="14" applyFont="1" applyAlignment="1">
      <alignment vertical="center"/>
    </xf>
    <xf numFmtId="49" fontId="8" fillId="0" borderId="0" xfId="14" applyNumberFormat="1" applyFont="1" applyAlignment="1">
      <alignment vertical="center"/>
    </xf>
    <xf numFmtId="0" fontId="8" fillId="0" borderId="0" xfId="14" applyFont="1" applyAlignment="1">
      <alignment vertical="center" wrapText="1"/>
    </xf>
    <xf numFmtId="0" fontId="66" fillId="0" borderId="0" xfId="68" applyFont="1" applyAlignment="1">
      <alignment vertical="center"/>
    </xf>
    <xf numFmtId="0" fontId="58" fillId="0" borderId="0" xfId="68" applyFont="1" applyAlignment="1">
      <alignment vertical="center"/>
    </xf>
    <xf numFmtId="0" fontId="78" fillId="0" borderId="0" xfId="68" applyFont="1" applyAlignment="1">
      <alignment horizontal="left" vertical="center"/>
    </xf>
    <xf numFmtId="0" fontId="78" fillId="0" borderId="0" xfId="68" applyFont="1" applyAlignment="1">
      <alignment horizontal="left" vertical="center" wrapText="1"/>
    </xf>
    <xf numFmtId="0" fontId="65" fillId="0" borderId="33" xfId="68" applyFont="1" applyBorder="1" applyAlignment="1">
      <alignment horizontal="left" vertical="center"/>
    </xf>
    <xf numFmtId="0" fontId="81" fillId="0" borderId="0" xfId="68" applyFont="1" applyAlignment="1">
      <alignment vertical="center"/>
    </xf>
    <xf numFmtId="0" fontId="66" fillId="0" borderId="27" xfId="72" applyFont="1" applyBorder="1" applyAlignment="1">
      <alignment horizontal="center" vertical="center"/>
    </xf>
    <xf numFmtId="43" fontId="100" fillId="0" borderId="27" xfId="58" applyFont="1" applyBorder="1" applyAlignment="1" applyProtection="1">
      <alignment horizontal="right" vertical="center"/>
    </xf>
    <xf numFmtId="0" fontId="58" fillId="0" borderId="27" xfId="72" applyFont="1" applyBorder="1" applyAlignment="1">
      <alignment horizontal="center" vertical="center"/>
    </xf>
    <xf numFmtId="4" fontId="31" fillId="3" borderId="0" xfId="0" applyNumberFormat="1" applyFont="1" applyFill="1" applyAlignment="1">
      <alignment vertical="center"/>
    </xf>
    <xf numFmtId="4" fontId="9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36" fillId="0" borderId="28" xfId="0" applyFont="1" applyBorder="1" applyAlignment="1">
      <alignment horizontal="left" vertical="center" wrapText="1"/>
    </xf>
    <xf numFmtId="0" fontId="36" fillId="0" borderId="27" xfId="0" applyFont="1" applyBorder="1" applyAlignment="1">
      <alignment horizontal="left" vertical="center" wrapText="1"/>
    </xf>
    <xf numFmtId="0" fontId="34" fillId="0" borderId="27" xfId="0" applyFont="1" applyBorder="1" applyAlignment="1">
      <alignment horizontal="left" vertical="center" wrapText="1"/>
    </xf>
    <xf numFmtId="10" fontId="34" fillId="6" borderId="27" xfId="2" applyNumberFormat="1" applyFont="1" applyFill="1" applyBorder="1" applyAlignment="1" applyProtection="1">
      <alignment horizontal="right" vertical="center" wrapText="1"/>
      <protection locked="0"/>
    </xf>
    <xf numFmtId="43" fontId="34" fillId="0" borderId="27" xfId="58" applyFont="1" applyBorder="1" applyAlignment="1" applyProtection="1">
      <alignment horizontal="center" vertical="center" wrapText="1"/>
    </xf>
    <xf numFmtId="43" fontId="34" fillId="0" borderId="27" xfId="58" applyFont="1" applyBorder="1" applyAlignment="1" applyProtection="1">
      <alignment horizontal="right" vertical="center"/>
    </xf>
    <xf numFmtId="4" fontId="34" fillId="0" borderId="27" xfId="0" applyNumberFormat="1" applyFont="1" applyBorder="1" applyAlignment="1">
      <alignment vertical="center"/>
    </xf>
    <xf numFmtId="0" fontId="34" fillId="0" borderId="27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4" fontId="31" fillId="0" borderId="0" xfId="0" applyNumberFormat="1" applyFont="1" applyAlignment="1">
      <alignment vertical="center"/>
    </xf>
    <xf numFmtId="0" fontId="36" fillId="0" borderId="26" xfId="0" applyFont="1" applyBorder="1" applyAlignment="1">
      <alignment horizontal="left" vertical="center" wrapText="1"/>
    </xf>
    <xf numFmtId="4" fontId="34" fillId="0" borderId="26" xfId="0" applyNumberFormat="1" applyFont="1" applyBorder="1" applyAlignment="1">
      <alignment vertical="center"/>
    </xf>
    <xf numFmtId="0" fontId="34" fillId="0" borderId="26" xfId="0" applyFont="1" applyBorder="1" applyAlignment="1">
      <alignment vertical="center"/>
    </xf>
    <xf numFmtId="0" fontId="34" fillId="0" borderId="28" xfId="0" applyFont="1" applyBorder="1" applyAlignment="1">
      <alignment vertical="center"/>
    </xf>
    <xf numFmtId="4" fontId="31" fillId="0" borderId="0" xfId="0" applyNumberFormat="1" applyFont="1" applyAlignment="1">
      <alignment horizontal="right" vertical="center"/>
    </xf>
    <xf numFmtId="165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 wrapText="1"/>
    </xf>
    <xf numFmtId="4" fontId="21" fillId="2" borderId="9" xfId="0" applyNumberFormat="1" applyFont="1" applyFill="1" applyBorder="1" applyAlignment="1">
      <alignment vertical="center"/>
    </xf>
    <xf numFmtId="0" fontId="18" fillId="2" borderId="9" xfId="0" applyFont="1" applyFill="1" applyBorder="1" applyAlignment="1">
      <alignment vertical="center"/>
    </xf>
    <xf numFmtId="0" fontId="18" fillId="2" borderId="10" xfId="0" applyFont="1" applyFill="1" applyBorder="1" applyAlignment="1">
      <alignment vertical="center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16" fillId="3" borderId="8" xfId="0" applyFont="1" applyFill="1" applyBorder="1" applyAlignment="1">
      <alignment horizontal="center" vertical="center"/>
    </xf>
    <xf numFmtId="0" fontId="16" fillId="3" borderId="9" xfId="0" applyFont="1" applyFill="1" applyBorder="1" applyAlignment="1">
      <alignment horizontal="left" vertical="center"/>
    </xf>
    <xf numFmtId="0" fontId="16" fillId="3" borderId="9" xfId="0" applyFont="1" applyFill="1" applyBorder="1" applyAlignment="1">
      <alignment horizontal="center" vertical="center"/>
    </xf>
    <xf numFmtId="14" fontId="106" fillId="15" borderId="0" xfId="0" applyNumberFormat="1" applyFont="1" applyFill="1" applyAlignment="1">
      <alignment horizontal="right" vertical="center" wrapText="1"/>
    </xf>
    <xf numFmtId="0" fontId="105" fillId="15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14" fontId="16" fillId="0" borderId="0" xfId="0" applyNumberFormat="1" applyFont="1" applyAlignment="1">
      <alignment horizontal="right" vertical="center" wrapText="1"/>
    </xf>
    <xf numFmtId="0" fontId="16" fillId="0" borderId="0" xfId="0" applyFont="1" applyAlignment="1">
      <alignment horizontal="left" vertical="center" wrapText="1"/>
    </xf>
    <xf numFmtId="0" fontId="18" fillId="6" borderId="0" xfId="0" applyFont="1" applyFill="1" applyAlignment="1" applyProtection="1">
      <alignment horizontal="left" vertical="center"/>
      <protection locked="0"/>
    </xf>
    <xf numFmtId="0" fontId="106" fillId="15" borderId="0" xfId="0" applyFont="1" applyFill="1" applyAlignment="1">
      <alignment horizontal="left" vertical="center" wrapText="1"/>
    </xf>
    <xf numFmtId="4" fontId="17" fillId="0" borderId="7" xfId="0" applyNumberFormat="1" applyFont="1" applyBorder="1" applyAlignment="1">
      <alignment vertical="center"/>
    </xf>
    <xf numFmtId="0" fontId="18" fillId="0" borderId="7" xfId="0" applyFont="1" applyBorder="1" applyAlignment="1">
      <alignment vertical="center"/>
    </xf>
    <xf numFmtId="0" fontId="21" fillId="2" borderId="9" xfId="0" applyFont="1" applyFill="1" applyBorder="1" applyAlignment="1">
      <alignment horizontal="left" vertical="center"/>
    </xf>
    <xf numFmtId="166" fontId="16" fillId="0" borderId="0" xfId="0" applyNumberFormat="1" applyFont="1" applyAlignment="1">
      <alignment horizontal="left" vertical="center"/>
    </xf>
    <xf numFmtId="0" fontId="16" fillId="0" borderId="0" xfId="0" applyFont="1" applyAlignment="1">
      <alignment vertical="center"/>
    </xf>
    <xf numFmtId="0" fontId="16" fillId="3" borderId="10" xfId="0" applyFont="1" applyFill="1" applyBorder="1" applyAlignment="1">
      <alignment horizontal="left" vertical="center"/>
    </xf>
    <xf numFmtId="0" fontId="107" fillId="0" borderId="23" xfId="0" applyFont="1" applyBorder="1" applyAlignment="1">
      <alignment horizontal="left" vertical="center" wrapText="1"/>
    </xf>
    <xf numFmtId="0" fontId="107" fillId="0" borderId="23" xfId="0" applyFont="1" applyBorder="1" applyAlignment="1">
      <alignment vertical="center"/>
    </xf>
    <xf numFmtId="0" fontId="70" fillId="0" borderId="23" xfId="0" applyFont="1" applyBorder="1" applyAlignment="1">
      <alignment horizontal="left" vertical="center" wrapText="1"/>
    </xf>
    <xf numFmtId="0" fontId="70" fillId="0" borderId="23" xfId="0" applyFont="1" applyBorder="1" applyAlignment="1">
      <alignment vertical="center"/>
    </xf>
    <xf numFmtId="0" fontId="18" fillId="0" borderId="25" xfId="0" applyFont="1" applyBorder="1" applyAlignment="1">
      <alignment horizontal="left" vertical="center" wrapText="1"/>
    </xf>
    <xf numFmtId="4" fontId="18" fillId="0" borderId="25" xfId="0" applyNumberFormat="1" applyFont="1" applyBorder="1" applyAlignment="1">
      <alignment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16" fillId="3" borderId="23" xfId="0" applyFont="1" applyFill="1" applyBorder="1" applyAlignment="1">
      <alignment horizontal="center" vertical="center" wrapText="1"/>
    </xf>
    <xf numFmtId="0" fontId="23" fillId="3" borderId="23" xfId="0" applyFont="1" applyFill="1" applyBorder="1" applyAlignment="1">
      <alignment horizontal="center" vertical="center" wrapText="1"/>
    </xf>
    <xf numFmtId="0" fontId="16" fillId="3" borderId="24" xfId="0" applyFont="1" applyFill="1" applyBorder="1" applyAlignment="1">
      <alignment horizontal="center" vertical="center" wrapText="1"/>
    </xf>
    <xf numFmtId="4" fontId="18" fillId="6" borderId="25" xfId="0" applyNumberFormat="1" applyFont="1" applyFill="1" applyBorder="1" applyAlignment="1" applyProtection="1">
      <alignment vertical="center"/>
      <protection locked="0"/>
    </xf>
    <xf numFmtId="0" fontId="108" fillId="0" borderId="25" xfId="0" applyFont="1" applyBorder="1" applyAlignment="1">
      <alignment horizontal="left" vertical="center" wrapText="1"/>
    </xf>
    <xf numFmtId="4" fontId="108" fillId="6" borderId="25" xfId="0" applyNumberFormat="1" applyFont="1" applyFill="1" applyBorder="1" applyAlignment="1" applyProtection="1">
      <alignment vertical="center"/>
      <protection locked="0"/>
    </xf>
    <xf numFmtId="4" fontId="108" fillId="0" borderId="25" xfId="0" applyNumberFormat="1" applyFont="1" applyBorder="1" applyAlignment="1">
      <alignment vertical="center"/>
    </xf>
    <xf numFmtId="4" fontId="33" fillId="0" borderId="0" xfId="0" applyNumberFormat="1" applyFont="1" applyAlignment="1">
      <alignment vertical="center"/>
    </xf>
    <xf numFmtId="0" fontId="33" fillId="0" borderId="0" xfId="0" applyFont="1" applyAlignment="1">
      <alignment vertical="center"/>
    </xf>
    <xf numFmtId="4" fontId="34" fillId="0" borderId="0" xfId="0" applyNumberFormat="1" applyFont="1" applyAlignment="1">
      <alignment vertical="center"/>
    </xf>
    <xf numFmtId="0" fontId="34" fillId="0" borderId="0" xfId="0" applyFont="1" applyAlignment="1">
      <alignment vertical="center"/>
    </xf>
    <xf numFmtId="4" fontId="36" fillId="4" borderId="17" xfId="0" applyNumberFormat="1" applyFont="1" applyFill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8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102" fillId="0" borderId="0" xfId="0" applyFont="1" applyAlignment="1">
      <alignment horizontal="left" vertical="center" wrapText="1"/>
    </xf>
    <xf numFmtId="4" fontId="21" fillId="3" borderId="9" xfId="0" applyNumberFormat="1" applyFont="1" applyFill="1" applyBorder="1" applyAlignment="1">
      <alignment vertical="center"/>
    </xf>
    <xf numFmtId="4" fontId="21" fillId="3" borderId="10" xfId="0" applyNumberFormat="1" applyFont="1" applyFill="1" applyBorder="1" applyAlignment="1">
      <alignment vertical="center"/>
    </xf>
    <xf numFmtId="4" fontId="27" fillId="0" borderId="0" xfId="0" applyNumberFormat="1" applyFont="1" applyAlignment="1">
      <alignment vertical="center"/>
    </xf>
    <xf numFmtId="0" fontId="16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vertical="center"/>
    </xf>
    <xf numFmtId="4" fontId="32" fillId="0" borderId="0" xfId="0" applyNumberFormat="1" applyFont="1" applyAlignment="1">
      <alignment vertical="center"/>
    </xf>
    <xf numFmtId="4" fontId="21" fillId="0" borderId="0" xfId="0" applyNumberFormat="1" applyFont="1" applyAlignment="1">
      <alignment vertical="center"/>
    </xf>
    <xf numFmtId="4" fontId="31" fillId="0" borderId="12" xfId="0" applyNumberFormat="1" applyFont="1" applyBorder="1" applyAlignment="1">
      <alignment vertical="center"/>
    </xf>
    <xf numFmtId="4" fontId="21" fillId="0" borderId="12" xfId="0" applyNumberFormat="1" applyFont="1" applyBorder="1" applyAlignment="1">
      <alignment vertical="center"/>
    </xf>
    <xf numFmtId="0" fontId="104" fillId="0" borderId="23" xfId="0" applyFont="1" applyBorder="1" applyAlignment="1">
      <alignment horizontal="left" vertical="center" wrapText="1"/>
    </xf>
    <xf numFmtId="0" fontId="104" fillId="0" borderId="23" xfId="0" applyFont="1" applyBorder="1" applyAlignment="1">
      <alignment vertical="center"/>
    </xf>
    <xf numFmtId="0" fontId="111" fillId="0" borderId="25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4" fontId="38" fillId="0" borderId="25" xfId="0" applyNumberFormat="1" applyFont="1" applyBorder="1" applyAlignment="1">
      <alignment vertical="center"/>
    </xf>
    <xf numFmtId="0" fontId="85" fillId="4" borderId="22" xfId="0" applyFont="1" applyFill="1" applyBorder="1" applyAlignment="1">
      <alignment horizontal="left" vertical="center" wrapText="1"/>
    </xf>
    <xf numFmtId="0" fontId="85" fillId="4" borderId="23" xfId="0" applyFont="1" applyFill="1" applyBorder="1" applyAlignment="1">
      <alignment horizontal="left" vertical="center" wrapText="1"/>
    </xf>
    <xf numFmtId="0" fontId="85" fillId="4" borderId="24" xfId="0" applyFont="1" applyFill="1" applyBorder="1" applyAlignment="1">
      <alignment horizontal="left" vertical="center" wrapText="1"/>
    </xf>
    <xf numFmtId="4" fontId="85" fillId="4" borderId="25" xfId="0" applyNumberFormat="1" applyFont="1" applyFill="1" applyBorder="1" applyAlignment="1" applyProtection="1">
      <alignment vertical="center"/>
      <protection locked="0"/>
    </xf>
    <xf numFmtId="4" fontId="85" fillId="4" borderId="25" xfId="0" applyNumberFormat="1" applyFont="1" applyFill="1" applyBorder="1" applyAlignment="1">
      <alignment vertical="center"/>
    </xf>
    <xf numFmtId="4" fontId="111" fillId="0" borderId="25" xfId="0" applyNumberFormat="1" applyFont="1" applyBorder="1" applyAlignment="1">
      <alignment vertical="center"/>
    </xf>
    <xf numFmtId="10" fontId="18" fillId="6" borderId="25" xfId="2" applyNumberFormat="1" applyFont="1" applyFill="1" applyBorder="1" applyAlignment="1" applyProtection="1">
      <alignment vertical="center"/>
      <protection locked="0"/>
    </xf>
    <xf numFmtId="0" fontId="18" fillId="0" borderId="22" xfId="0" applyFont="1" applyBorder="1" applyAlignment="1">
      <alignment horizontal="left" vertical="center" wrapText="1"/>
    </xf>
    <xf numFmtId="0" fontId="18" fillId="0" borderId="23" xfId="0" applyFont="1" applyBorder="1" applyAlignment="1">
      <alignment horizontal="left" vertical="center" wrapText="1"/>
    </xf>
    <xf numFmtId="0" fontId="18" fillId="0" borderId="24" xfId="0" applyFont="1" applyBorder="1" applyAlignment="1">
      <alignment horizontal="left" vertical="center" wrapText="1"/>
    </xf>
    <xf numFmtId="4" fontId="18" fillId="0" borderId="22" xfId="0" applyNumberFormat="1" applyFont="1" applyBorder="1" applyAlignment="1">
      <alignment vertical="center"/>
    </xf>
    <xf numFmtId="4" fontId="18" fillId="0" borderId="23" xfId="0" applyNumberFormat="1" applyFont="1" applyBorder="1" applyAlignment="1">
      <alignment vertical="center"/>
    </xf>
    <xf numFmtId="4" fontId="18" fillId="0" borderId="24" xfId="0" applyNumberFormat="1" applyFont="1" applyBorder="1" applyAlignment="1">
      <alignment vertical="center"/>
    </xf>
    <xf numFmtId="4" fontId="18" fillId="0" borderId="25" xfId="0" applyNumberFormat="1" applyFont="1" applyBorder="1" applyAlignment="1" applyProtection="1">
      <alignment vertical="center"/>
      <protection locked="0"/>
    </xf>
    <xf numFmtId="4" fontId="33" fillId="0" borderId="12" xfId="0" applyNumberFormat="1" applyFont="1" applyBorder="1" applyAlignment="1">
      <alignment vertical="center"/>
    </xf>
    <xf numFmtId="0" fontId="86" fillId="0" borderId="23" xfId="0" applyFont="1" applyBorder="1" applyAlignment="1">
      <alignment horizontal="left" vertical="center" wrapText="1"/>
    </xf>
    <xf numFmtId="4" fontId="36" fillId="4" borderId="23" xfId="0" applyNumberFormat="1" applyFont="1" applyFill="1" applyBorder="1" applyAlignment="1">
      <alignment vertical="center"/>
    </xf>
    <xf numFmtId="0" fontId="108" fillId="0" borderId="22" xfId="0" applyFont="1" applyBorder="1" applyAlignment="1">
      <alignment horizontal="left" vertical="center" wrapText="1"/>
    </xf>
    <xf numFmtId="0" fontId="108" fillId="0" borderId="23" xfId="0" applyFont="1" applyBorder="1" applyAlignment="1">
      <alignment horizontal="left" vertical="center" wrapText="1"/>
    </xf>
    <xf numFmtId="0" fontId="108" fillId="0" borderId="24" xfId="0" applyFont="1" applyBorder="1" applyAlignment="1">
      <alignment horizontal="left" vertical="center" wrapText="1"/>
    </xf>
    <xf numFmtId="4" fontId="108" fillId="0" borderId="22" xfId="0" applyNumberFormat="1" applyFont="1" applyBorder="1" applyAlignment="1">
      <alignment vertical="center"/>
    </xf>
    <xf numFmtId="4" fontId="108" fillId="0" borderId="23" xfId="0" applyNumberFormat="1" applyFont="1" applyBorder="1" applyAlignment="1">
      <alignment vertical="center"/>
    </xf>
    <xf numFmtId="4" fontId="108" fillId="0" borderId="24" xfId="0" applyNumberFormat="1" applyFont="1" applyBorder="1" applyAlignment="1">
      <alignment vertical="center"/>
    </xf>
    <xf numFmtId="0" fontId="38" fillId="0" borderId="22" xfId="0" applyFont="1" applyBorder="1" applyAlignment="1">
      <alignment horizontal="left" vertical="center" wrapText="1"/>
    </xf>
    <xf numFmtId="0" fontId="38" fillId="0" borderId="23" xfId="0" applyFont="1" applyBorder="1" applyAlignment="1">
      <alignment horizontal="left" vertical="center" wrapText="1"/>
    </xf>
    <xf numFmtId="0" fontId="38" fillId="0" borderId="24" xfId="0" applyFont="1" applyBorder="1" applyAlignment="1">
      <alignment horizontal="left" vertical="center" wrapText="1"/>
    </xf>
    <xf numFmtId="4" fontId="38" fillId="0" borderId="22" xfId="0" applyNumberFormat="1" applyFont="1" applyBorder="1" applyAlignment="1">
      <alignment vertical="center"/>
    </xf>
    <xf numFmtId="4" fontId="38" fillId="0" borderId="23" xfId="0" applyNumberFormat="1" applyFont="1" applyBorder="1" applyAlignment="1">
      <alignment vertical="center"/>
    </xf>
    <xf numFmtId="4" fontId="38" fillId="0" borderId="24" xfId="0" applyNumberFormat="1" applyFont="1" applyBorder="1" applyAlignment="1">
      <alignment vertical="center"/>
    </xf>
    <xf numFmtId="0" fontId="73" fillId="0" borderId="23" xfId="0" applyFont="1" applyBorder="1" applyAlignment="1">
      <alignment horizontal="left" vertical="center" wrapText="1"/>
    </xf>
    <xf numFmtId="0" fontId="73" fillId="0" borderId="23" xfId="0" applyFont="1" applyBorder="1" applyAlignment="1">
      <alignment vertical="center"/>
    </xf>
    <xf numFmtId="0" fontId="114" fillId="0" borderId="25" xfId="0" applyFont="1" applyBorder="1" applyAlignment="1">
      <alignment horizontal="left" vertical="center" wrapText="1"/>
    </xf>
    <xf numFmtId="4" fontId="114" fillId="6" borderId="25" xfId="0" applyNumberFormat="1" applyFont="1" applyFill="1" applyBorder="1" applyAlignment="1" applyProtection="1">
      <alignment vertical="center"/>
      <protection locked="0"/>
    </xf>
    <xf numFmtId="4" fontId="114" fillId="0" borderId="25" xfId="0" applyNumberFormat="1" applyFont="1" applyBorder="1" applyAlignment="1">
      <alignment vertical="center"/>
    </xf>
    <xf numFmtId="0" fontId="85" fillId="0" borderId="22" xfId="0" applyFont="1" applyBorder="1" applyAlignment="1">
      <alignment horizontal="left" vertical="center" wrapText="1"/>
    </xf>
    <xf numFmtId="0" fontId="85" fillId="0" borderId="23" xfId="0" applyFont="1" applyBorder="1" applyAlignment="1">
      <alignment horizontal="left" vertical="center" wrapText="1"/>
    </xf>
    <xf numFmtId="0" fontId="85" fillId="0" borderId="24" xfId="0" applyFont="1" applyBorder="1" applyAlignment="1">
      <alignment horizontal="left" vertical="center" wrapText="1"/>
    </xf>
    <xf numFmtId="4" fontId="85" fillId="0" borderId="25" xfId="0" applyNumberFormat="1" applyFont="1" applyBorder="1" applyAlignment="1" applyProtection="1">
      <alignment vertical="center"/>
      <protection locked="0"/>
    </xf>
    <xf numFmtId="4" fontId="85" fillId="0" borderId="25" xfId="0" applyNumberFormat="1" applyFont="1" applyBorder="1" applyAlignment="1">
      <alignment vertical="center"/>
    </xf>
    <xf numFmtId="0" fontId="107" fillId="0" borderId="25" xfId="0" applyFont="1" applyBorder="1" applyAlignment="1">
      <alignment horizontal="left" vertical="center" wrapText="1"/>
    </xf>
    <xf numFmtId="4" fontId="107" fillId="6" borderId="25" xfId="0" applyNumberFormat="1" applyFont="1" applyFill="1" applyBorder="1" applyAlignment="1" applyProtection="1">
      <alignment vertical="center"/>
      <protection locked="0"/>
    </xf>
    <xf numFmtId="4" fontId="107" fillId="0" borderId="25" xfId="0" applyNumberFormat="1" applyFont="1" applyBorder="1" applyAlignment="1">
      <alignment vertical="center"/>
    </xf>
    <xf numFmtId="0" fontId="112" fillId="0" borderId="22" xfId="0" applyFont="1" applyBorder="1" applyAlignment="1">
      <alignment horizontal="left" vertical="center" wrapText="1"/>
    </xf>
    <xf numFmtId="0" fontId="112" fillId="0" borderId="23" xfId="0" applyFont="1" applyBorder="1" applyAlignment="1">
      <alignment horizontal="left" vertical="center" wrapText="1"/>
    </xf>
    <xf numFmtId="0" fontId="112" fillId="0" borderId="24" xfId="0" applyFont="1" applyBorder="1" applyAlignment="1">
      <alignment horizontal="left" vertical="center" wrapText="1"/>
    </xf>
    <xf numFmtId="4" fontId="112" fillId="6" borderId="25" xfId="0" applyNumberFormat="1" applyFont="1" applyFill="1" applyBorder="1" applyAlignment="1" applyProtection="1">
      <alignment vertical="center"/>
      <protection locked="0"/>
    </xf>
    <xf numFmtId="4" fontId="112" fillId="0" borderId="25" xfId="0" applyNumberFormat="1" applyFont="1" applyBorder="1" applyAlignment="1">
      <alignment vertical="center"/>
    </xf>
    <xf numFmtId="0" fontId="18" fillId="15" borderId="25" xfId="0" applyFont="1" applyFill="1" applyBorder="1" applyAlignment="1">
      <alignment horizontal="left" vertical="center" wrapText="1"/>
    </xf>
    <xf numFmtId="0" fontId="18" fillId="15" borderId="0" xfId="0" applyFont="1" applyFill="1" applyAlignment="1">
      <alignment horizontal="left" vertical="center"/>
    </xf>
    <xf numFmtId="0" fontId="16" fillId="15" borderId="0" xfId="0" applyFont="1" applyFill="1" applyAlignment="1">
      <alignment horizontal="left" vertical="center" wrapText="1"/>
    </xf>
    <xf numFmtId="0" fontId="16" fillId="0" borderId="59" xfId="68" applyFont="1" applyBorder="1" applyAlignment="1">
      <alignment horizontal="left" vertical="center"/>
    </xf>
    <xf numFmtId="0" fontId="16" fillId="0" borderId="27" xfId="68" applyFont="1" applyBorder="1" applyAlignment="1">
      <alignment horizontal="left" vertical="center"/>
    </xf>
    <xf numFmtId="0" fontId="16" fillId="0" borderId="29" xfId="68" applyFont="1" applyBorder="1" applyAlignment="1">
      <alignment horizontal="left" vertical="center"/>
    </xf>
    <xf numFmtId="0" fontId="16" fillId="0" borderId="60" xfId="68" applyFont="1" applyBorder="1" applyAlignment="1">
      <alignment horizontal="left" vertical="center"/>
    </xf>
    <xf numFmtId="0" fontId="42" fillId="0" borderId="57" xfId="68" applyFont="1" applyBorder="1" applyAlignment="1">
      <alignment horizontal="left" vertical="center"/>
    </xf>
    <xf numFmtId="0" fontId="42" fillId="0" borderId="86" xfId="68" applyFont="1" applyBorder="1" applyAlignment="1">
      <alignment horizontal="left" vertical="center"/>
    </xf>
    <xf numFmtId="0" fontId="42" fillId="0" borderId="58" xfId="68" applyFont="1" applyBorder="1" applyAlignment="1">
      <alignment horizontal="left" vertical="center"/>
    </xf>
    <xf numFmtId="0" fontId="46" fillId="12" borderId="33" xfId="68" applyFont="1" applyFill="1" applyBorder="1" applyAlignment="1">
      <alignment horizontal="left" vertical="center"/>
    </xf>
    <xf numFmtId="0" fontId="46" fillId="12" borderId="34" xfId="68" applyFont="1" applyFill="1" applyBorder="1" applyAlignment="1">
      <alignment horizontal="left" vertical="center"/>
    </xf>
    <xf numFmtId="0" fontId="46" fillId="12" borderId="35" xfId="68" applyFont="1" applyFill="1" applyBorder="1" applyAlignment="1">
      <alignment horizontal="left" vertical="center"/>
    </xf>
    <xf numFmtId="0" fontId="52" fillId="0" borderId="0" xfId="68" applyFont="1" applyAlignment="1">
      <alignment horizontal="left" vertical="center" wrapText="1"/>
    </xf>
    <xf numFmtId="49" fontId="60" fillId="0" borderId="0" xfId="68" applyNumberFormat="1" applyFont="1" applyAlignment="1">
      <alignment horizontal="left" vertical="center" wrapText="1"/>
    </xf>
    <xf numFmtId="49" fontId="52" fillId="0" borderId="0" xfId="68" applyNumberFormat="1" applyFont="1" applyAlignment="1">
      <alignment horizontal="left" vertical="center" wrapText="1"/>
    </xf>
    <xf numFmtId="0" fontId="19" fillId="0" borderId="59" xfId="68" applyFont="1" applyBorder="1" applyAlignment="1">
      <alignment horizontal="left" vertical="center"/>
    </xf>
    <xf numFmtId="0" fontId="19" fillId="0" borderId="27" xfId="68" applyFont="1" applyBorder="1" applyAlignment="1">
      <alignment horizontal="left" vertical="center"/>
    </xf>
    <xf numFmtId="0" fontId="19" fillId="0" borderId="29" xfId="68" applyFont="1" applyBorder="1" applyAlignment="1">
      <alignment horizontal="left" vertical="center"/>
    </xf>
    <xf numFmtId="0" fontId="19" fillId="0" borderId="60" xfId="68" applyFont="1" applyBorder="1" applyAlignment="1">
      <alignment horizontal="left" vertical="center"/>
    </xf>
    <xf numFmtId="0" fontId="43" fillId="0" borderId="30" xfId="68" applyFont="1" applyBorder="1" applyAlignment="1">
      <alignment horizontal="left" vertical="center"/>
    </xf>
    <xf numFmtId="0" fontId="43" fillId="0" borderId="31" xfId="68" applyFont="1" applyBorder="1" applyAlignment="1">
      <alignment horizontal="left" vertical="center"/>
    </xf>
    <xf numFmtId="0" fontId="43" fillId="0" borderId="32" xfId="68" applyFont="1" applyBorder="1" applyAlignment="1">
      <alignment horizontal="left" vertical="center"/>
    </xf>
    <xf numFmtId="0" fontId="42" fillId="0" borderId="36" xfId="68" applyFont="1" applyBorder="1" applyAlignment="1">
      <alignment horizontal="left" vertical="center"/>
    </xf>
    <xf numFmtId="0" fontId="9" fillId="0" borderId="37" xfId="68" applyFont="1" applyBorder="1" applyAlignment="1">
      <alignment horizontal="left" vertical="center" wrapText="1"/>
    </xf>
    <xf numFmtId="0" fontId="9" fillId="0" borderId="38" xfId="68" applyFont="1" applyBorder="1" applyAlignment="1">
      <alignment vertical="center" wrapText="1"/>
    </xf>
    <xf numFmtId="0" fontId="9" fillId="0" borderId="39" xfId="68" applyFont="1" applyBorder="1" applyAlignment="1">
      <alignment vertical="center" wrapText="1"/>
    </xf>
    <xf numFmtId="0" fontId="16" fillId="0" borderId="36" xfId="68" applyFont="1" applyBorder="1" applyAlignment="1">
      <alignment horizontal="left" vertical="center"/>
    </xf>
    <xf numFmtId="43" fontId="42" fillId="0" borderId="34" xfId="58" applyFont="1" applyFill="1" applyBorder="1" applyAlignment="1" applyProtection="1">
      <alignment horizontal="center" vertical="center"/>
    </xf>
    <xf numFmtId="43" fontId="42" fillId="0" borderId="35" xfId="58" applyFont="1" applyFill="1" applyBorder="1" applyAlignment="1" applyProtection="1">
      <alignment horizontal="center" vertical="center"/>
    </xf>
    <xf numFmtId="0" fontId="60" fillId="0" borderId="0" xfId="68" applyFont="1" applyAlignment="1">
      <alignment horizontal="left" vertical="center" wrapText="1"/>
    </xf>
    <xf numFmtId="0" fontId="58" fillId="0" borderId="0" xfId="68" applyFont="1" applyAlignment="1">
      <alignment horizontal="left" vertical="center" wrapText="1"/>
    </xf>
    <xf numFmtId="0" fontId="16" fillId="0" borderId="85" xfId="68" applyFont="1" applyBorder="1" applyAlignment="1">
      <alignment horizontal="center" vertical="center"/>
    </xf>
    <xf numFmtId="0" fontId="16" fillId="0" borderId="83" xfId="68" applyFont="1" applyBorder="1" applyAlignment="1">
      <alignment horizontal="center" vertical="center"/>
    </xf>
    <xf numFmtId="0" fontId="16" fillId="0" borderId="84" xfId="68" applyFont="1" applyBorder="1" applyAlignment="1">
      <alignment horizontal="center" vertical="center"/>
    </xf>
    <xf numFmtId="0" fontId="106" fillId="15" borderId="27" xfId="68" applyFont="1" applyFill="1" applyBorder="1" applyAlignment="1">
      <alignment horizontal="left" vertical="center" wrapText="1"/>
    </xf>
    <xf numFmtId="0" fontId="106" fillId="15" borderId="60" xfId="68" applyFont="1" applyFill="1" applyBorder="1" applyAlignment="1">
      <alignment horizontal="left" vertical="center" wrapText="1"/>
    </xf>
    <xf numFmtId="169" fontId="92" fillId="0" borderId="80" xfId="69" applyNumberFormat="1" applyFont="1" applyBorder="1" applyAlignment="1" applyProtection="1">
      <alignment horizontal="center"/>
    </xf>
    <xf numFmtId="169" fontId="92" fillId="0" borderId="81" xfId="69" applyNumberFormat="1" applyFont="1" applyBorder="1" applyAlignment="1" applyProtection="1">
      <alignment horizontal="center"/>
    </xf>
    <xf numFmtId="169" fontId="92" fillId="0" borderId="82" xfId="69" applyNumberFormat="1" applyFont="1" applyBorder="1" applyAlignment="1" applyProtection="1">
      <alignment horizontal="center"/>
    </xf>
    <xf numFmtId="49" fontId="92" fillId="0" borderId="80" xfId="0" applyNumberFormat="1" applyFont="1" applyBorder="1" applyAlignment="1">
      <alignment horizontal="center"/>
    </xf>
    <xf numFmtId="49" fontId="92" fillId="0" borderId="81" xfId="0" applyNumberFormat="1" applyFont="1" applyBorder="1" applyAlignment="1">
      <alignment horizontal="center"/>
    </xf>
    <xf numFmtId="49" fontId="92" fillId="0" borderId="82" xfId="0" applyNumberFormat="1" applyFont="1" applyBorder="1" applyAlignment="1">
      <alignment horizontal="center"/>
    </xf>
    <xf numFmtId="0" fontId="63" fillId="0" borderId="44" xfId="0" applyFont="1" applyBorder="1" applyAlignment="1">
      <alignment horizontal="left" vertical="center" wrapText="1"/>
    </xf>
    <xf numFmtId="0" fontId="63" fillId="0" borderId="0" xfId="0" applyFont="1" applyAlignment="1">
      <alignment horizontal="left" vertical="center" wrapText="1"/>
    </xf>
    <xf numFmtId="0" fontId="42" fillId="0" borderId="0" xfId="68" applyFont="1" applyAlignment="1">
      <alignment horizontal="left" vertical="center"/>
    </xf>
    <xf numFmtId="0" fontId="16" fillId="0" borderId="0" xfId="68" applyFont="1" applyAlignment="1">
      <alignment horizontal="left" vertical="center"/>
    </xf>
    <xf numFmtId="43" fontId="17" fillId="0" borderId="34" xfId="58" applyFont="1" applyFill="1" applyBorder="1" applyAlignment="1" applyProtection="1">
      <alignment horizontal="center" vertical="center"/>
    </xf>
    <xf numFmtId="43" fontId="17" fillId="0" borderId="35" xfId="58" applyFont="1" applyFill="1" applyBorder="1" applyAlignment="1" applyProtection="1">
      <alignment horizontal="center" vertical="center"/>
    </xf>
    <xf numFmtId="0" fontId="42" fillId="10" borderId="33" xfId="14" applyFont="1" applyFill="1" applyBorder="1" applyAlignment="1">
      <alignment horizontal="left" vertical="center"/>
    </xf>
    <xf numFmtId="0" fontId="42" fillId="10" borderId="34" xfId="14" applyFont="1" applyFill="1" applyBorder="1" applyAlignment="1">
      <alignment horizontal="left" vertical="center"/>
    </xf>
    <xf numFmtId="0" fontId="106" fillId="15" borderId="29" xfId="68" applyFont="1" applyFill="1" applyBorder="1" applyAlignment="1">
      <alignment horizontal="left" vertical="center" wrapText="1"/>
    </xf>
    <xf numFmtId="0" fontId="106" fillId="15" borderId="26" xfId="68" applyFont="1" applyFill="1" applyBorder="1" applyAlignment="1">
      <alignment horizontal="left" vertical="center" wrapText="1"/>
    </xf>
    <xf numFmtId="0" fontId="106" fillId="15" borderId="28" xfId="68" applyFont="1" applyFill="1" applyBorder="1" applyAlignment="1">
      <alignment horizontal="left" vertical="center" wrapText="1"/>
    </xf>
    <xf numFmtId="0" fontId="66" fillId="0" borderId="0" xfId="68" applyFont="1" applyAlignment="1">
      <alignment horizontal="left" vertical="center"/>
    </xf>
    <xf numFmtId="0" fontId="83" fillId="0" borderId="0" xfId="61" applyFont="1" applyAlignment="1" applyProtection="1">
      <alignment horizontal="left" vertical="center"/>
    </xf>
    <xf numFmtId="49" fontId="82" fillId="0" borderId="0" xfId="61" applyNumberFormat="1" applyFont="1" applyAlignment="1" applyProtection="1">
      <alignment horizontal="left" vertical="center"/>
    </xf>
    <xf numFmtId="3" fontId="65" fillId="8" borderId="40" xfId="61" applyNumberFormat="1" applyFont="1" applyFill="1" applyBorder="1" applyAlignment="1" applyProtection="1">
      <alignment horizontal="left" vertical="center" wrapText="1" indent="2"/>
    </xf>
    <xf numFmtId="3" fontId="65" fillId="8" borderId="51" xfId="61" applyNumberFormat="1" applyFont="1" applyFill="1" applyBorder="1" applyAlignment="1" applyProtection="1">
      <alignment horizontal="left" vertical="center" wrapText="1" indent="2"/>
    </xf>
  </cellXfs>
  <cellStyles count="150">
    <cellStyle name="40 % – Zvýraznění6 3" xfId="8"/>
    <cellStyle name="Čárka" xfId="58" builtinId="3"/>
    <cellStyle name="Čárka 2" xfId="10"/>
    <cellStyle name="Čárka 2 2" xfId="35"/>
    <cellStyle name="Čárka 2 3" xfId="28"/>
    <cellStyle name="Čárka 2 4" xfId="62"/>
    <cellStyle name="Čárka 2 4 2" xfId="93"/>
    <cellStyle name="Čárka 2 4 2 2" xfId="143"/>
    <cellStyle name="Čárka 2 4 3" xfId="118"/>
    <cellStyle name="Čárka 2 5" xfId="67"/>
    <cellStyle name="Čárka 2 5 2" xfId="94"/>
    <cellStyle name="Čárka 2 5 2 2" xfId="144"/>
    <cellStyle name="Čárka 2 5 3" xfId="119"/>
    <cellStyle name="Čárka 2 6" xfId="71"/>
    <cellStyle name="Čárka 2 6 2" xfId="97"/>
    <cellStyle name="Čárka 2 6 2 2" xfId="147"/>
    <cellStyle name="Čárka 2 6 3" xfId="122"/>
    <cellStyle name="Čárka 3" xfId="19"/>
    <cellStyle name="Čárka 3 2" xfId="30"/>
    <cellStyle name="Čárka 4" xfId="4"/>
    <cellStyle name="Čárka 5" xfId="26"/>
    <cellStyle name="Čárka 6" xfId="91"/>
    <cellStyle name="Čárka 6 2" xfId="141"/>
    <cellStyle name="Čárka 7" xfId="116"/>
    <cellStyle name="Excel Built-in Normal" xfId="64"/>
    <cellStyle name="Hypertextový odkaz" xfId="1" builtinId="8"/>
    <cellStyle name="Hypertextový odkaz 2" xfId="13"/>
    <cellStyle name="Hypertextový odkaz 2 2" xfId="40"/>
    <cellStyle name="Měna" xfId="69" builtinId="4"/>
    <cellStyle name="Měna 2" xfId="6"/>
    <cellStyle name="Měna 2 2" xfId="16"/>
    <cellStyle name="Měna 2 2 2" xfId="29"/>
    <cellStyle name="Měna 2 2 2 2" xfId="52"/>
    <cellStyle name="Měna 2 2 2 2 2" xfId="87"/>
    <cellStyle name="Měna 2 2 2 2 2 2" xfId="137"/>
    <cellStyle name="Měna 2 2 2 2 3" xfId="112"/>
    <cellStyle name="Měna 2 2 2 3" xfId="78"/>
    <cellStyle name="Měna 2 2 2 3 2" xfId="128"/>
    <cellStyle name="Měna 2 2 2 4" xfId="103"/>
    <cellStyle name="Měna 2 2 3" xfId="39"/>
    <cellStyle name="Měna 2 2 3 2" xfId="56"/>
    <cellStyle name="Měna 2 2 3 2 2" xfId="90"/>
    <cellStyle name="Měna 2 2 3 2 2 2" xfId="140"/>
    <cellStyle name="Měna 2 2 3 2 3" xfId="115"/>
    <cellStyle name="Měna 2 2 3 3" xfId="81"/>
    <cellStyle name="Měna 2 2 3 3 2" xfId="131"/>
    <cellStyle name="Měna 2 2 3 4" xfId="106"/>
    <cellStyle name="Měna 2 2 4" xfId="47"/>
    <cellStyle name="Měna 2 2 4 2" xfId="84"/>
    <cellStyle name="Měna 2 2 4 2 2" xfId="134"/>
    <cellStyle name="Měna 2 2 4 3" xfId="109"/>
    <cellStyle name="Měna 2 2 5" xfId="75"/>
    <cellStyle name="Měna 2 2 5 2" xfId="125"/>
    <cellStyle name="Měna 2 2 6" xfId="100"/>
    <cellStyle name="Měna 2 3" xfId="24"/>
    <cellStyle name="Měna 2 3 2" xfId="31"/>
    <cellStyle name="Měna 2 3 2 2" xfId="53"/>
    <cellStyle name="Měna 2 3 2 2 2" xfId="88"/>
    <cellStyle name="Měna 2 3 2 2 2 2" xfId="138"/>
    <cellStyle name="Měna 2 3 2 2 3" xfId="113"/>
    <cellStyle name="Měna 2 3 2 3" xfId="79"/>
    <cellStyle name="Měna 2 3 2 3 2" xfId="129"/>
    <cellStyle name="Měna 2 3 2 4" xfId="104"/>
    <cellStyle name="Měna 2 3 3" xfId="49"/>
    <cellStyle name="Měna 2 3 3 2" xfId="85"/>
    <cellStyle name="Měna 2 3 3 2 2" xfId="135"/>
    <cellStyle name="Měna 2 3 3 3" xfId="110"/>
    <cellStyle name="Měna 2 3 4" xfId="76"/>
    <cellStyle name="Měna 2 3 4 2" xfId="126"/>
    <cellStyle name="Měna 2 3 5" xfId="101"/>
    <cellStyle name="Měna 2 4" xfId="33"/>
    <cellStyle name="Měna 2 4 2" xfId="55"/>
    <cellStyle name="Měna 2 4 2 2" xfId="89"/>
    <cellStyle name="Měna 2 4 2 2 2" xfId="139"/>
    <cellStyle name="Měna 2 4 2 3" xfId="114"/>
    <cellStyle name="Měna 2 4 3" xfId="80"/>
    <cellStyle name="Měna 2 4 3 2" xfId="130"/>
    <cellStyle name="Měna 2 4 4" xfId="105"/>
    <cellStyle name="Měna 2 5" xfId="27"/>
    <cellStyle name="Měna 2 5 2" xfId="51"/>
    <cellStyle name="Měna 2 5 2 2" xfId="86"/>
    <cellStyle name="Měna 2 5 2 2 2" xfId="136"/>
    <cellStyle name="Měna 2 5 2 3" xfId="111"/>
    <cellStyle name="Měna 2 5 3" xfId="77"/>
    <cellStyle name="Měna 2 5 3 2" xfId="127"/>
    <cellStyle name="Měna 2 5 4" xfId="102"/>
    <cellStyle name="Měna 2 6" xfId="43"/>
    <cellStyle name="Měna 2 6 2" xfId="82"/>
    <cellStyle name="Měna 2 6 2 2" xfId="132"/>
    <cellStyle name="Měna 2 6 3" xfId="107"/>
    <cellStyle name="Měna 2 7" xfId="74"/>
    <cellStyle name="Měna 2 7 2" xfId="124"/>
    <cellStyle name="Měna 2 8" xfId="99"/>
    <cellStyle name="Měna 3" xfId="46"/>
    <cellStyle name="Měna 3 2" xfId="83"/>
    <cellStyle name="Měna 3 2 2" xfId="133"/>
    <cellStyle name="Měna 3 3" xfId="108"/>
    <cellStyle name="Měna 4" xfId="70"/>
    <cellStyle name="Měna 4 2" xfId="96"/>
    <cellStyle name="Měna 4 2 2" xfId="146"/>
    <cellStyle name="Měna 4 3" xfId="121"/>
    <cellStyle name="Měna 5" xfId="95"/>
    <cellStyle name="Měna 5 2" xfId="145"/>
    <cellStyle name="Měna 6" xfId="120"/>
    <cellStyle name="měny 2 2" xfId="60"/>
    <cellStyle name="měny 2 2 2" xfId="92"/>
    <cellStyle name="měny 2 2 2 2" xfId="142"/>
    <cellStyle name="měny 2 2 3" xfId="117"/>
    <cellStyle name="Normal_J35_Galerie HARFA_VV" xfId="12"/>
    <cellStyle name="Normální" xfId="0" builtinId="0" customBuiltin="1"/>
    <cellStyle name="Normální 10" xfId="68"/>
    <cellStyle name="Normální 11" xfId="73"/>
    <cellStyle name="Normální 11 2" xfId="98"/>
    <cellStyle name="Normální 11 2 2" xfId="148"/>
    <cellStyle name="Normální 11 3" xfId="123"/>
    <cellStyle name="Normální 12" xfId="14"/>
    <cellStyle name="Normální 12 2" xfId="25"/>
    <cellStyle name="Normální 12 2 2" xfId="50"/>
    <cellStyle name="Normální 2" xfId="3"/>
    <cellStyle name="normální 2 2" xfId="17"/>
    <cellStyle name="normální 2 2 2" xfId="22"/>
    <cellStyle name="normální 2 2 2 2" xfId="48"/>
    <cellStyle name="Normální 2 3" xfId="15"/>
    <cellStyle name="Normální 2 3 2" xfId="36"/>
    <cellStyle name="Normální 2 4" xfId="20"/>
    <cellStyle name="Normální 2 4 2" xfId="38"/>
    <cellStyle name="Normální 2 5" xfId="21"/>
    <cellStyle name="Normální 2 5 2" xfId="41"/>
    <cellStyle name="Normální 2 6" xfId="23"/>
    <cellStyle name="Normální 2 6 2" xfId="37"/>
    <cellStyle name="Normální 2 7" xfId="63"/>
    <cellStyle name="Normální 3" xfId="5"/>
    <cellStyle name="Normální 3 2" xfId="18"/>
    <cellStyle name="Normální 3 3" xfId="32"/>
    <cellStyle name="Normální 3 3 2" xfId="54"/>
    <cellStyle name="Normální 4" xfId="7"/>
    <cellStyle name="Normální 4 2" xfId="34"/>
    <cellStyle name="Normální 4 2 2 2" xfId="65"/>
    <cellStyle name="Normální 5" xfId="9"/>
    <cellStyle name="Normální 5 2" xfId="44"/>
    <cellStyle name="Normální 6" xfId="42"/>
    <cellStyle name="Normální 6 2" xfId="45"/>
    <cellStyle name="Normální 6 3" xfId="57"/>
    <cellStyle name="Normální 7" xfId="59"/>
    <cellStyle name="Normální 8" xfId="61"/>
    <cellStyle name="normální 80" xfId="11"/>
    <cellStyle name="Normální 9" xfId="66"/>
    <cellStyle name="normální_aktuální specifikace" xfId="149"/>
    <cellStyle name="normální_příčky - var. 007 2" xfId="72"/>
    <cellStyle name="Procenta" xfId="2" builtinId="5"/>
  </cellStyles>
  <dxfs count="0"/>
  <tableStyles count="0"/>
  <colors>
    <mruColors>
      <color rgb="FFF0DB9E"/>
      <color rgb="FF3399FF"/>
      <color rgb="FFFFFFCC"/>
      <color rgb="FF50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externalLink" Target="externalLinks/externalLink2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42" Type="http://schemas.openxmlformats.org/officeDocument/2006/relationships/externalLink" Target="externalLinks/externalLink29.xml"/><Relationship Id="rId47" Type="http://schemas.openxmlformats.org/officeDocument/2006/relationships/externalLink" Target="externalLinks/externalLink34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externalLink" Target="externalLinks/externalLink25.xml"/><Relationship Id="rId46" Type="http://schemas.openxmlformats.org/officeDocument/2006/relationships/externalLink" Target="externalLinks/externalLink3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externalLink" Target="externalLinks/externalLink24.xml"/><Relationship Id="rId40" Type="http://schemas.openxmlformats.org/officeDocument/2006/relationships/externalLink" Target="externalLinks/externalLink27.xml"/><Relationship Id="rId45" Type="http://schemas.openxmlformats.org/officeDocument/2006/relationships/externalLink" Target="externalLinks/externalLink3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externalLink" Target="externalLinks/externalLink23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4" Type="http://schemas.openxmlformats.org/officeDocument/2006/relationships/externalLink" Target="externalLinks/externalLink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externalLink" Target="externalLinks/externalLink22.xml"/><Relationship Id="rId43" Type="http://schemas.openxmlformats.org/officeDocument/2006/relationships/externalLink" Target="externalLinks/externalLink30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032-ROP_Radlick&#225;%20Office%20Park/04-Data%20Transfer/OUT/RED%20GROUP_client/180522_Upravy%20dokumentace/Revize%20VV/Kotelna%20Park%20II.etapa%20VV%20ocen&#283;n&#253;_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5\220205Data\Thalia_rozp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EXCEL\Projekt\Saldova\N&#225;vrh%20struktury-z%2008082006-coudek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NABIDKY\Administrativn&#237;%20budova%20-%20Oksystem\Rozpo&#269;et%20-%20OKsystem%202.kolo%20%20up&#345;esn&#283;n&#23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eauty\Documents%20and%20Settings\VaskoM\Local%20Settings\Temporary%20Internet%20Files\OLK3\276_specialisti\01-06%20-%20PROSEK%20POINT_V&#221;B&#282;R%20dod._v&#253;kaz-v&#253;m&#283;r_elektr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01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DATA\Rozpo&#269;et%20-%20vzo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Firemn&#237;%20archiv%20a.s\Zak&#225;zky%20rok%202001\22%20Zelen&#253;%20ostrov%20SP\Kniha%20spec.+%20v&#253;kaz%20v&#253;m&#283;r%20TENDR%203.%20stavba\SO%2011.1%20A%20Architektonicko-stavebn&#237;%20autorizovan&#253;%20Helika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MONT&#193;&#381;E\Cn\901-1000\993\pracovn&#237;\VV%20SD_Objekt%20Nov&#233;%20Spilky%20060504%20pracovn&#237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BUILDpowerS\Templates\Rozpocty\Sablona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EXCEL\ROZP98\Rokyt\Roky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Akce\3130_Jedli&#269;k&#367;v%20&#250;stav\V&#253;stupy_2\RO_Dostavba%20Jedli&#269;kova%20&#250;stavu%20a%20&#353;kol%20-%20II.etapa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irius\company\_Akce\3130_Jedli&#269;k&#367;v%20&#250;stav\V&#253;stupy_2\RO_Dostavba%20Jedli&#269;kova%20&#250;stavu%20a%20&#353;kol%20-%20II.etapa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_Akce/3130_Jedli&#269;k&#367;v%20&#250;stav/V&#253;stupy_2/RO_Dostavba%20Jedli&#269;kova%20&#250;stavu%20a%20&#353;kol%20-%20II.etap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microsoft.com/office/2006/relationships/xlExternalLinkPath/xlPathMissing" Target="FAKTURA1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SE_Lanskroun_KASTT\SCH_EL_Lanskroun_rozp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CPS%20HK_KASTT\CPS%20HK_rozp&#269;et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nap/AppData/Local/Microsoft/Windows/Temporary%20Internet%20Files/Content.Outlook/PXTK1PVH/I34_Rekonstrukcee%20VO_R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ATOM\Magic%20Hill\Do%20EC\Rozpo&#269;ty\SO%2001,%20SO%2002%20D.1.4.1-%20D.1.4.4.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4%20Ilbau\10.12.99%20Ilbau.%20Summary%20bill%20of%20quantities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_a\server%20disk\ROZPOCTY\99_06\9906033a_VIN-DIV_VESELI-PRACOVNI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Exeldok\Rozp2001\Bouzov1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Program%20Files\Microsoft%20Office\Exeldok\ROZP99\netvor1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kumenty\Dokumenty\Exeldok\Rozp2003\HotelWindSM_KASTT\marek\Dokumenty\Notebook\Dokumenty\Exeldok\Rozp2002\&#352;koda\rozp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253energieMaR_PCR-Praha1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WINDOWS\TEMP\&#269;.%2041%20Zelen&#253;%20ostrov%20roz.%20rozpo&#269;tu%20na%20DC%20(bez%20list.%20v&#253;stupu)\Rozpo&#269;et%20stavby%20dle%20DC\sa_SO51_4_vv_00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3\Nabidky\192Mikos_Vidoule_new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legro-srv\Allegro\Documents%20and%20Settings\Kossi\Dokumenty\pr&#225;ce\zak&#225;zky\konstrukce\Jitka-konstrukce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livi\Documents%20and%20Settings\p14\Local%20Settings\Temp\&#352;t&#283;p&#225;n\cenov&#253;%20dokument%20vzor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nzipped\Rozpo&#269;et%20-%20OKsystem%202\Se&#353;it3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226\jola\WINDOWS\TEMP\Oferta%20-%20za&#322;.%209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Texty\Texty04\Nabidky\330energieMAR_Prelouc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ola\c\My%20Documents\jola\OFERENCI\11%20Exbud\13.12.99.%20Exbud.%20List%20of%20unit%20rates.%20nr%209%20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269;.%2041%20Zelen&#253;%20ostrov%20roz.%20rozpo&#269;tu%20na%20DC%20(bez%20list.%20v&#253;stupu)/Rozpo&#269;et%20stavby%20dle%20DC/sa_SO51_4_vv_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všeobecné_podmínky"/>
      <sheetName val="Rekapitulace"/>
      <sheetName val="Položkový rozpočet"/>
      <sheetName val="Legenda odkazů"/>
      <sheetName val="SO-100_GSM"/>
      <sheetName val="PS-510_TRAF"/>
      <sheetName val="SO100_UTCL"/>
      <sheetName val="SO100_VZT"/>
      <sheetName val="SO100_ZTI-P"/>
      <sheetName val="SO100_ZTI-SD"/>
      <sheetName val="SO100_ZTI-V"/>
      <sheetName val="SO100.1_VZT N1"/>
      <sheetName val="SO100.1_ZTI-N1"/>
      <sheetName val="SO100.1_VZT N2"/>
      <sheetName val="SO100.1_ZTI-N2"/>
      <sheetName val="SO100.1_VZT N4"/>
      <sheetName val="SO100.1_ZTI-N4"/>
      <sheetName val="SO100_VZT G"/>
      <sheetName val="SO100_GASTRO"/>
      <sheetName val="IO 165 SAD"/>
      <sheetName val="IO 166 AZS"/>
      <sheetName val="IO 170 KOM"/>
      <sheetName val="SO 100 KOM DZ"/>
      <sheetName val="IO 200"/>
      <sheetName val="IO 205_210_215_220_SO-120 zti"/>
      <sheetName val="IO 300"/>
      <sheetName val="IO 310"/>
      <sheetName val="IO 4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alia_rozp"/>
      <sheetName val="Thalia_nab"/>
      <sheetName val="Thalia_mont"/>
      <sheetName val="Thalia_mont_komunikace"/>
      <sheetName val="tHALIA_SW"/>
      <sheetName val="thalia_rozv_DP1"/>
      <sheetName val="thalia_rozv_DP2"/>
      <sheetName val="thalia_rozv_DP3"/>
      <sheetName val="thalia_rozv_D1"/>
      <sheetName val="thalia_rozv_D2"/>
      <sheetName val="Thalia_skřIRC"/>
      <sheetName val="Náplavní_rozp_2"/>
      <sheetName val="SW"/>
      <sheetName val="Náplavní_rozp"/>
      <sheetName val="Náplavní_nab"/>
      <sheetName val="fancoil"/>
      <sheetName val="Naplavni_mont"/>
      <sheetName val="Naplavni_mont (2)"/>
      <sheetName val="proj"/>
      <sheetName val="Gayer_rozp"/>
      <sheetName val="Gayer_rozp_z"/>
      <sheetName val="Gayer_rozv"/>
      <sheetName val="Gayer_mont"/>
      <sheetName val="Ládví_rozp_z"/>
      <sheetName val="Ládví"/>
      <sheetName val="Nem_specifikace"/>
      <sheetName val="DATA"/>
      <sheetName val="ostat_data"/>
      <sheetName val="_data"/>
      <sheetName val="_data (2)"/>
      <sheetName val="ŽLABY180804"/>
      <sheetName val="dodav"/>
      <sheetName val="odhad"/>
      <sheetName val="tISKÁRNA_rozv_odhad"/>
      <sheetName val="CM _rozp (2)"/>
      <sheetName val="Polička Těl_rozp"/>
      <sheetName val="Serum_rozp_z (2)"/>
      <sheetName val="Serum_roup"/>
      <sheetName val="Serum_roup (2)"/>
      <sheetName val="Serum_rozp_z"/>
      <sheetName val="kabelak (3)"/>
      <sheetName val="kabelak"/>
      <sheetName val="RA-PS11"/>
      <sheetName val="RV20.1"/>
      <sheetName val="RB-PS12"/>
      <sheetName val="RV20.2"/>
      <sheetName val="RV21"/>
      <sheetName val="CM _rozp"/>
      <sheetName val="CMII _BOC_CO_nab"/>
      <sheetName val="CM_rozv"/>
      <sheetName val="CM_mont"/>
      <sheetName val="Polička Těl_nab"/>
      <sheetName val="Polička_MR1_rozv"/>
      <sheetName val="Polička_mont"/>
      <sheetName val="Pleas_rozv"/>
      <sheetName val="Pleas_rozp_4A"/>
      <sheetName val="Pleas_rozp_5,6"/>
      <sheetName val="Pleas_nab"/>
      <sheetName val="Pleas_nab_5,6_z"/>
      <sheetName val="Nabídka LG"/>
      <sheetName val="Pleas_mont_4A"/>
      <sheetName val="Pleas_mont_5,6"/>
      <sheetName val="Pleas_mont_VS "/>
      <sheetName val="NemKolín_MaR_nab"/>
      <sheetName val="NemKolín_MaR_nab (2)"/>
      <sheetName val="Nabídka (2)"/>
      <sheetName val="JN_mont"/>
      <sheetName val="Nem_4.2"/>
      <sheetName val="Nem_4.3"/>
      <sheetName val="Nem_4.4-1p"/>
      <sheetName val="Nem_4.4-2p"/>
      <sheetName val="Babice_Honeywell_rozp"/>
      <sheetName val="Babicel_rozp_z"/>
      <sheetName val="JN kolonada_nab"/>
      <sheetName val="JN_ rozv"/>
      <sheetName val="Ledeč_BA"/>
      <sheetName val="Krycí list"/>
      <sheetName val="Ledeč_mont"/>
      <sheetName val="rekapitulace"/>
      <sheetName val="Položky"/>
      <sheetName val="Ledeč_mont_kontr"/>
      <sheetName val="Nabídka _LG_light"/>
      <sheetName val="light_rozp"/>
      <sheetName val="rekap3"/>
      <sheetName val="Foxconn light_rozp_z"/>
      <sheetName val="light_BB"/>
      <sheetName val="light_BC"/>
      <sheetName val="light_BD"/>
      <sheetName val="FoxconnVS_rozp"/>
      <sheetName val="Nabídka"/>
      <sheetName val="rozp MaR (2)"/>
      <sheetName val="pomoc vyp"/>
      <sheetName val="rozp_ODHAD"/>
      <sheetName val="MaR"/>
      <sheetName val="Nabídka  LG"/>
      <sheetName val="rozp MaR"/>
      <sheetName val="rozp_z"/>
      <sheetName val="rozp (2)"/>
      <sheetName val="MONT_doplň_8p"/>
      <sheetName val="cina_skřIRC"/>
      <sheetName val="Vin_Rozvaděče Fan-coily"/>
      <sheetName val="mont_data"/>
      <sheetName val="ŽLABY_staré"/>
      <sheetName val="Cenová informace HWL"/>
      <sheetName val="Univerzita HK MaR_nab"/>
      <sheetName val="rozp_UHK"/>
      <sheetName val="kab_UHK"/>
      <sheetName val="mont_UHK"/>
      <sheetName val="mont_UHK (2)"/>
      <sheetName val="kabel_vzor"/>
      <sheetName val="UHK_skřIRC"/>
      <sheetName val="rozv_BA1"/>
      <sheetName val="rozv_BA2"/>
      <sheetName val="nab_KD"/>
      <sheetName val="List1"/>
      <sheetName val="rozp pomoc_vzor"/>
      <sheetName val="rozp pomoc mont_vzor"/>
      <sheetName val="rozp_lab_PP_"/>
      <sheetName val="rozp_lab_PP_rozp_z"/>
      <sheetName val="rozp_lab_PP_VV_z"/>
      <sheetName val="kabel_lab"/>
      <sheetName val="rozv_RD1"/>
      <sheetName val="rozv_RD2"/>
      <sheetName val="rozv_RD3"/>
      <sheetName val="rozv_RD4"/>
      <sheetName val="mont_lab"/>
      <sheetName val="kabel_lab_RD2"/>
      <sheetName val="kabel_lab_RD3"/>
      <sheetName val="kabel_lab_RD4"/>
      <sheetName val="seznam obvodů_data"/>
      <sheetName val="seznam obvodů"/>
      <sheetName val="seznam obvodů_080306"/>
      <sheetName val="rozp_lab_PP"/>
      <sheetName val="Nem Nachod JIP MaR_rozp"/>
      <sheetName val="kabel_JIP PP_opr"/>
      <sheetName val="kabel_JIP PP_"/>
      <sheetName val="specPP"/>
      <sheetName val="rozp_hor nem opr tl"/>
      <sheetName val="rozpPP (2)"/>
      <sheetName val="rozv_"/>
      <sheetName val="nem Nachod_nab_subi"/>
      <sheetName val="rozp"/>
      <sheetName val="nem Nachod_nab"/>
      <sheetName val="mont"/>
      <sheetName val="03vMaR"/>
      <sheetName val="03zMaR"/>
      <sheetName val="04MaR"/>
      <sheetName val="3-JH-2001,2 (B)"/>
      <sheetName val="CV Smetanova_PP27.7"/>
      <sheetName val="CV Smetanova_PP27.7z"/>
      <sheetName val="CV Smetanova_PP21.7"/>
      <sheetName val="CV Smetanova_PP21.7_z"/>
      <sheetName val="CV Smetanova_PP19.7_z"/>
      <sheetName val="CV Smetanova_PP17.7 (4)"/>
      <sheetName val="CV Smetanova_PP12.7 (3)"/>
      <sheetName val="CV Smetanova_PP11.7 (2)"/>
      <sheetName val="CV Smetanova_PP10.7"/>
      <sheetName val="CV Smetanova_specifikace PP 3"/>
      <sheetName val="CV Smetanova_PP"/>
      <sheetName val="CV Smetanova_specifikace PP 1"/>
      <sheetName val="blok"/>
      <sheetName val="CV Smetanova_rozp_nab (2)"/>
      <sheetName val="Rekapitulace MaR"/>
      <sheetName val="Položky MaR"/>
      <sheetName val="CV Smetanova_rozp_nab"/>
      <sheetName val="CV Smetanova_CD"/>
      <sheetName val="mont_CV nab"/>
      <sheetName val="ŽLABY180804 (2)"/>
      <sheetName val="CV Smetanova_tepl. prip."/>
      <sheetName val="CV Smetanova_tepl. prip._rozp"/>
      <sheetName val="CV Smetanova_tepl. prip._výk vý"/>
      <sheetName val="krycí list_specifikace"/>
      <sheetName val="krycí list_rozpočet"/>
      <sheetName val="CV Smetanova_výkaz výměr"/>
      <sheetName val="CV Smetanova_rozpočet"/>
      <sheetName val="CV Smetanova_proj"/>
      <sheetName val="DCV_rozp (2)"/>
      <sheetName val="DCV_rozp"/>
      <sheetName val="rozv"/>
      <sheetName val="List2"/>
      <sheetName val="List3"/>
      <sheetName val="Svatoslavova"/>
      <sheetName val="Cibulkové_rozp"/>
      <sheetName val="Legie_rozp"/>
      <sheetName val="rekap"/>
      <sheetName val="Jihlavska_rozp"/>
      <sheetName val="Krumlovska_rozp"/>
      <sheetName val="Krumlovska_rozp (2)"/>
      <sheetName val="rozv_RD2_"/>
      <sheetName val="rozv_RD2_ (2)"/>
      <sheetName val="Nuselska_rozp (2)"/>
      <sheetName val="rozv_RD2_ (3)"/>
      <sheetName val="rozp_KRPA"/>
      <sheetName val="kalkulace"/>
      <sheetName val="Univ Pce A2_mont"/>
      <sheetName val="Univ Pce A2_nab"/>
      <sheetName val="Univ Pce A2 _VV"/>
      <sheetName val="cena PP"/>
      <sheetName val="kabel"/>
      <sheetName val="rozp_ventily2"/>
      <sheetName val="rozp_ventily"/>
      <sheetName val="Siemens"/>
      <sheetName val="Husova_rozp"/>
      <sheetName val="Husova_rozp (2)"/>
      <sheetName val="Husova_nab"/>
      <sheetName val="Krucenburk_rozp"/>
      <sheetName val="Krucenburk_rozp (2)"/>
      <sheetName val="Krucenburk_nab"/>
      <sheetName val="Tepvos_rozp"/>
      <sheetName val="Na Dolinách_rozpPP_230209"/>
      <sheetName val="titl_Na Dolinách"/>
      <sheetName val="Na Dolinách_specPP"/>
      <sheetName val="Na Dolinách_230209"/>
      <sheetName val="Na Dolinách_rozp_230209"/>
      <sheetName val="Na Dolinách_nab2"/>
      <sheetName val="Na Dolinách_rozp2"/>
      <sheetName val="Bránická_rozp"/>
      <sheetName val="Na Dolinách_rozp"/>
      <sheetName val="Na Dolinách_nab"/>
      <sheetName val="Bránická_311008"/>
      <sheetName val="Bránická_nab2"/>
      <sheetName val="Bránická_nab"/>
      <sheetName val="Cibulkové_pův rozp"/>
      <sheetName val="rozv pův_Cibulkove"/>
      <sheetName val="Cibulkové_rozp_10.10.08"/>
      <sheetName val="Cibulkové_nab_16.10.08"/>
      <sheetName val="Cibulkové_podkl_10.10.08"/>
      <sheetName val="rozv_Cibulkove_10.10.08"/>
      <sheetName val="ZŠ Jitřní_rozp"/>
      <sheetName val="ZŠ Jitřní_nab"/>
      <sheetName val="ZŠ Jitřní_nab2"/>
      <sheetName val="Nuselská94_rozp"/>
      <sheetName val="Nuselská94_nab"/>
      <sheetName val="Na Klikovce_rozp"/>
      <sheetName val="Na Klikovce_rozp (2)"/>
      <sheetName val="Viktorinova_tlak"/>
      <sheetName val="rozv_vik_tlak"/>
      <sheetName val="rozv_vik_kot"/>
      <sheetName val="rozv_vik_kot_bez tl"/>
      <sheetName val="Viktorinova_tlak (2)"/>
      <sheetName val="Viktorinova_kotelna"/>
      <sheetName val="Viktorinova_kotelna_nab"/>
      <sheetName val="Viktorinova_kotelna_rek"/>
      <sheetName val="Viktorinova_OPS+kot_rozp PP (2)"/>
      <sheetName val="Na Klaudiánce 19_rozp PP"/>
      <sheetName val="Na Klaudiánce 19_spec PP"/>
      <sheetName val="Viktorinova_OPS+kot_rozp PP"/>
      <sheetName val="Viktorinova_OPS+kot"/>
      <sheetName val="Viktorinova_OPS+kot_spec PP"/>
      <sheetName val="Viktorinova_OPS+kot_specPPmarek"/>
      <sheetName val="Viktorinova_podklady1"/>
      <sheetName val="Viktorinova_OPS"/>
      <sheetName val="rozv_vik"/>
      <sheetName val="rozv_viktorinova"/>
      <sheetName val="Semily_roz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/>
      <sheetData sheetId="203" refreshError="1"/>
      <sheetData sheetId="204" refreshError="1"/>
      <sheetData sheetId="205"/>
      <sheetData sheetId="206"/>
      <sheetData sheetId="207"/>
      <sheetData sheetId="208"/>
      <sheetData sheetId="209" refreshError="1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Stavební část"/>
      <sheetName val="ZTI"/>
      <sheetName val="Venkovní práce a IS"/>
      <sheetName val="Vedlejší náklady"/>
      <sheetName val="1.1"/>
      <sheetName val="2.1"/>
      <sheetName val="2.2"/>
      <sheetName val="2.3"/>
      <sheetName val="2.4"/>
      <sheetName val="2.5"/>
      <sheetName val="2.6"/>
      <sheetName val="2.7"/>
      <sheetName val="2.8"/>
      <sheetName val="2.9"/>
      <sheetName val="3.1"/>
      <sheetName val="3.2"/>
      <sheetName val="3.3"/>
      <sheetName val="3.4"/>
      <sheetName val="3.5"/>
      <sheetName val="4.1"/>
      <sheetName val="4.2"/>
      <sheetName val="4.3"/>
      <sheetName val="4.4"/>
      <sheetName val="4.5"/>
      <sheetName val="4.6"/>
      <sheetName val="4.7"/>
      <sheetName val="4.8"/>
      <sheetName val="4.9"/>
      <sheetName val="4.10"/>
      <sheetName val="4.11"/>
      <sheetName val="4.12"/>
      <sheetName val="5.1"/>
      <sheetName val="5.2"/>
      <sheetName val="5.3"/>
      <sheetName val="5.4"/>
      <sheetName val="5.5"/>
      <sheetName val="5.6"/>
      <sheetName val="5.7"/>
      <sheetName val="5.8"/>
      <sheetName val="5.9"/>
      <sheetName val="5.10"/>
      <sheetName val="6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."/>
      <sheetName val="Nákladová kalkulace"/>
      <sheetName val="Celková rekapitulace"/>
      <sheetName val="rekapitulace SO 07"/>
      <sheetName val="Budova"/>
      <sheetName val="Venky"/>
      <sheetName val="Sazby R,Ri,Z"/>
      <sheetName val="ZS, VR"/>
      <sheetName val="Financování"/>
      <sheetName val="Platební kalendář"/>
      <sheetName val="x"/>
      <sheetName val="Chlum u Třeboně REKAP"/>
      <sheetName val="položkový rozpoče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1">
          <cell r="A11">
            <v>3</v>
          </cell>
        </row>
        <row r="13">
          <cell r="A13" t="str">
            <v>1.</v>
          </cell>
        </row>
        <row r="14">
          <cell r="A14" t="str">
            <v>2.</v>
          </cell>
        </row>
        <row r="15">
          <cell r="A15" t="str">
            <v>3.</v>
          </cell>
        </row>
        <row r="16">
          <cell r="A16" t="str">
            <v>4.</v>
          </cell>
        </row>
        <row r="17">
          <cell r="A17" t="str">
            <v>5.</v>
          </cell>
        </row>
        <row r="18">
          <cell r="A18" t="str">
            <v>6.</v>
          </cell>
        </row>
        <row r="19">
          <cell r="A19" t="str">
            <v>7.</v>
          </cell>
        </row>
        <row r="21">
          <cell r="A21">
            <v>6</v>
          </cell>
        </row>
        <row r="23">
          <cell r="A23" t="str">
            <v>1.</v>
          </cell>
        </row>
        <row r="24">
          <cell r="A24" t="str">
            <v>3.</v>
          </cell>
        </row>
        <row r="25">
          <cell r="A25" t="str">
            <v>4.</v>
          </cell>
        </row>
        <row r="26">
          <cell r="A26" t="str">
            <v>5.</v>
          </cell>
        </row>
        <row r="27">
          <cell r="A27" t="str">
            <v>6.</v>
          </cell>
        </row>
        <row r="28">
          <cell r="A28" t="str">
            <v>7.</v>
          </cell>
        </row>
        <row r="29">
          <cell r="A29" t="str">
            <v>8.</v>
          </cell>
        </row>
        <row r="30">
          <cell r="A30" t="str">
            <v>9.</v>
          </cell>
        </row>
        <row r="31">
          <cell r="A31" t="str">
            <v>10.</v>
          </cell>
        </row>
        <row r="32">
          <cell r="A32" t="str">
            <v>11.</v>
          </cell>
        </row>
        <row r="34">
          <cell r="A34" t="str">
            <v>12.</v>
          </cell>
        </row>
        <row r="35">
          <cell r="A35" t="str">
            <v>13.</v>
          </cell>
        </row>
        <row r="36">
          <cell r="A36" t="str">
            <v>14.</v>
          </cell>
        </row>
        <row r="38">
          <cell r="A38" t="str">
            <v>15.</v>
          </cell>
        </row>
        <row r="39">
          <cell r="A39" t="str">
            <v>16.</v>
          </cell>
        </row>
        <row r="40">
          <cell r="A40" t="str">
            <v>17.</v>
          </cell>
        </row>
        <row r="44">
          <cell r="A44" t="str">
            <v>1.</v>
          </cell>
        </row>
        <row r="45">
          <cell r="A45" t="str">
            <v>2.</v>
          </cell>
        </row>
        <row r="47">
          <cell r="A47" t="str">
            <v>3.</v>
          </cell>
        </row>
        <row r="49">
          <cell r="A49" t="str">
            <v>4.</v>
          </cell>
        </row>
        <row r="51">
          <cell r="A51" t="str">
            <v>5.</v>
          </cell>
        </row>
        <row r="52">
          <cell r="A52" t="str">
            <v>6.</v>
          </cell>
        </row>
        <row r="53">
          <cell r="A53" t="str">
            <v>7.</v>
          </cell>
        </row>
        <row r="55">
          <cell r="A55" t="str">
            <v>8.</v>
          </cell>
        </row>
        <row r="56">
          <cell r="A56" t="str">
            <v>9.</v>
          </cell>
        </row>
        <row r="58">
          <cell r="A58">
            <v>9</v>
          </cell>
        </row>
        <row r="60">
          <cell r="A60" t="str">
            <v>1.</v>
          </cell>
        </row>
        <row r="63">
          <cell r="A63" t="str">
            <v>2.</v>
          </cell>
        </row>
        <row r="67">
          <cell r="A67" t="str">
            <v>3.</v>
          </cell>
        </row>
        <row r="70">
          <cell r="A70" t="str">
            <v>4.</v>
          </cell>
        </row>
        <row r="73">
          <cell r="A73" t="str">
            <v>5.</v>
          </cell>
        </row>
        <row r="76">
          <cell r="A76" t="str">
            <v>6.</v>
          </cell>
        </row>
        <row r="79">
          <cell r="A79" t="str">
            <v>8.</v>
          </cell>
        </row>
        <row r="81">
          <cell r="A81" t="str">
            <v>9.</v>
          </cell>
        </row>
        <row r="83">
          <cell r="A83" t="str">
            <v>10.</v>
          </cell>
        </row>
        <row r="86">
          <cell r="A86">
            <v>711</v>
          </cell>
        </row>
        <row r="89">
          <cell r="A89" t="str">
            <v>1.</v>
          </cell>
        </row>
        <row r="91">
          <cell r="A91" t="str">
            <v>2.</v>
          </cell>
        </row>
        <row r="92">
          <cell r="A92" t="str">
            <v>3.</v>
          </cell>
        </row>
        <row r="94">
          <cell r="A94" t="str">
            <v>4.</v>
          </cell>
        </row>
        <row r="95">
          <cell r="A95" t="str">
            <v>5.</v>
          </cell>
        </row>
        <row r="96">
          <cell r="A96" t="str">
            <v>6.</v>
          </cell>
        </row>
        <row r="97">
          <cell r="A97" t="str">
            <v>7.</v>
          </cell>
        </row>
        <row r="100">
          <cell r="A100" t="str">
            <v>8.</v>
          </cell>
        </row>
        <row r="101">
          <cell r="A101" t="str">
            <v>9.</v>
          </cell>
        </row>
        <row r="102">
          <cell r="A102" t="str">
            <v>10.</v>
          </cell>
        </row>
        <row r="103">
          <cell r="A103" t="str">
            <v>11.</v>
          </cell>
        </row>
        <row r="105">
          <cell r="A105">
            <v>713</v>
          </cell>
        </row>
        <row r="108">
          <cell r="A108" t="str">
            <v>1.</v>
          </cell>
        </row>
        <row r="109">
          <cell r="A109" t="str">
            <v>2.</v>
          </cell>
        </row>
        <row r="110">
          <cell r="A110" t="str">
            <v>3.</v>
          </cell>
        </row>
        <row r="111">
          <cell r="A111" t="str">
            <v>4.</v>
          </cell>
        </row>
        <row r="112">
          <cell r="A112" t="str">
            <v>5.</v>
          </cell>
        </row>
        <row r="116">
          <cell r="A116" t="str">
            <v>6.</v>
          </cell>
        </row>
        <row r="117">
          <cell r="A117" t="str">
            <v>7.</v>
          </cell>
        </row>
        <row r="118">
          <cell r="A118" t="str">
            <v>8.</v>
          </cell>
        </row>
        <row r="119">
          <cell r="A119" t="str">
            <v>9.</v>
          </cell>
        </row>
        <row r="120">
          <cell r="A120" t="str">
            <v>10.</v>
          </cell>
        </row>
        <row r="121">
          <cell r="A121" t="str">
            <v>11.</v>
          </cell>
        </row>
        <row r="122">
          <cell r="A122" t="str">
            <v>12.</v>
          </cell>
        </row>
        <row r="125">
          <cell r="A125" t="str">
            <v>13.</v>
          </cell>
        </row>
        <row r="126">
          <cell r="A126" t="str">
            <v>14.</v>
          </cell>
        </row>
        <row r="127">
          <cell r="A127" t="str">
            <v>15.</v>
          </cell>
        </row>
        <row r="128">
          <cell r="A128" t="str">
            <v>16.</v>
          </cell>
        </row>
        <row r="129">
          <cell r="A129" t="str">
            <v>17.</v>
          </cell>
        </row>
        <row r="131">
          <cell r="A131">
            <v>764</v>
          </cell>
        </row>
        <row r="134">
          <cell r="A134" t="str">
            <v>1.</v>
          </cell>
        </row>
        <row r="135">
          <cell r="A135" t="str">
            <v>2.</v>
          </cell>
        </row>
        <row r="137">
          <cell r="A137" t="str">
            <v>3.</v>
          </cell>
        </row>
        <row r="138">
          <cell r="A138" t="str">
            <v>4.</v>
          </cell>
        </row>
        <row r="140">
          <cell r="A140" t="str">
            <v>5.</v>
          </cell>
        </row>
        <row r="141">
          <cell r="A141" t="str">
            <v>6.</v>
          </cell>
        </row>
        <row r="142">
          <cell r="A142" t="str">
            <v>7.</v>
          </cell>
        </row>
        <row r="144">
          <cell r="A144" t="str">
            <v>8.</v>
          </cell>
        </row>
        <row r="145">
          <cell r="A145" t="str">
            <v>9.</v>
          </cell>
        </row>
        <row r="146">
          <cell r="A146" t="str">
            <v>10.</v>
          </cell>
        </row>
        <row r="147">
          <cell r="A147" t="str">
            <v>11.</v>
          </cell>
        </row>
        <row r="149">
          <cell r="A149" t="str">
            <v>12.</v>
          </cell>
        </row>
        <row r="150">
          <cell r="A150" t="str">
            <v>13.</v>
          </cell>
        </row>
        <row r="152">
          <cell r="A152" t="str">
            <v>14.</v>
          </cell>
        </row>
        <row r="153">
          <cell r="A153" t="str">
            <v>15.</v>
          </cell>
        </row>
        <row r="154">
          <cell r="A154" t="str">
            <v>16.</v>
          </cell>
        </row>
        <row r="156">
          <cell r="A156" t="str">
            <v>17.</v>
          </cell>
        </row>
        <row r="157">
          <cell r="A157" t="str">
            <v>18.</v>
          </cell>
        </row>
        <row r="158">
          <cell r="A158" t="str">
            <v>19.</v>
          </cell>
        </row>
        <row r="160">
          <cell r="A160" t="str">
            <v>20.</v>
          </cell>
        </row>
        <row r="163">
          <cell r="A163" t="str">
            <v>21.</v>
          </cell>
        </row>
        <row r="164">
          <cell r="A164" t="str">
            <v>22.</v>
          </cell>
        </row>
        <row r="165">
          <cell r="A165" t="str">
            <v>23.</v>
          </cell>
        </row>
        <row r="167">
          <cell r="A167" t="str">
            <v>24.</v>
          </cell>
        </row>
        <row r="168">
          <cell r="A168" t="str">
            <v>25.</v>
          </cell>
        </row>
        <row r="169">
          <cell r="A169" t="str">
            <v>26.</v>
          </cell>
        </row>
        <row r="170">
          <cell r="A170" t="str">
            <v>27.</v>
          </cell>
        </row>
        <row r="172">
          <cell r="A172" t="str">
            <v>28.</v>
          </cell>
        </row>
        <row r="173">
          <cell r="A173" t="str">
            <v>29.</v>
          </cell>
        </row>
        <row r="175">
          <cell r="A175" t="str">
            <v>30.</v>
          </cell>
        </row>
        <row r="177">
          <cell r="A177" t="str">
            <v>31.</v>
          </cell>
        </row>
        <row r="178">
          <cell r="A178" t="str">
            <v>32.</v>
          </cell>
        </row>
        <row r="179">
          <cell r="A179" t="str">
            <v>33.</v>
          </cell>
        </row>
        <row r="181">
          <cell r="A181" t="str">
            <v>34.</v>
          </cell>
        </row>
        <row r="183">
          <cell r="A183" t="str">
            <v>35.</v>
          </cell>
        </row>
        <row r="187">
          <cell r="A187">
            <v>766</v>
          </cell>
        </row>
        <row r="189">
          <cell r="A189" t="str">
            <v>1.</v>
          </cell>
        </row>
        <row r="192">
          <cell r="A192" t="str">
            <v>2.</v>
          </cell>
        </row>
        <row r="195">
          <cell r="A195" t="str">
            <v>3.</v>
          </cell>
        </row>
        <row r="198">
          <cell r="A198" t="str">
            <v>4.</v>
          </cell>
        </row>
        <row r="201">
          <cell r="A201" t="str">
            <v>5.</v>
          </cell>
        </row>
        <row r="205">
          <cell r="A205" t="str">
            <v>6a</v>
          </cell>
        </row>
        <row r="210">
          <cell r="A210" t="str">
            <v>6b</v>
          </cell>
        </row>
        <row r="215">
          <cell r="A215" t="str">
            <v>6c</v>
          </cell>
        </row>
        <row r="220">
          <cell r="A220" t="str">
            <v>7.</v>
          </cell>
        </row>
        <row r="225">
          <cell r="A225" t="str">
            <v>8.</v>
          </cell>
        </row>
        <row r="230">
          <cell r="A230" t="str">
            <v>9.</v>
          </cell>
        </row>
        <row r="236">
          <cell r="A236" t="str">
            <v>10.</v>
          </cell>
        </row>
        <row r="241">
          <cell r="A241" t="str">
            <v>11.</v>
          </cell>
        </row>
        <row r="246">
          <cell r="A246" t="str">
            <v>12.</v>
          </cell>
        </row>
        <row r="251">
          <cell r="A251" t="str">
            <v>13.</v>
          </cell>
        </row>
        <row r="256">
          <cell r="A256" t="str">
            <v>14.</v>
          </cell>
        </row>
        <row r="261">
          <cell r="A261">
            <v>767</v>
          </cell>
        </row>
        <row r="266">
          <cell r="A266" t="str">
            <v>1.</v>
          </cell>
        </row>
        <row r="271">
          <cell r="A271" t="str">
            <v>2.</v>
          </cell>
        </row>
        <row r="273">
          <cell r="A273" t="str">
            <v>3.</v>
          </cell>
        </row>
        <row r="276">
          <cell r="A276" t="str">
            <v>4.</v>
          </cell>
        </row>
        <row r="280">
          <cell r="A280" t="str">
            <v>5.</v>
          </cell>
        </row>
        <row r="284">
          <cell r="A284" t="str">
            <v>6.</v>
          </cell>
        </row>
        <row r="289">
          <cell r="A289" t="str">
            <v>7.</v>
          </cell>
        </row>
        <row r="292">
          <cell r="A292" t="str">
            <v>8.</v>
          </cell>
        </row>
        <row r="296">
          <cell r="A296" t="str">
            <v>9.</v>
          </cell>
        </row>
        <row r="299">
          <cell r="A299" t="str">
            <v>10.</v>
          </cell>
        </row>
        <row r="302">
          <cell r="A302" t="str">
            <v>11.</v>
          </cell>
        </row>
        <row r="305">
          <cell r="A305" t="str">
            <v>12.</v>
          </cell>
        </row>
        <row r="308">
          <cell r="A308" t="str">
            <v>13.</v>
          </cell>
        </row>
        <row r="310">
          <cell r="A310" t="str">
            <v>14.</v>
          </cell>
        </row>
        <row r="314">
          <cell r="A314" t="str">
            <v>15.</v>
          </cell>
        </row>
        <row r="318">
          <cell r="A318" t="str">
            <v>16.</v>
          </cell>
        </row>
        <row r="323">
          <cell r="A323" t="str">
            <v>17.</v>
          </cell>
        </row>
        <row r="326">
          <cell r="A326" t="str">
            <v>18.</v>
          </cell>
        </row>
        <row r="330">
          <cell r="A330" t="str">
            <v>19.</v>
          </cell>
        </row>
        <row r="335">
          <cell r="A335" t="str">
            <v>20.</v>
          </cell>
        </row>
        <row r="340">
          <cell r="A340" t="str">
            <v>21.</v>
          </cell>
        </row>
        <row r="345">
          <cell r="A345" t="str">
            <v>22.</v>
          </cell>
        </row>
        <row r="350">
          <cell r="A350" t="str">
            <v>23.</v>
          </cell>
        </row>
        <row r="355">
          <cell r="A355" t="str">
            <v>24.</v>
          </cell>
        </row>
        <row r="360">
          <cell r="A360" t="str">
            <v>25.</v>
          </cell>
        </row>
        <row r="365">
          <cell r="A365" t="str">
            <v>26.</v>
          </cell>
        </row>
        <row r="370">
          <cell r="A370" t="str">
            <v>27.</v>
          </cell>
        </row>
        <row r="375">
          <cell r="A375" t="str">
            <v>28.</v>
          </cell>
        </row>
        <row r="380">
          <cell r="A380" t="str">
            <v>29.</v>
          </cell>
        </row>
        <row r="385">
          <cell r="A385" t="str">
            <v>30.</v>
          </cell>
        </row>
        <row r="390">
          <cell r="A390" t="str">
            <v>31.</v>
          </cell>
        </row>
        <row r="398">
          <cell r="A398" t="str">
            <v>32.</v>
          </cell>
        </row>
        <row r="403">
          <cell r="A403" t="str">
            <v>33.</v>
          </cell>
        </row>
        <row r="408">
          <cell r="A408" t="str">
            <v>34.</v>
          </cell>
        </row>
        <row r="413">
          <cell r="A413" t="str">
            <v>35.</v>
          </cell>
        </row>
        <row r="419">
          <cell r="A419" t="str">
            <v>36.</v>
          </cell>
        </row>
        <row r="426">
          <cell r="A426" t="str">
            <v>37.</v>
          </cell>
        </row>
        <row r="431">
          <cell r="A431" t="str">
            <v>38.</v>
          </cell>
        </row>
        <row r="436">
          <cell r="A436" t="str">
            <v>39.</v>
          </cell>
        </row>
        <row r="441">
          <cell r="A441" t="str">
            <v>40.</v>
          </cell>
        </row>
        <row r="447">
          <cell r="A447" t="str">
            <v>41.</v>
          </cell>
        </row>
        <row r="452">
          <cell r="A452" t="str">
            <v>42.</v>
          </cell>
        </row>
        <row r="456">
          <cell r="A456" t="str">
            <v>43.</v>
          </cell>
        </row>
        <row r="461">
          <cell r="A461" t="str">
            <v>44.</v>
          </cell>
        </row>
        <row r="465">
          <cell r="A465" t="str">
            <v>45.</v>
          </cell>
        </row>
        <row r="469">
          <cell r="A469" t="str">
            <v>46.</v>
          </cell>
        </row>
        <row r="473">
          <cell r="A473" t="str">
            <v>47.</v>
          </cell>
        </row>
        <row r="477">
          <cell r="A477" t="str">
            <v>48.</v>
          </cell>
        </row>
        <row r="481">
          <cell r="A481" t="str">
            <v>48.</v>
          </cell>
        </row>
        <row r="485">
          <cell r="A485" t="str">
            <v>49.</v>
          </cell>
        </row>
        <row r="489">
          <cell r="A489" t="str">
            <v>50.</v>
          </cell>
        </row>
        <row r="494">
          <cell r="A494" t="str">
            <v>51.</v>
          </cell>
        </row>
        <row r="498">
          <cell r="A498" t="str">
            <v>52.</v>
          </cell>
        </row>
        <row r="502">
          <cell r="A502" t="str">
            <v>53.</v>
          </cell>
        </row>
        <row r="506">
          <cell r="A506" t="str">
            <v>54.</v>
          </cell>
        </row>
        <row r="510">
          <cell r="A510" t="str">
            <v>55.</v>
          </cell>
        </row>
        <row r="515">
          <cell r="A515" t="str">
            <v>56.</v>
          </cell>
        </row>
        <row r="520">
          <cell r="A520" t="str">
            <v>57.</v>
          </cell>
        </row>
        <row r="524">
          <cell r="A524" t="str">
            <v>58.</v>
          </cell>
        </row>
        <row r="528">
          <cell r="A528" t="str">
            <v>59.</v>
          </cell>
        </row>
        <row r="533">
          <cell r="A533" t="str">
            <v>60.</v>
          </cell>
        </row>
        <row r="538">
          <cell r="A538" t="str">
            <v>61.</v>
          </cell>
        </row>
        <row r="542">
          <cell r="A542" t="str">
            <v>62.</v>
          </cell>
        </row>
        <row r="546">
          <cell r="A546" t="str">
            <v>63.</v>
          </cell>
        </row>
        <row r="551">
          <cell r="A551" t="str">
            <v>64.</v>
          </cell>
        </row>
        <row r="552">
          <cell r="A552" t="str">
            <v>64a.</v>
          </cell>
        </row>
        <row r="553">
          <cell r="A553" t="str">
            <v>64b.</v>
          </cell>
        </row>
        <row r="561">
          <cell r="A561" t="str">
            <v>65.</v>
          </cell>
        </row>
        <row r="563">
          <cell r="A563" t="str">
            <v>66.</v>
          </cell>
        </row>
        <row r="566">
          <cell r="A566" t="str">
            <v>67.</v>
          </cell>
        </row>
        <row r="569">
          <cell r="A569" t="str">
            <v>68.</v>
          </cell>
        </row>
        <row r="571">
          <cell r="A571" t="str">
            <v>69.</v>
          </cell>
        </row>
        <row r="573">
          <cell r="A573" t="str">
            <v>70.</v>
          </cell>
        </row>
        <row r="579">
          <cell r="A579" t="str">
            <v>71.</v>
          </cell>
        </row>
        <row r="582">
          <cell r="A582" t="str">
            <v>72.</v>
          </cell>
        </row>
        <row r="586">
          <cell r="A586" t="str">
            <v>73.</v>
          </cell>
        </row>
        <row r="590">
          <cell r="A590" t="str">
            <v>74.</v>
          </cell>
        </row>
        <row r="594">
          <cell r="A594" t="str">
            <v>75.</v>
          </cell>
        </row>
        <row r="597">
          <cell r="A597" t="str">
            <v>76.</v>
          </cell>
        </row>
        <row r="600">
          <cell r="A600" t="str">
            <v>77.</v>
          </cell>
        </row>
        <row r="605">
          <cell r="A605">
            <v>771</v>
          </cell>
        </row>
        <row r="607">
          <cell r="A607" t="str">
            <v>1.</v>
          </cell>
        </row>
        <row r="610">
          <cell r="A610" t="str">
            <v>2.</v>
          </cell>
        </row>
        <row r="613">
          <cell r="A613" t="str">
            <v>3.</v>
          </cell>
        </row>
        <row r="618">
          <cell r="A618">
            <v>772</v>
          </cell>
        </row>
        <row r="620">
          <cell r="A620" t="str">
            <v>1.</v>
          </cell>
        </row>
        <row r="623">
          <cell r="A623" t="str">
            <v>2.</v>
          </cell>
        </row>
        <row r="625">
          <cell r="A625" t="str">
            <v>3.</v>
          </cell>
        </row>
        <row r="628">
          <cell r="A628" t="str">
            <v>4.</v>
          </cell>
        </row>
        <row r="631">
          <cell r="A631" t="str">
            <v>5.</v>
          </cell>
        </row>
        <row r="634">
          <cell r="A634" t="str">
            <v>6.</v>
          </cell>
        </row>
        <row r="638">
          <cell r="A638">
            <v>776</v>
          </cell>
        </row>
        <row r="640">
          <cell r="A640" t="str">
            <v>1.</v>
          </cell>
        </row>
        <row r="643">
          <cell r="A643" t="str">
            <v>2.</v>
          </cell>
        </row>
        <row r="646">
          <cell r="A646" t="str">
            <v>3.</v>
          </cell>
        </row>
        <row r="650">
          <cell r="A650">
            <v>777</v>
          </cell>
        </row>
        <row r="652">
          <cell r="A652" t="str">
            <v>1.</v>
          </cell>
        </row>
        <row r="654">
          <cell r="A654" t="str">
            <v>2.</v>
          </cell>
        </row>
        <row r="656">
          <cell r="A656" t="str">
            <v>3.</v>
          </cell>
        </row>
        <row r="658">
          <cell r="A658" t="str">
            <v>4.</v>
          </cell>
        </row>
        <row r="660">
          <cell r="A660" t="str">
            <v>5.</v>
          </cell>
        </row>
        <row r="662">
          <cell r="A662">
            <v>781</v>
          </cell>
        </row>
        <row r="664">
          <cell r="A664" t="str">
            <v>1.</v>
          </cell>
        </row>
        <row r="668">
          <cell r="A668">
            <v>782</v>
          </cell>
        </row>
        <row r="670">
          <cell r="A670" t="str">
            <v>1.</v>
          </cell>
        </row>
        <row r="673">
          <cell r="A673" t="str">
            <v>2.</v>
          </cell>
        </row>
        <row r="676">
          <cell r="A676">
            <v>783</v>
          </cell>
        </row>
        <row r="678">
          <cell r="A678" t="str">
            <v>1.</v>
          </cell>
        </row>
        <row r="680">
          <cell r="A680" t="str">
            <v>2.</v>
          </cell>
        </row>
        <row r="682">
          <cell r="A682" t="str">
            <v>3.</v>
          </cell>
        </row>
        <row r="684">
          <cell r="A684">
            <v>784</v>
          </cell>
        </row>
        <row r="686">
          <cell r="A686" t="str">
            <v>1.</v>
          </cell>
        </row>
        <row r="692">
          <cell r="A692">
            <v>1</v>
          </cell>
        </row>
        <row r="693">
          <cell r="A693" t="str">
            <v>1.1.</v>
          </cell>
        </row>
        <row r="695">
          <cell r="A695" t="str">
            <v>1.2.</v>
          </cell>
        </row>
        <row r="697">
          <cell r="A697" t="str">
            <v>1.3.</v>
          </cell>
        </row>
        <row r="698">
          <cell r="A698" t="str">
            <v>1.4.</v>
          </cell>
        </row>
        <row r="699">
          <cell r="A699" t="str">
            <v>1.5.</v>
          </cell>
        </row>
        <row r="702">
          <cell r="A702">
            <v>2</v>
          </cell>
        </row>
        <row r="703">
          <cell r="A703" t="str">
            <v>2.1.</v>
          </cell>
        </row>
        <row r="707">
          <cell r="A707" t="str">
            <v>2.2.</v>
          </cell>
        </row>
        <row r="710">
          <cell r="A710" t="str">
            <v>2.3.</v>
          </cell>
        </row>
        <row r="712">
          <cell r="A712" t="str">
            <v>2.4.</v>
          </cell>
        </row>
        <row r="714">
          <cell r="A714" t="str">
            <v>Pozn.:</v>
          </cell>
        </row>
        <row r="718">
          <cell r="A718">
            <v>3</v>
          </cell>
        </row>
        <row r="719">
          <cell r="A719" t="str">
            <v>3.1.</v>
          </cell>
        </row>
        <row r="722">
          <cell r="A722" t="str">
            <v>3.2.</v>
          </cell>
        </row>
        <row r="724">
          <cell r="A724" t="str">
            <v>3.3.</v>
          </cell>
        </row>
        <row r="727">
          <cell r="A727">
            <v>4</v>
          </cell>
        </row>
        <row r="728">
          <cell r="A728" t="str">
            <v>4.1.</v>
          </cell>
        </row>
        <row r="732">
          <cell r="A732" t="str">
            <v>4.2.</v>
          </cell>
        </row>
        <row r="735">
          <cell r="A735">
            <v>5</v>
          </cell>
        </row>
        <row r="738">
          <cell r="A738">
            <v>6</v>
          </cell>
        </row>
        <row r="743">
          <cell r="A743">
            <v>7</v>
          </cell>
        </row>
        <row r="747">
          <cell r="A747">
            <v>8</v>
          </cell>
        </row>
        <row r="749">
          <cell r="A749" t="str">
            <v>8.1.</v>
          </cell>
        </row>
        <row r="750">
          <cell r="A750" t="str">
            <v>8.2.</v>
          </cell>
        </row>
        <row r="761">
          <cell r="A761">
            <v>10</v>
          </cell>
        </row>
        <row r="768">
          <cell r="A768" t="str">
            <v>Pozn.:</v>
          </cell>
        </row>
        <row r="772">
          <cell r="A772">
            <v>11</v>
          </cell>
        </row>
        <row r="773">
          <cell r="A773" t="str">
            <v>11.1.</v>
          </cell>
        </row>
        <row r="774">
          <cell r="A774" t="str">
            <v>11.2.</v>
          </cell>
        </row>
        <row r="779">
          <cell r="A779" t="str">
            <v>11.3.</v>
          </cell>
        </row>
        <row r="788">
          <cell r="A788">
            <v>1</v>
          </cell>
        </row>
        <row r="790">
          <cell r="A790" t="str">
            <v>1.</v>
          </cell>
        </row>
        <row r="791">
          <cell r="A791" t="str">
            <v>2.</v>
          </cell>
        </row>
        <row r="792">
          <cell r="A792" t="str">
            <v>3.</v>
          </cell>
        </row>
        <row r="793">
          <cell r="A793" t="str">
            <v>4.</v>
          </cell>
        </row>
        <row r="794">
          <cell r="A794" t="str">
            <v>5.</v>
          </cell>
        </row>
        <row r="796">
          <cell r="A796">
            <v>2</v>
          </cell>
        </row>
        <row r="798">
          <cell r="A798" t="str">
            <v>1.</v>
          </cell>
        </row>
        <row r="799">
          <cell r="A799" t="str">
            <v>2.</v>
          </cell>
        </row>
        <row r="800">
          <cell r="A800" t="str">
            <v>3.</v>
          </cell>
        </row>
        <row r="801">
          <cell r="A801" t="str">
            <v>4.</v>
          </cell>
        </row>
        <row r="802">
          <cell r="A802" t="str">
            <v>5.</v>
          </cell>
        </row>
        <row r="803">
          <cell r="A803" t="str">
            <v>6.</v>
          </cell>
        </row>
        <row r="805">
          <cell r="A805">
            <v>3</v>
          </cell>
        </row>
        <row r="807">
          <cell r="A807" t="str">
            <v>1.</v>
          </cell>
        </row>
        <row r="808">
          <cell r="A808" t="str">
            <v>2.</v>
          </cell>
        </row>
        <row r="810">
          <cell r="A810" t="str">
            <v>3.</v>
          </cell>
        </row>
        <row r="811">
          <cell r="A811" t="str">
            <v>4.</v>
          </cell>
        </row>
        <row r="812">
          <cell r="A812" t="str">
            <v>5.</v>
          </cell>
        </row>
        <row r="814">
          <cell r="A814" t="str">
            <v>6.</v>
          </cell>
        </row>
        <row r="815">
          <cell r="A815" t="str">
            <v>7.</v>
          </cell>
        </row>
        <row r="816">
          <cell r="A816" t="str">
            <v>8.</v>
          </cell>
        </row>
        <row r="818">
          <cell r="A818" t="str">
            <v>9.</v>
          </cell>
        </row>
        <row r="829">
          <cell r="A829" t="str">
            <v>1.</v>
          </cell>
        </row>
        <row r="845">
          <cell r="A845" t="str">
            <v>2.</v>
          </cell>
        </row>
        <row r="857">
          <cell r="A857" t="str">
            <v>3.</v>
          </cell>
        </row>
        <row r="865">
          <cell r="A865" t="str">
            <v>1.</v>
          </cell>
        </row>
        <row r="874">
          <cell r="A874" t="str">
            <v>2.</v>
          </cell>
        </row>
        <row r="879">
          <cell r="A879" t="str">
            <v>3.</v>
          </cell>
        </row>
        <row r="882">
          <cell r="A882" t="str">
            <v>4.</v>
          </cell>
        </row>
        <row r="894">
          <cell r="A894" t="str">
            <v>5.</v>
          </cell>
        </row>
        <row r="898">
          <cell r="A898" t="str">
            <v>1.</v>
          </cell>
        </row>
        <row r="907">
          <cell r="A907" t="str">
            <v>2.</v>
          </cell>
        </row>
        <row r="910">
          <cell r="A910" t="str">
            <v>3.</v>
          </cell>
        </row>
        <row r="912">
          <cell r="A912" t="str">
            <v>4.</v>
          </cell>
        </row>
        <row r="918">
          <cell r="A918" t="str">
            <v>1.</v>
          </cell>
        </row>
        <row r="919">
          <cell r="A919" t="str">
            <v>2.</v>
          </cell>
        </row>
        <row r="920">
          <cell r="A920" t="str">
            <v>3.</v>
          </cell>
        </row>
        <row r="921">
          <cell r="A921" t="str">
            <v>4.</v>
          </cell>
        </row>
        <row r="922">
          <cell r="A922" t="str">
            <v>5.</v>
          </cell>
        </row>
        <row r="923">
          <cell r="A923" t="str">
            <v>6.</v>
          </cell>
        </row>
        <row r="924">
          <cell r="A924" t="str">
            <v>7.</v>
          </cell>
        </row>
        <row r="925">
          <cell r="A925" t="str">
            <v>8.</v>
          </cell>
        </row>
        <row r="926">
          <cell r="A926" t="str">
            <v>9.</v>
          </cell>
        </row>
        <row r="927">
          <cell r="A927" t="str">
            <v>10.</v>
          </cell>
        </row>
        <row r="928">
          <cell r="A928" t="str">
            <v>11.</v>
          </cell>
        </row>
        <row r="929">
          <cell r="A929" t="str">
            <v>12.</v>
          </cell>
        </row>
        <row r="930">
          <cell r="A930" t="str">
            <v>13.</v>
          </cell>
        </row>
        <row r="931">
          <cell r="A931" t="str">
            <v>14.</v>
          </cell>
        </row>
        <row r="932">
          <cell r="A932" t="str">
            <v>15.</v>
          </cell>
        </row>
        <row r="933">
          <cell r="A933" t="str">
            <v>16.</v>
          </cell>
        </row>
        <row r="934">
          <cell r="A934" t="str">
            <v>17.</v>
          </cell>
        </row>
        <row r="937">
          <cell r="A937" t="str">
            <v>18.</v>
          </cell>
        </row>
        <row r="938">
          <cell r="A938" t="str">
            <v>19.</v>
          </cell>
        </row>
        <row r="939">
          <cell r="A939" t="str">
            <v>20.</v>
          </cell>
        </row>
        <row r="940">
          <cell r="A940" t="str">
            <v>21.</v>
          </cell>
        </row>
        <row r="941">
          <cell r="A941" t="str">
            <v>22.</v>
          </cell>
        </row>
        <row r="942">
          <cell r="A942" t="str">
            <v>23.</v>
          </cell>
        </row>
        <row r="943">
          <cell r="A943" t="str">
            <v>24.</v>
          </cell>
        </row>
        <row r="944">
          <cell r="A944" t="str">
            <v>25.</v>
          </cell>
        </row>
        <row r="945">
          <cell r="A945" t="str">
            <v>26.</v>
          </cell>
        </row>
        <row r="952">
          <cell r="A952">
            <v>1</v>
          </cell>
        </row>
        <row r="956">
          <cell r="A956">
            <v>2</v>
          </cell>
        </row>
        <row r="960">
          <cell r="A960">
            <v>3</v>
          </cell>
        </row>
        <row r="964">
          <cell r="A964">
            <v>4</v>
          </cell>
        </row>
        <row r="968">
          <cell r="A968">
            <v>5</v>
          </cell>
        </row>
        <row r="972">
          <cell r="A972">
            <v>6</v>
          </cell>
        </row>
        <row r="976">
          <cell r="A976">
            <v>7</v>
          </cell>
        </row>
        <row r="980">
          <cell r="A980">
            <v>8</v>
          </cell>
        </row>
        <row r="984">
          <cell r="A984">
            <v>9</v>
          </cell>
        </row>
        <row r="988">
          <cell r="A988">
            <v>10</v>
          </cell>
        </row>
        <row r="992">
          <cell r="A992">
            <v>11</v>
          </cell>
        </row>
        <row r="996">
          <cell r="A996">
            <v>12</v>
          </cell>
        </row>
        <row r="1000">
          <cell r="A1000">
            <v>13</v>
          </cell>
        </row>
        <row r="1004">
          <cell r="A1004">
            <v>14</v>
          </cell>
        </row>
        <row r="1008">
          <cell r="A1008">
            <v>15</v>
          </cell>
        </row>
        <row r="1013">
          <cell r="A1013">
            <v>16</v>
          </cell>
        </row>
        <row r="1017">
          <cell r="A1017">
            <v>17</v>
          </cell>
        </row>
        <row r="1023">
          <cell r="A1023">
            <v>18</v>
          </cell>
        </row>
        <row r="1024">
          <cell r="A1024">
            <v>19</v>
          </cell>
        </row>
        <row r="1025">
          <cell r="A1025">
            <v>20</v>
          </cell>
        </row>
        <row r="1026">
          <cell r="A1026">
            <v>21</v>
          </cell>
        </row>
        <row r="1027">
          <cell r="A1027">
            <v>22</v>
          </cell>
        </row>
        <row r="1028">
          <cell r="A1028">
            <v>23</v>
          </cell>
        </row>
        <row r="1029">
          <cell r="A1029">
            <v>24</v>
          </cell>
        </row>
        <row r="1030">
          <cell r="A1030">
            <v>25</v>
          </cell>
        </row>
        <row r="1031">
          <cell r="A1031">
            <v>26</v>
          </cell>
        </row>
        <row r="1032">
          <cell r="A1032">
            <v>27</v>
          </cell>
        </row>
        <row r="1033">
          <cell r="A1033">
            <v>28</v>
          </cell>
        </row>
        <row r="1034">
          <cell r="A1034" t="str">
            <v xml:space="preserve"> </v>
          </cell>
        </row>
        <row r="1038">
          <cell r="A1038">
            <v>29</v>
          </cell>
        </row>
        <row r="1039">
          <cell r="A1039">
            <v>30</v>
          </cell>
        </row>
        <row r="1040">
          <cell r="A1040">
            <v>31</v>
          </cell>
        </row>
        <row r="1041">
          <cell r="A1041">
            <v>32</v>
          </cell>
        </row>
        <row r="1046">
          <cell r="A1046">
            <v>33</v>
          </cell>
        </row>
        <row r="1047">
          <cell r="A1047">
            <v>34</v>
          </cell>
        </row>
        <row r="1048">
          <cell r="A1048">
            <v>35</v>
          </cell>
        </row>
        <row r="1049">
          <cell r="A1049">
            <v>36</v>
          </cell>
        </row>
        <row r="1054">
          <cell r="A1054">
            <v>37</v>
          </cell>
        </row>
        <row r="1055">
          <cell r="A1055">
            <v>38</v>
          </cell>
        </row>
        <row r="1056">
          <cell r="A1056">
            <v>39</v>
          </cell>
        </row>
        <row r="1057">
          <cell r="A1057">
            <v>40</v>
          </cell>
        </row>
        <row r="1058">
          <cell r="A1058">
            <v>41</v>
          </cell>
        </row>
        <row r="1062">
          <cell r="A1062">
            <v>42</v>
          </cell>
        </row>
        <row r="1063">
          <cell r="A1063">
            <v>43</v>
          </cell>
        </row>
        <row r="1064">
          <cell r="A1064">
            <v>44</v>
          </cell>
        </row>
        <row r="1065">
          <cell r="A1065">
            <v>45</v>
          </cell>
        </row>
        <row r="1066">
          <cell r="A1066">
            <v>46</v>
          </cell>
        </row>
        <row r="1067">
          <cell r="A1067">
            <v>47</v>
          </cell>
        </row>
        <row r="1068">
          <cell r="A1068">
            <v>48</v>
          </cell>
        </row>
        <row r="1069">
          <cell r="A1069">
            <v>49</v>
          </cell>
        </row>
        <row r="1070">
          <cell r="A1070">
            <v>50</v>
          </cell>
        </row>
        <row r="1071">
          <cell r="A1071">
            <v>51</v>
          </cell>
        </row>
        <row r="1072">
          <cell r="A1072">
            <v>52</v>
          </cell>
        </row>
        <row r="1073">
          <cell r="A1073">
            <v>53</v>
          </cell>
        </row>
        <row r="1074">
          <cell r="A1074">
            <v>54</v>
          </cell>
        </row>
        <row r="1075">
          <cell r="A1075">
            <v>55</v>
          </cell>
        </row>
        <row r="1076">
          <cell r="A1076">
            <v>56</v>
          </cell>
        </row>
        <row r="1077">
          <cell r="A1077">
            <v>57</v>
          </cell>
        </row>
        <row r="1078">
          <cell r="A1078">
            <v>58</v>
          </cell>
        </row>
        <row r="1079">
          <cell r="A1079">
            <v>59</v>
          </cell>
        </row>
        <row r="1080">
          <cell r="A1080">
            <v>60</v>
          </cell>
        </row>
        <row r="1081">
          <cell r="A1081">
            <v>61</v>
          </cell>
        </row>
        <row r="1082">
          <cell r="A1082">
            <v>62</v>
          </cell>
        </row>
        <row r="1083">
          <cell r="A1083">
            <v>63</v>
          </cell>
        </row>
        <row r="1087">
          <cell r="A1087">
            <v>64</v>
          </cell>
        </row>
        <row r="1088">
          <cell r="A1088">
            <v>65</v>
          </cell>
        </row>
        <row r="1089">
          <cell r="A1089">
            <v>66</v>
          </cell>
        </row>
        <row r="1090">
          <cell r="A1090">
            <v>67</v>
          </cell>
        </row>
        <row r="1091">
          <cell r="A1091">
            <v>68</v>
          </cell>
        </row>
        <row r="1092">
          <cell r="A1092">
            <v>69</v>
          </cell>
        </row>
        <row r="1093">
          <cell r="A1093">
            <v>70</v>
          </cell>
        </row>
        <row r="1094">
          <cell r="A1094">
            <v>71</v>
          </cell>
        </row>
        <row r="1095">
          <cell r="A1095">
            <v>72</v>
          </cell>
        </row>
        <row r="1099">
          <cell r="A1099">
            <v>73</v>
          </cell>
        </row>
        <row r="1100">
          <cell r="A1100">
            <v>74</v>
          </cell>
        </row>
        <row r="1101">
          <cell r="A1101">
            <v>75</v>
          </cell>
        </row>
        <row r="1102">
          <cell r="A1102">
            <v>76</v>
          </cell>
        </row>
        <row r="1103">
          <cell r="A1103">
            <v>77</v>
          </cell>
        </row>
        <row r="1104">
          <cell r="A1104">
            <v>78</v>
          </cell>
        </row>
        <row r="1105">
          <cell r="A1105">
            <v>79</v>
          </cell>
        </row>
        <row r="1106">
          <cell r="A1106">
            <v>80</v>
          </cell>
        </row>
        <row r="1107">
          <cell r="A1107">
            <v>81</v>
          </cell>
        </row>
        <row r="1108">
          <cell r="A1108">
            <v>82</v>
          </cell>
        </row>
        <row r="1112">
          <cell r="A1112">
            <v>83</v>
          </cell>
        </row>
        <row r="1113">
          <cell r="A1113">
            <v>84</v>
          </cell>
        </row>
        <row r="1114">
          <cell r="A1114">
            <v>85</v>
          </cell>
        </row>
        <row r="1115">
          <cell r="A1115">
            <v>86</v>
          </cell>
        </row>
        <row r="1116">
          <cell r="A1116">
            <v>87</v>
          </cell>
        </row>
        <row r="1117">
          <cell r="A1117">
            <v>88</v>
          </cell>
        </row>
        <row r="1118">
          <cell r="A1118">
            <v>89</v>
          </cell>
        </row>
        <row r="1119">
          <cell r="A1119">
            <v>90</v>
          </cell>
        </row>
        <row r="1120">
          <cell r="A1120">
            <v>91</v>
          </cell>
        </row>
        <row r="1121">
          <cell r="A1121">
            <v>92</v>
          </cell>
        </row>
        <row r="1122">
          <cell r="A1122">
            <v>93</v>
          </cell>
        </row>
        <row r="1123">
          <cell r="A1123">
            <v>94</v>
          </cell>
        </row>
        <row r="1124">
          <cell r="A1124">
            <v>95</v>
          </cell>
        </row>
        <row r="1125">
          <cell r="A1125">
            <v>96</v>
          </cell>
        </row>
        <row r="1126">
          <cell r="A1126">
            <v>97</v>
          </cell>
        </row>
        <row r="1127">
          <cell r="A1127">
            <v>98</v>
          </cell>
        </row>
        <row r="1128">
          <cell r="A1128">
            <v>99</v>
          </cell>
        </row>
        <row r="1129">
          <cell r="A1129">
            <v>100</v>
          </cell>
        </row>
        <row r="1130">
          <cell r="A1130">
            <v>101</v>
          </cell>
        </row>
        <row r="1131">
          <cell r="A1131">
            <v>102</v>
          </cell>
        </row>
        <row r="1132">
          <cell r="A1132">
            <v>103</v>
          </cell>
        </row>
        <row r="1133">
          <cell r="A1133">
            <v>104</v>
          </cell>
        </row>
        <row r="1134">
          <cell r="A1134">
            <v>105</v>
          </cell>
        </row>
        <row r="1135">
          <cell r="A1135">
            <v>106</v>
          </cell>
        </row>
        <row r="1136">
          <cell r="A1136">
            <v>107</v>
          </cell>
        </row>
        <row r="1137">
          <cell r="A1137">
            <v>108</v>
          </cell>
        </row>
        <row r="1138">
          <cell r="A1138">
            <v>109</v>
          </cell>
        </row>
        <row r="1139">
          <cell r="A1139">
            <v>110</v>
          </cell>
        </row>
        <row r="1140">
          <cell r="A1140" t="str">
            <v xml:space="preserve"> </v>
          </cell>
        </row>
        <row r="1143">
          <cell r="A1143">
            <v>111</v>
          </cell>
        </row>
        <row r="1144">
          <cell r="A1144">
            <v>112</v>
          </cell>
        </row>
        <row r="1145">
          <cell r="A1145">
            <v>113</v>
          </cell>
        </row>
        <row r="1146">
          <cell r="A1146">
            <v>114</v>
          </cell>
        </row>
        <row r="1147">
          <cell r="A1147">
            <v>115</v>
          </cell>
        </row>
        <row r="1148">
          <cell r="A1148">
            <v>116</v>
          </cell>
        </row>
        <row r="1149">
          <cell r="A1149">
            <v>117</v>
          </cell>
        </row>
        <row r="1150">
          <cell r="A1150">
            <v>118</v>
          </cell>
        </row>
        <row r="1151">
          <cell r="A1151">
            <v>119</v>
          </cell>
        </row>
        <row r="1157">
          <cell r="A1157">
            <v>120</v>
          </cell>
        </row>
        <row r="1158">
          <cell r="A1158" t="str">
            <v xml:space="preserve"> </v>
          </cell>
        </row>
        <row r="1193">
          <cell r="A1193">
            <v>121</v>
          </cell>
        </row>
        <row r="1194">
          <cell r="A1194" t="str">
            <v xml:space="preserve"> </v>
          </cell>
        </row>
        <row r="1220">
          <cell r="A1220">
            <v>122</v>
          </cell>
        </row>
        <row r="1221">
          <cell r="A1221" t="str">
            <v xml:space="preserve"> </v>
          </cell>
        </row>
        <row r="1244">
          <cell r="A1244">
            <v>123</v>
          </cell>
        </row>
        <row r="1245">
          <cell r="A1245" t="str">
            <v xml:space="preserve"> </v>
          </cell>
        </row>
        <row r="1266">
          <cell r="A1266">
            <v>124</v>
          </cell>
        </row>
        <row r="1267">
          <cell r="A1267" t="str">
            <v xml:space="preserve"> </v>
          </cell>
        </row>
        <row r="1288">
          <cell r="A1288">
            <v>125</v>
          </cell>
        </row>
        <row r="1289">
          <cell r="A1289" t="str">
            <v xml:space="preserve"> </v>
          </cell>
        </row>
        <row r="1313">
          <cell r="A1313">
            <v>126</v>
          </cell>
        </row>
        <row r="1314">
          <cell r="A1314" t="str">
            <v xml:space="preserve"> </v>
          </cell>
        </row>
        <row r="1338">
          <cell r="A1338">
            <v>127</v>
          </cell>
        </row>
        <row r="1369">
          <cell r="A1369">
            <v>128</v>
          </cell>
        </row>
        <row r="1380">
          <cell r="A1380">
            <v>129</v>
          </cell>
        </row>
        <row r="1388">
          <cell r="A1388">
            <v>130</v>
          </cell>
        </row>
        <row r="1401">
          <cell r="A1401" t="str">
            <v>1.</v>
          </cell>
        </row>
        <row r="1404">
          <cell r="A1404" t="str">
            <v>2.</v>
          </cell>
        </row>
        <row r="1406">
          <cell r="A1406" t="str">
            <v>3.</v>
          </cell>
        </row>
        <row r="1407">
          <cell r="A1407" t="str">
            <v>4.</v>
          </cell>
        </row>
        <row r="1408">
          <cell r="A1408" t="str">
            <v>5.</v>
          </cell>
        </row>
        <row r="1409">
          <cell r="A1409" t="str">
            <v>6.</v>
          </cell>
        </row>
        <row r="1410">
          <cell r="A1410" t="str">
            <v>7.</v>
          </cell>
        </row>
        <row r="1411">
          <cell r="A1411" t="str">
            <v>8.</v>
          </cell>
        </row>
        <row r="1412">
          <cell r="A1412" t="str">
            <v>9.</v>
          </cell>
        </row>
        <row r="1413">
          <cell r="A1413" t="str">
            <v>10.</v>
          </cell>
        </row>
        <row r="1414">
          <cell r="A1414" t="str">
            <v>11.</v>
          </cell>
        </row>
        <row r="1415">
          <cell r="A1415" t="str">
            <v>12.</v>
          </cell>
        </row>
        <row r="1416">
          <cell r="A1416" t="str">
            <v>13.</v>
          </cell>
        </row>
        <row r="1417">
          <cell r="A1417" t="str">
            <v>14.</v>
          </cell>
        </row>
        <row r="1418">
          <cell r="A1418" t="str">
            <v>15.</v>
          </cell>
        </row>
        <row r="1419">
          <cell r="A1419" t="str">
            <v>16.</v>
          </cell>
        </row>
        <row r="1420">
          <cell r="A1420" t="str">
            <v>17.</v>
          </cell>
        </row>
        <row r="1422">
          <cell r="A1422" t="str">
            <v>18.</v>
          </cell>
        </row>
        <row r="1424">
          <cell r="A1424" t="str">
            <v>19.</v>
          </cell>
        </row>
        <row r="1425">
          <cell r="A1425" t="str">
            <v>20.</v>
          </cell>
        </row>
        <row r="1426">
          <cell r="A1426" t="str">
            <v>21.</v>
          </cell>
        </row>
        <row r="1427">
          <cell r="A1427" t="str">
            <v>22.</v>
          </cell>
        </row>
        <row r="1428">
          <cell r="A1428" t="str">
            <v>23.</v>
          </cell>
        </row>
        <row r="1429">
          <cell r="A1429" t="str">
            <v>24.</v>
          </cell>
        </row>
        <row r="1430">
          <cell r="A1430" t="str">
            <v>25.</v>
          </cell>
        </row>
        <row r="1431">
          <cell r="A1431" t="str">
            <v>26.</v>
          </cell>
        </row>
        <row r="1432">
          <cell r="A1432" t="str">
            <v>27.</v>
          </cell>
        </row>
        <row r="1433">
          <cell r="A1433" t="str">
            <v>28.</v>
          </cell>
        </row>
        <row r="1434">
          <cell r="A1434" t="str">
            <v>29.</v>
          </cell>
        </row>
        <row r="1435">
          <cell r="A1435" t="str">
            <v>30.</v>
          </cell>
        </row>
        <row r="1436">
          <cell r="A1436" t="str">
            <v>31.</v>
          </cell>
        </row>
        <row r="1440">
          <cell r="A1440" t="str">
            <v>32.</v>
          </cell>
        </row>
        <row r="1442">
          <cell r="A1442" t="str">
            <v>33.</v>
          </cell>
        </row>
        <row r="1443">
          <cell r="A1443" t="str">
            <v>34.</v>
          </cell>
        </row>
        <row r="1444">
          <cell r="A1444" t="str">
            <v>35.</v>
          </cell>
        </row>
        <row r="1445">
          <cell r="A1445" t="str">
            <v>36.</v>
          </cell>
        </row>
        <row r="1446">
          <cell r="A1446" t="str">
            <v>37.</v>
          </cell>
        </row>
        <row r="1447">
          <cell r="A1447" t="str">
            <v>38.</v>
          </cell>
        </row>
        <row r="1448">
          <cell r="A1448" t="str">
            <v>39.</v>
          </cell>
        </row>
        <row r="1449">
          <cell r="A1449" t="str">
            <v>40.</v>
          </cell>
        </row>
        <row r="1450">
          <cell r="A1450" t="str">
            <v>41.</v>
          </cell>
        </row>
        <row r="1451">
          <cell r="A1451" t="str">
            <v>42.</v>
          </cell>
        </row>
        <row r="1452">
          <cell r="A1452" t="str">
            <v>43.</v>
          </cell>
        </row>
        <row r="1453">
          <cell r="A1453" t="str">
            <v>44.</v>
          </cell>
        </row>
        <row r="1457">
          <cell r="A1457" t="str">
            <v>1.</v>
          </cell>
        </row>
        <row r="1459">
          <cell r="A1459" t="str">
            <v>2.</v>
          </cell>
        </row>
        <row r="1461">
          <cell r="A1461" t="str">
            <v>3.</v>
          </cell>
        </row>
        <row r="1462">
          <cell r="A1462" t="str">
            <v>4.</v>
          </cell>
        </row>
        <row r="1463">
          <cell r="A1463" t="str">
            <v>5.</v>
          </cell>
        </row>
        <row r="1464">
          <cell r="A1464" t="str">
            <v>6.</v>
          </cell>
        </row>
        <row r="1465">
          <cell r="A1465" t="str">
            <v>7.</v>
          </cell>
        </row>
        <row r="1466">
          <cell r="A1466" t="str">
            <v>8.</v>
          </cell>
        </row>
        <row r="1467">
          <cell r="A1467" t="str">
            <v>9.</v>
          </cell>
        </row>
        <row r="1468">
          <cell r="A1468" t="str">
            <v>10.</v>
          </cell>
        </row>
        <row r="1470">
          <cell r="A1470" t="str">
            <v>11.</v>
          </cell>
        </row>
        <row r="1473">
          <cell r="A1473" t="str">
            <v>12.</v>
          </cell>
        </row>
        <row r="1475">
          <cell r="A1475" t="str">
            <v>13.</v>
          </cell>
        </row>
        <row r="1476">
          <cell r="A1476" t="str">
            <v>14.</v>
          </cell>
        </row>
        <row r="1477">
          <cell r="A1477" t="str">
            <v>15.</v>
          </cell>
        </row>
        <row r="1478">
          <cell r="A1478" t="str">
            <v>16.</v>
          </cell>
        </row>
        <row r="1479">
          <cell r="A1479" t="str">
            <v>17.</v>
          </cell>
        </row>
        <row r="1480">
          <cell r="A1480" t="str">
            <v>18.</v>
          </cell>
        </row>
        <row r="1481">
          <cell r="A1481" t="str">
            <v>19.</v>
          </cell>
        </row>
        <row r="1484">
          <cell r="A1484" t="str">
            <v>20.</v>
          </cell>
        </row>
        <row r="1487">
          <cell r="A1487" t="str">
            <v>21.</v>
          </cell>
        </row>
        <row r="1490">
          <cell r="A1490" t="str">
            <v>22.</v>
          </cell>
        </row>
        <row r="1493">
          <cell r="A1493" t="str">
            <v>23.</v>
          </cell>
        </row>
        <row r="1494">
          <cell r="A1494" t="str">
            <v>24.</v>
          </cell>
        </row>
        <row r="1495">
          <cell r="A1495" t="str">
            <v>25.</v>
          </cell>
        </row>
        <row r="1496">
          <cell r="A1496" t="str">
            <v>26.</v>
          </cell>
        </row>
        <row r="1497">
          <cell r="A1497" t="str">
            <v>27.</v>
          </cell>
        </row>
        <row r="1498">
          <cell r="A1498" t="str">
            <v>28.</v>
          </cell>
        </row>
        <row r="1499">
          <cell r="A1499" t="str">
            <v>29.</v>
          </cell>
        </row>
        <row r="1500">
          <cell r="A1500" t="str">
            <v>30.</v>
          </cell>
        </row>
        <row r="1501">
          <cell r="A1501" t="str">
            <v>31.</v>
          </cell>
        </row>
        <row r="1502">
          <cell r="A1502" t="str">
            <v>32.</v>
          </cell>
        </row>
        <row r="1503">
          <cell r="A1503" t="str">
            <v>33.</v>
          </cell>
        </row>
        <row r="1509">
          <cell r="A1509" t="str">
            <v>1.</v>
          </cell>
        </row>
        <row r="1521">
          <cell r="A1521" t="str">
            <v>2.</v>
          </cell>
        </row>
        <row r="1535">
          <cell r="A1535" t="str">
            <v>3.</v>
          </cell>
        </row>
        <row r="1542">
          <cell r="A1542" t="str">
            <v>4.</v>
          </cell>
        </row>
        <row r="1554">
          <cell r="A1554" t="str">
            <v>5.</v>
          </cell>
        </row>
        <row r="1562">
          <cell r="A1562" t="str">
            <v>6.</v>
          </cell>
        </row>
        <row r="1569">
          <cell r="A1569" t="str">
            <v>7.</v>
          </cell>
        </row>
        <row r="1575">
          <cell r="A1575" t="str">
            <v>8.</v>
          </cell>
        </row>
        <row r="1581">
          <cell r="A1581" t="str">
            <v>9.</v>
          </cell>
        </row>
        <row r="1588">
          <cell r="A1588" t="str">
            <v>10.</v>
          </cell>
        </row>
        <row r="1594">
          <cell r="A1594" t="str">
            <v>11.</v>
          </cell>
        </row>
        <row r="1599">
          <cell r="A1599" t="str">
            <v>12.</v>
          </cell>
        </row>
        <row r="1603">
          <cell r="A1603">
            <v>13</v>
          </cell>
        </row>
        <row r="1608">
          <cell r="A1608" t="str">
            <v>14.</v>
          </cell>
        </row>
        <row r="1612">
          <cell r="A1612" t="str">
            <v>15.</v>
          </cell>
        </row>
        <row r="1618">
          <cell r="A1618" t="str">
            <v>16.</v>
          </cell>
        </row>
        <row r="1621">
          <cell r="A1621" t="str">
            <v>17.</v>
          </cell>
        </row>
        <row r="1624">
          <cell r="A1624" t="str">
            <v>18.</v>
          </cell>
        </row>
        <row r="1629">
          <cell r="A1629" t="str">
            <v>19.</v>
          </cell>
        </row>
        <row r="1634">
          <cell r="A1634" t="str">
            <v>20.</v>
          </cell>
        </row>
        <row r="1639">
          <cell r="A1639" t="str">
            <v>21.</v>
          </cell>
        </row>
        <row r="1642">
          <cell r="A1642" t="str">
            <v>22.</v>
          </cell>
        </row>
        <row r="1645">
          <cell r="A1645" t="str">
            <v>23.</v>
          </cell>
        </row>
        <row r="1649">
          <cell r="A1649" t="str">
            <v>24.</v>
          </cell>
        </row>
        <row r="1652">
          <cell r="A1652" t="str">
            <v>25.</v>
          </cell>
        </row>
        <row r="1655">
          <cell r="A1655" t="str">
            <v>26.</v>
          </cell>
        </row>
        <row r="1658">
          <cell r="A1658" t="str">
            <v>27.</v>
          </cell>
        </row>
        <row r="1661">
          <cell r="A1661" t="str">
            <v>28.</v>
          </cell>
        </row>
        <row r="1665">
          <cell r="A1665" t="str">
            <v>29.</v>
          </cell>
        </row>
        <row r="1669">
          <cell r="A1669" t="str">
            <v>30.</v>
          </cell>
        </row>
        <row r="1673">
          <cell r="A1673" t="str">
            <v>31.</v>
          </cell>
        </row>
        <row r="1678">
          <cell r="A1678" t="str">
            <v>32.</v>
          </cell>
        </row>
        <row r="1683">
          <cell r="A1683" t="str">
            <v>33.</v>
          </cell>
        </row>
        <row r="1687">
          <cell r="A1687" t="str">
            <v>34.</v>
          </cell>
        </row>
        <row r="1691">
          <cell r="A1691" t="str">
            <v>35.</v>
          </cell>
        </row>
        <row r="1698">
          <cell r="A1698">
            <v>1</v>
          </cell>
        </row>
        <row r="1699">
          <cell r="A1699">
            <v>2</v>
          </cell>
        </row>
        <row r="1700">
          <cell r="A1700">
            <v>3</v>
          </cell>
        </row>
        <row r="1701">
          <cell r="A1701">
            <v>4</v>
          </cell>
        </row>
        <row r="1702">
          <cell r="A1702">
            <v>5</v>
          </cell>
        </row>
        <row r="1703">
          <cell r="A1703">
            <v>6</v>
          </cell>
        </row>
        <row r="1704">
          <cell r="A1704">
            <v>7</v>
          </cell>
        </row>
        <row r="1705">
          <cell r="A1705">
            <v>8</v>
          </cell>
        </row>
        <row r="1706">
          <cell r="A1706">
            <v>9</v>
          </cell>
        </row>
        <row r="1707">
          <cell r="A1707">
            <v>10</v>
          </cell>
        </row>
        <row r="1708">
          <cell r="A1708">
            <v>11</v>
          </cell>
        </row>
        <row r="1709">
          <cell r="A1709">
            <v>12</v>
          </cell>
        </row>
        <row r="1710">
          <cell r="A1710">
            <v>13</v>
          </cell>
        </row>
        <row r="1711">
          <cell r="A1711">
            <v>14</v>
          </cell>
        </row>
        <row r="1712">
          <cell r="A1712">
            <v>15</v>
          </cell>
        </row>
        <row r="1713">
          <cell r="A1713">
            <v>16</v>
          </cell>
        </row>
        <row r="1714">
          <cell r="A1714">
            <v>17</v>
          </cell>
        </row>
        <row r="1715">
          <cell r="A1715">
            <v>18</v>
          </cell>
        </row>
        <row r="1716">
          <cell r="A1716">
            <v>19</v>
          </cell>
        </row>
        <row r="1720">
          <cell r="A1720">
            <v>1</v>
          </cell>
        </row>
        <row r="1721">
          <cell r="A1721">
            <v>2</v>
          </cell>
        </row>
        <row r="1722">
          <cell r="A1722">
            <v>3</v>
          </cell>
        </row>
        <row r="1723">
          <cell r="A1723">
            <v>4</v>
          </cell>
        </row>
        <row r="1724">
          <cell r="A1724">
            <v>5</v>
          </cell>
        </row>
        <row r="1725">
          <cell r="A1725">
            <v>6</v>
          </cell>
        </row>
        <row r="1726">
          <cell r="A1726">
            <v>7</v>
          </cell>
        </row>
        <row r="1727">
          <cell r="A1727">
            <v>8</v>
          </cell>
        </row>
        <row r="1728">
          <cell r="A1728">
            <v>9</v>
          </cell>
        </row>
        <row r="1729">
          <cell r="A1729">
            <v>10</v>
          </cell>
        </row>
        <row r="1730">
          <cell r="A1730">
            <v>11</v>
          </cell>
        </row>
        <row r="1731">
          <cell r="A1731">
            <v>12</v>
          </cell>
        </row>
        <row r="1732">
          <cell r="A1732">
            <v>13</v>
          </cell>
        </row>
        <row r="1733">
          <cell r="A1733">
            <v>14</v>
          </cell>
        </row>
        <row r="1734">
          <cell r="A1734">
            <v>15</v>
          </cell>
        </row>
        <row r="1735">
          <cell r="A1735">
            <v>16</v>
          </cell>
        </row>
        <row r="1736">
          <cell r="A1736">
            <v>17</v>
          </cell>
        </row>
        <row r="1737">
          <cell r="A1737">
            <v>18</v>
          </cell>
        </row>
        <row r="1738">
          <cell r="A1738">
            <v>19</v>
          </cell>
        </row>
        <row r="1739">
          <cell r="A1739">
            <v>20</v>
          </cell>
        </row>
        <row r="1740">
          <cell r="A1740">
            <v>21</v>
          </cell>
        </row>
        <row r="1741">
          <cell r="A1741">
            <v>22</v>
          </cell>
        </row>
        <row r="1742">
          <cell r="A1742">
            <v>23</v>
          </cell>
        </row>
        <row r="1743">
          <cell r="A1743">
            <v>24</v>
          </cell>
        </row>
        <row r="1744">
          <cell r="A1744">
            <v>25</v>
          </cell>
        </row>
        <row r="1745">
          <cell r="A1745">
            <v>26</v>
          </cell>
        </row>
        <row r="1746">
          <cell r="A1746">
            <v>27</v>
          </cell>
        </row>
        <row r="1747">
          <cell r="A1747">
            <v>28</v>
          </cell>
        </row>
        <row r="1748">
          <cell r="A1748">
            <v>29</v>
          </cell>
        </row>
        <row r="1749">
          <cell r="A1749">
            <v>30</v>
          </cell>
        </row>
        <row r="1754">
          <cell r="A1754">
            <v>31</v>
          </cell>
        </row>
        <row r="1760">
          <cell r="A1760">
            <v>32</v>
          </cell>
        </row>
        <row r="1763">
          <cell r="A1763">
            <v>33</v>
          </cell>
        </row>
        <row r="1765">
          <cell r="A1765">
            <v>34</v>
          </cell>
        </row>
        <row r="1769">
          <cell r="A1769">
            <v>1</v>
          </cell>
        </row>
        <row r="1770">
          <cell r="A1770">
            <v>2</v>
          </cell>
        </row>
        <row r="1771">
          <cell r="A1771">
            <v>3</v>
          </cell>
        </row>
        <row r="1772">
          <cell r="A1772">
            <v>4</v>
          </cell>
        </row>
        <row r="1773">
          <cell r="A1773">
            <v>5</v>
          </cell>
        </row>
        <row r="1774">
          <cell r="A1774">
            <v>6</v>
          </cell>
        </row>
        <row r="1775">
          <cell r="A1775">
            <v>7</v>
          </cell>
        </row>
        <row r="1776">
          <cell r="A1776">
            <v>8</v>
          </cell>
        </row>
        <row r="1777">
          <cell r="A1777">
            <v>9</v>
          </cell>
        </row>
        <row r="1778">
          <cell r="A1778">
            <v>10</v>
          </cell>
        </row>
        <row r="1779">
          <cell r="A1779">
            <v>11</v>
          </cell>
        </row>
        <row r="1780">
          <cell r="A1780">
            <v>12</v>
          </cell>
        </row>
        <row r="1781">
          <cell r="A1781">
            <v>13</v>
          </cell>
        </row>
        <row r="1782">
          <cell r="A1782">
            <v>14</v>
          </cell>
        </row>
        <row r="1783">
          <cell r="A1783">
            <v>15</v>
          </cell>
        </row>
        <row r="1784">
          <cell r="A1784">
            <v>16</v>
          </cell>
        </row>
        <row r="1785">
          <cell r="A1785">
            <v>17</v>
          </cell>
        </row>
        <row r="1789">
          <cell r="A1789">
            <v>1</v>
          </cell>
        </row>
        <row r="1790">
          <cell r="A1790">
            <v>2</v>
          </cell>
        </row>
        <row r="1791">
          <cell r="A1791">
            <v>3</v>
          </cell>
        </row>
        <row r="1792">
          <cell r="A1792">
            <v>4</v>
          </cell>
        </row>
        <row r="1793">
          <cell r="A1793">
            <v>5</v>
          </cell>
        </row>
        <row r="1794">
          <cell r="A1794">
            <v>6</v>
          </cell>
        </row>
        <row r="1795">
          <cell r="A1795">
            <v>7</v>
          </cell>
        </row>
        <row r="1796">
          <cell r="A1796">
            <v>8</v>
          </cell>
        </row>
        <row r="1797">
          <cell r="A1797">
            <v>9</v>
          </cell>
        </row>
        <row r="1798">
          <cell r="A1798">
            <v>10</v>
          </cell>
        </row>
        <row r="1799">
          <cell r="A1799">
            <v>11</v>
          </cell>
        </row>
        <row r="1800">
          <cell r="A1800">
            <v>12</v>
          </cell>
        </row>
        <row r="1801">
          <cell r="A1801">
            <v>13</v>
          </cell>
        </row>
        <row r="1802">
          <cell r="A1802">
            <v>14</v>
          </cell>
        </row>
        <row r="1803">
          <cell r="A1803">
            <v>15</v>
          </cell>
        </row>
        <row r="1804">
          <cell r="A1804">
            <v>16</v>
          </cell>
        </row>
        <row r="1805">
          <cell r="A1805">
            <v>17</v>
          </cell>
        </row>
        <row r="1806">
          <cell r="A1806">
            <v>18</v>
          </cell>
        </row>
        <row r="1807">
          <cell r="A1807">
            <v>19</v>
          </cell>
        </row>
        <row r="1808">
          <cell r="A1808">
            <v>20</v>
          </cell>
        </row>
        <row r="1809">
          <cell r="A1809">
            <v>21</v>
          </cell>
        </row>
        <row r="1810">
          <cell r="A1810">
            <v>22</v>
          </cell>
        </row>
        <row r="1816">
          <cell r="A1816">
            <v>1</v>
          </cell>
        </row>
        <row r="1817">
          <cell r="A1817">
            <v>2</v>
          </cell>
        </row>
        <row r="1818">
          <cell r="A1818">
            <v>3</v>
          </cell>
        </row>
        <row r="1819">
          <cell r="A1819">
            <v>4</v>
          </cell>
        </row>
        <row r="1820">
          <cell r="A1820">
            <v>5</v>
          </cell>
        </row>
        <row r="1821">
          <cell r="A1821">
            <v>6</v>
          </cell>
        </row>
        <row r="1822">
          <cell r="A1822">
            <v>7</v>
          </cell>
        </row>
        <row r="1823">
          <cell r="A1823">
            <v>8</v>
          </cell>
        </row>
        <row r="1824">
          <cell r="A1824">
            <v>9</v>
          </cell>
        </row>
        <row r="1825">
          <cell r="A1825">
            <v>10</v>
          </cell>
        </row>
        <row r="1826">
          <cell r="A1826">
            <v>11</v>
          </cell>
        </row>
        <row r="1827">
          <cell r="A1827">
            <v>12</v>
          </cell>
        </row>
        <row r="1828">
          <cell r="A1828">
            <v>13</v>
          </cell>
        </row>
        <row r="1829">
          <cell r="A1829">
            <v>14</v>
          </cell>
        </row>
        <row r="1830">
          <cell r="A1830">
            <v>15</v>
          </cell>
        </row>
        <row r="1831">
          <cell r="A1831">
            <v>16</v>
          </cell>
        </row>
        <row r="1832">
          <cell r="A1832">
            <v>17</v>
          </cell>
        </row>
        <row r="1833">
          <cell r="A1833">
            <v>18</v>
          </cell>
        </row>
        <row r="1834">
          <cell r="A1834">
            <v>19</v>
          </cell>
        </row>
        <row r="1835">
          <cell r="A1835">
            <v>20</v>
          </cell>
        </row>
        <row r="1836">
          <cell r="A1836">
            <v>21</v>
          </cell>
        </row>
        <row r="1837">
          <cell r="A1837">
            <v>22</v>
          </cell>
        </row>
        <row r="1838">
          <cell r="A1838">
            <v>23</v>
          </cell>
        </row>
        <row r="1839">
          <cell r="A1839">
            <v>24</v>
          </cell>
        </row>
        <row r="1840">
          <cell r="A1840">
            <v>25</v>
          </cell>
        </row>
        <row r="1841">
          <cell r="A1841">
            <v>26</v>
          </cell>
        </row>
        <row r="1842">
          <cell r="A1842">
            <v>27</v>
          </cell>
        </row>
        <row r="1843">
          <cell r="A1843">
            <v>28</v>
          </cell>
        </row>
        <row r="1844">
          <cell r="A1844">
            <v>29</v>
          </cell>
        </row>
        <row r="1845">
          <cell r="A1845">
            <v>30</v>
          </cell>
        </row>
        <row r="1847">
          <cell r="A1847">
            <v>31</v>
          </cell>
        </row>
        <row r="1862">
          <cell r="A1862">
            <v>32</v>
          </cell>
        </row>
        <row r="1868">
          <cell r="A1868">
            <v>33</v>
          </cell>
        </row>
        <row r="1869">
          <cell r="A1869">
            <v>34</v>
          </cell>
        </row>
        <row r="1870">
          <cell r="A1870">
            <v>35</v>
          </cell>
        </row>
        <row r="1871">
          <cell r="A1871">
            <v>36</v>
          </cell>
        </row>
        <row r="1872">
          <cell r="A1872">
            <v>37</v>
          </cell>
        </row>
        <row r="1873">
          <cell r="A1873">
            <v>38</v>
          </cell>
        </row>
        <row r="1874">
          <cell r="A1874">
            <v>39</v>
          </cell>
        </row>
        <row r="1875">
          <cell r="A1875">
            <v>40</v>
          </cell>
        </row>
        <row r="1876">
          <cell r="A1876">
            <v>41</v>
          </cell>
        </row>
        <row r="1877">
          <cell r="A1877">
            <v>42</v>
          </cell>
        </row>
        <row r="1878">
          <cell r="A1878">
            <v>43</v>
          </cell>
        </row>
        <row r="1879">
          <cell r="A1879">
            <v>44</v>
          </cell>
        </row>
        <row r="1880">
          <cell r="A1880">
            <v>45</v>
          </cell>
        </row>
        <row r="1881">
          <cell r="A1881">
            <v>46</v>
          </cell>
        </row>
        <row r="1885">
          <cell r="A1885">
            <v>1</v>
          </cell>
        </row>
        <row r="1886">
          <cell r="A1886">
            <v>2</v>
          </cell>
        </row>
        <row r="1887">
          <cell r="A1887">
            <v>3</v>
          </cell>
        </row>
        <row r="1888">
          <cell r="A1888">
            <v>4</v>
          </cell>
        </row>
        <row r="1889">
          <cell r="A1889">
            <v>5</v>
          </cell>
        </row>
        <row r="1890">
          <cell r="A1890">
            <v>6</v>
          </cell>
        </row>
        <row r="1891">
          <cell r="A1891">
            <v>7</v>
          </cell>
        </row>
        <row r="1892">
          <cell r="A1892">
            <v>8</v>
          </cell>
        </row>
        <row r="1893">
          <cell r="A1893">
            <v>9</v>
          </cell>
        </row>
        <row r="1894">
          <cell r="A1894">
            <v>10</v>
          </cell>
        </row>
        <row r="1895">
          <cell r="A1895">
            <v>11</v>
          </cell>
        </row>
        <row r="1896">
          <cell r="A1896">
            <v>12</v>
          </cell>
        </row>
        <row r="1897">
          <cell r="A1897">
            <v>13</v>
          </cell>
        </row>
        <row r="1898">
          <cell r="A1898">
            <v>14</v>
          </cell>
        </row>
        <row r="1899">
          <cell r="A1899">
            <v>15</v>
          </cell>
        </row>
        <row r="1900">
          <cell r="A1900">
            <v>16</v>
          </cell>
        </row>
        <row r="1901">
          <cell r="A1901">
            <v>17</v>
          </cell>
        </row>
        <row r="1902">
          <cell r="A1902">
            <v>18</v>
          </cell>
        </row>
        <row r="1903">
          <cell r="A1903">
            <v>19</v>
          </cell>
        </row>
        <row r="1904">
          <cell r="A1904">
            <v>20</v>
          </cell>
        </row>
        <row r="1905">
          <cell r="A1905">
            <v>21</v>
          </cell>
        </row>
        <row r="1906">
          <cell r="A1906">
            <v>22</v>
          </cell>
        </row>
        <row r="1907">
          <cell r="A1907">
            <v>23</v>
          </cell>
        </row>
        <row r="1908">
          <cell r="A1908">
            <v>24</v>
          </cell>
        </row>
        <row r="1909">
          <cell r="A1909">
            <v>25</v>
          </cell>
        </row>
        <row r="1910">
          <cell r="A1910">
            <v>26</v>
          </cell>
        </row>
        <row r="1911">
          <cell r="A1911">
            <v>27</v>
          </cell>
        </row>
        <row r="1912">
          <cell r="A1912">
            <v>28</v>
          </cell>
        </row>
        <row r="1913">
          <cell r="A1913">
            <v>29</v>
          </cell>
        </row>
        <row r="1914">
          <cell r="A1914">
            <v>30</v>
          </cell>
        </row>
        <row r="1915">
          <cell r="A1915">
            <v>31</v>
          </cell>
        </row>
        <row r="1922">
          <cell r="A1922" t="str">
            <v>1.</v>
          </cell>
        </row>
        <row r="1948">
          <cell r="A1948" t="str">
            <v>1.</v>
          </cell>
        </row>
        <row r="1951">
          <cell r="A1951" t="str">
            <v>2.</v>
          </cell>
        </row>
        <row r="1954">
          <cell r="A1954" t="str">
            <v>3.</v>
          </cell>
        </row>
        <row r="1958">
          <cell r="A1958" t="str">
            <v>4.</v>
          </cell>
        </row>
        <row r="1961">
          <cell r="A1961" t="str">
            <v>5.</v>
          </cell>
        </row>
        <row r="1964">
          <cell r="A1964" t="str">
            <v>6.</v>
          </cell>
        </row>
        <row r="1967">
          <cell r="A1967" t="str">
            <v>7.</v>
          </cell>
        </row>
        <row r="1970">
          <cell r="A1970" t="str">
            <v>8.</v>
          </cell>
        </row>
        <row r="1974">
          <cell r="A1974" t="str">
            <v>9.</v>
          </cell>
        </row>
        <row r="1977">
          <cell r="A1977" t="str">
            <v>10.</v>
          </cell>
        </row>
        <row r="1979">
          <cell r="A1979" t="str">
            <v>11.</v>
          </cell>
        </row>
        <row r="1981">
          <cell r="A1981" t="str">
            <v>12.</v>
          </cell>
        </row>
        <row r="1984">
          <cell r="A1984" t="str">
            <v>13.</v>
          </cell>
        </row>
        <row r="1989">
          <cell r="A1989" t="str">
            <v>14.</v>
          </cell>
        </row>
        <row r="1993">
          <cell r="A1993" t="str">
            <v>15.</v>
          </cell>
        </row>
        <row r="1996">
          <cell r="A1996" t="str">
            <v>16.</v>
          </cell>
        </row>
        <row r="2000">
          <cell r="A2000" t="str">
            <v>17.</v>
          </cell>
        </row>
        <row r="2002">
          <cell r="A2002" t="str">
            <v>18.</v>
          </cell>
        </row>
        <row r="2004">
          <cell r="A2004" t="str">
            <v>19.</v>
          </cell>
        </row>
        <row r="2006">
          <cell r="A2006" t="str">
            <v>20.</v>
          </cell>
        </row>
        <row r="2009">
          <cell r="A2009" t="str">
            <v>1.</v>
          </cell>
        </row>
        <row r="2014">
          <cell r="A2014" t="str">
            <v>2.</v>
          </cell>
        </row>
        <row r="2019">
          <cell r="A2019" t="str">
            <v>3.</v>
          </cell>
        </row>
        <row r="2023">
          <cell r="A2023" t="str">
            <v>4.</v>
          </cell>
        </row>
        <row r="2025">
          <cell r="A2025" t="str">
            <v>5.</v>
          </cell>
        </row>
        <row r="2027">
          <cell r="A2027" t="str">
            <v>6.</v>
          </cell>
        </row>
        <row r="2029">
          <cell r="A2029" t="str">
            <v>7.</v>
          </cell>
        </row>
        <row r="2031">
          <cell r="A2031" t="str">
            <v>8.</v>
          </cell>
        </row>
        <row r="2035">
          <cell r="A2035" t="str">
            <v>9.</v>
          </cell>
        </row>
        <row r="2039">
          <cell r="A2039" t="str">
            <v>1.</v>
          </cell>
        </row>
        <row r="2044">
          <cell r="A2044" t="str">
            <v>1.</v>
          </cell>
        </row>
        <row r="2047">
          <cell r="A2047" t="str">
            <v>2.</v>
          </cell>
        </row>
        <row r="2050">
          <cell r="A2050" t="str">
            <v>3.</v>
          </cell>
        </row>
        <row r="2054">
          <cell r="A2054" t="str">
            <v>4.</v>
          </cell>
        </row>
        <row r="2056">
          <cell r="A2056" t="str">
            <v>5.</v>
          </cell>
        </row>
        <row r="2058">
          <cell r="A2058" t="str">
            <v>6.</v>
          </cell>
        </row>
        <row r="2063">
          <cell r="A2063" t="str">
            <v>7.</v>
          </cell>
        </row>
        <row r="2066">
          <cell r="A2066" t="str">
            <v>8.</v>
          </cell>
        </row>
        <row r="2068">
          <cell r="A2068" t="str">
            <v>9.</v>
          </cell>
        </row>
        <row r="2075">
          <cell r="A2075">
            <v>1</v>
          </cell>
        </row>
        <row r="2087">
          <cell r="A2087" t="str">
            <v>1.1</v>
          </cell>
        </row>
        <row r="2091">
          <cell r="A2091" t="str">
            <v>2.1</v>
          </cell>
        </row>
        <row r="2093">
          <cell r="A2093" t="str">
            <v>2.2</v>
          </cell>
        </row>
        <row r="2095">
          <cell r="A2095" t="str">
            <v>2.3</v>
          </cell>
        </row>
        <row r="2099">
          <cell r="A2099" t="str">
            <v>3.1</v>
          </cell>
        </row>
        <row r="2101">
          <cell r="A2101" t="str">
            <v>3.2</v>
          </cell>
        </row>
        <row r="2106">
          <cell r="A2106" t="str">
            <v>4.1</v>
          </cell>
        </row>
        <row r="2108">
          <cell r="A2108" t="str">
            <v>4.2</v>
          </cell>
        </row>
        <row r="2112">
          <cell r="A2112" t="str">
            <v>5.1</v>
          </cell>
        </row>
        <row r="2114">
          <cell r="A2114" t="str">
            <v>5.2</v>
          </cell>
        </row>
        <row r="2118">
          <cell r="A2118" t="str">
            <v>6.1</v>
          </cell>
        </row>
        <row r="2120">
          <cell r="A2120" t="str">
            <v>6.2</v>
          </cell>
        </row>
        <row r="2122">
          <cell r="A2122" t="str">
            <v>6.3</v>
          </cell>
        </row>
        <row r="2124">
          <cell r="A2124" t="str">
            <v>6.4</v>
          </cell>
        </row>
        <row r="2126">
          <cell r="A2126" t="str">
            <v>6.5</v>
          </cell>
        </row>
        <row r="2133">
          <cell r="A2133" t="str">
            <v>20.1</v>
          </cell>
        </row>
        <row r="2135">
          <cell r="A2135" t="str">
            <v>20.2</v>
          </cell>
        </row>
        <row r="2137">
          <cell r="A2137" t="str">
            <v>20.3</v>
          </cell>
        </row>
        <row r="2139">
          <cell r="A2139" t="str">
            <v>20.4</v>
          </cell>
        </row>
        <row r="2143">
          <cell r="A2143" t="str">
            <v>21.1</v>
          </cell>
        </row>
        <row r="2148">
          <cell r="A2148" t="str">
            <v>22.1</v>
          </cell>
        </row>
        <row r="2150">
          <cell r="A2150" t="str">
            <v>22.2</v>
          </cell>
        </row>
        <row r="2155">
          <cell r="A2155" t="str">
            <v>24.1</v>
          </cell>
        </row>
        <row r="2157">
          <cell r="A2157" t="str">
            <v>24.2</v>
          </cell>
        </row>
        <row r="2159">
          <cell r="A2159" t="str">
            <v>24.3</v>
          </cell>
        </row>
        <row r="2161">
          <cell r="A2161" t="str">
            <v>24.4</v>
          </cell>
        </row>
        <row r="2165">
          <cell r="A2165" t="str">
            <v>25.1</v>
          </cell>
        </row>
        <row r="2167">
          <cell r="A2167" t="str">
            <v>25.2</v>
          </cell>
        </row>
        <row r="2170">
          <cell r="A2170" t="str">
            <v>26.1</v>
          </cell>
        </row>
        <row r="2172">
          <cell r="A2172" t="str">
            <v>26.2</v>
          </cell>
        </row>
        <row r="2178">
          <cell r="A2178" t="str">
            <v>27.1</v>
          </cell>
        </row>
        <row r="2180">
          <cell r="A2180" t="str">
            <v>27.2</v>
          </cell>
        </row>
        <row r="2185">
          <cell r="A2185" t="str">
            <v>28.1</v>
          </cell>
        </row>
        <row r="2190">
          <cell r="A2190" t="str">
            <v>29.1</v>
          </cell>
        </row>
        <row r="2192">
          <cell r="A2192" t="str">
            <v>29.2</v>
          </cell>
        </row>
        <row r="2196">
          <cell r="A2196" t="str">
            <v>30.1</v>
          </cell>
        </row>
        <row r="2198">
          <cell r="A2198" t="str">
            <v>30.2</v>
          </cell>
        </row>
        <row r="2202">
          <cell r="A2202" t="str">
            <v>31.1</v>
          </cell>
        </row>
        <row r="2204">
          <cell r="A2204" t="str">
            <v>31.2</v>
          </cell>
        </row>
        <row r="2210">
          <cell r="A2210" t="str">
            <v>32.1</v>
          </cell>
        </row>
        <row r="2212">
          <cell r="A2212" t="str">
            <v>32.2</v>
          </cell>
        </row>
        <row r="2214">
          <cell r="A2214" t="str">
            <v>32.3</v>
          </cell>
        </row>
        <row r="2216">
          <cell r="A2216" t="str">
            <v>32.4</v>
          </cell>
        </row>
        <row r="2222">
          <cell r="A2222" t="str">
            <v>33.1</v>
          </cell>
        </row>
        <row r="2224">
          <cell r="A2224" t="str">
            <v>33.2</v>
          </cell>
        </row>
        <row r="2228">
          <cell r="A2228" t="str">
            <v>34.1</v>
          </cell>
        </row>
        <row r="2230">
          <cell r="A2230" t="str">
            <v>34.2</v>
          </cell>
        </row>
        <row r="2236">
          <cell r="A2236" t="str">
            <v>35.1</v>
          </cell>
        </row>
        <row r="2238">
          <cell r="A2238" t="str">
            <v>35.2</v>
          </cell>
        </row>
        <row r="2242">
          <cell r="A2242" t="str">
            <v>35a.1</v>
          </cell>
        </row>
        <row r="2248">
          <cell r="A2248" t="str">
            <v>36.1</v>
          </cell>
        </row>
        <row r="2252">
          <cell r="A2252" t="str">
            <v>37.1</v>
          </cell>
        </row>
        <row r="2259">
          <cell r="A2259" t="str">
            <v>38.1</v>
          </cell>
        </row>
        <row r="2261">
          <cell r="A2261" t="str">
            <v>38.2</v>
          </cell>
        </row>
        <row r="2265">
          <cell r="A2265" t="str">
            <v>39.1</v>
          </cell>
        </row>
        <row r="2270">
          <cell r="A2270" t="str">
            <v>40.1</v>
          </cell>
        </row>
        <row r="2272">
          <cell r="A2272" t="str">
            <v>40.2</v>
          </cell>
        </row>
        <row r="2276">
          <cell r="A2276" t="str">
            <v>42.1</v>
          </cell>
        </row>
        <row r="2278">
          <cell r="A2278" t="str">
            <v>42.2</v>
          </cell>
        </row>
        <row r="2280">
          <cell r="A2280" t="str">
            <v>42.3</v>
          </cell>
        </row>
        <row r="2282">
          <cell r="A2282" t="str">
            <v>42.4</v>
          </cell>
        </row>
        <row r="2287">
          <cell r="A2287" t="str">
            <v>50.1</v>
          </cell>
        </row>
        <row r="2290">
          <cell r="A2290" t="str">
            <v>51.1</v>
          </cell>
        </row>
        <row r="2292">
          <cell r="A2292" t="str">
            <v>51.2</v>
          </cell>
        </row>
        <row r="2296">
          <cell r="A2296" t="str">
            <v>52.1</v>
          </cell>
        </row>
        <row r="2300">
          <cell r="A2300" t="str">
            <v>60.1</v>
          </cell>
        </row>
        <row r="2303">
          <cell r="A2303" t="str">
            <v>60.2</v>
          </cell>
        </row>
        <row r="2305">
          <cell r="A2305" t="str">
            <v>60.3</v>
          </cell>
        </row>
        <row r="2307">
          <cell r="A2307" t="str">
            <v>60.4</v>
          </cell>
        </row>
        <row r="2311">
          <cell r="A2311" t="str">
            <v>61.1</v>
          </cell>
        </row>
        <row r="2314">
          <cell r="A2314" t="str">
            <v>61.2 a další</v>
          </cell>
        </row>
        <row r="2318">
          <cell r="A2318" t="str">
            <v>62.1</v>
          </cell>
        </row>
        <row r="2321">
          <cell r="A2321" t="str">
            <v>62.2 a další</v>
          </cell>
        </row>
      </sheetData>
      <sheetData sheetId="5">
        <row r="11">
          <cell r="A11" t="str">
            <v>1.</v>
          </cell>
        </row>
        <row r="12">
          <cell r="A12" t="str">
            <v>2.</v>
          </cell>
        </row>
        <row r="13">
          <cell r="A13" t="str">
            <v>3.</v>
          </cell>
        </row>
        <row r="15">
          <cell r="A15" t="str">
            <v>4.</v>
          </cell>
        </row>
        <row r="16">
          <cell r="A16" t="str">
            <v>5.</v>
          </cell>
        </row>
        <row r="19">
          <cell r="A19" t="str">
            <v>6.</v>
          </cell>
        </row>
        <row r="20">
          <cell r="A20" t="str">
            <v>7.</v>
          </cell>
        </row>
        <row r="21">
          <cell r="A21" t="str">
            <v>8.</v>
          </cell>
        </row>
        <row r="23">
          <cell r="A23" t="str">
            <v>9.</v>
          </cell>
        </row>
        <row r="24">
          <cell r="A24" t="str">
            <v>10.</v>
          </cell>
        </row>
        <row r="29">
          <cell r="A29" t="str">
            <v>1.</v>
          </cell>
        </row>
        <row r="30">
          <cell r="A30" t="str">
            <v>2.</v>
          </cell>
        </row>
        <row r="31">
          <cell r="A31" t="str">
            <v>3.</v>
          </cell>
        </row>
        <row r="32">
          <cell r="A32" t="str">
            <v>4.</v>
          </cell>
        </row>
        <row r="33">
          <cell r="A33" t="str">
            <v>6.</v>
          </cell>
        </row>
        <row r="34">
          <cell r="A34" t="str">
            <v>7.</v>
          </cell>
        </row>
        <row r="35">
          <cell r="A35" t="str">
            <v>8.</v>
          </cell>
        </row>
        <row r="36">
          <cell r="A36" t="str">
            <v>9.</v>
          </cell>
        </row>
        <row r="37">
          <cell r="A37" t="str">
            <v>10.</v>
          </cell>
        </row>
        <row r="42">
          <cell r="A42" t="str">
            <v>1.</v>
          </cell>
        </row>
        <row r="43">
          <cell r="A43" t="str">
            <v>2.</v>
          </cell>
        </row>
        <row r="44">
          <cell r="A44" t="str">
            <v>3.</v>
          </cell>
        </row>
        <row r="45">
          <cell r="A45" t="str">
            <v>4.</v>
          </cell>
        </row>
        <row r="46">
          <cell r="A46" t="str">
            <v>5.</v>
          </cell>
        </row>
        <row r="47">
          <cell r="A47" t="str">
            <v>6.</v>
          </cell>
        </row>
        <row r="48">
          <cell r="A48" t="str">
            <v>7.</v>
          </cell>
        </row>
        <row r="53">
          <cell r="A53" t="str">
            <v>1.</v>
          </cell>
        </row>
        <row r="54">
          <cell r="A54" t="str">
            <v>2.</v>
          </cell>
        </row>
        <row r="55">
          <cell r="A55" t="str">
            <v>3.</v>
          </cell>
        </row>
        <row r="56">
          <cell r="A56" t="str">
            <v>4.</v>
          </cell>
        </row>
        <row r="57">
          <cell r="A57" t="str">
            <v>5.</v>
          </cell>
        </row>
        <row r="58">
          <cell r="A58" t="str">
            <v>6.</v>
          </cell>
        </row>
        <row r="63">
          <cell r="A63" t="str">
            <v>1.</v>
          </cell>
        </row>
        <row r="64">
          <cell r="A64" t="str">
            <v>2.</v>
          </cell>
        </row>
        <row r="65">
          <cell r="A65" t="str">
            <v>3.</v>
          </cell>
        </row>
        <row r="66">
          <cell r="A66" t="str">
            <v>4.</v>
          </cell>
        </row>
        <row r="67">
          <cell r="A67" t="str">
            <v>5.</v>
          </cell>
        </row>
        <row r="68">
          <cell r="A68" t="str">
            <v>6.</v>
          </cell>
        </row>
        <row r="69">
          <cell r="A69" t="str">
            <v>7.</v>
          </cell>
        </row>
        <row r="70">
          <cell r="A70" t="str">
            <v>8.</v>
          </cell>
        </row>
        <row r="71">
          <cell r="A71" t="str">
            <v>9.</v>
          </cell>
        </row>
        <row r="72">
          <cell r="A72" t="str">
            <v>10.</v>
          </cell>
        </row>
        <row r="77">
          <cell r="A77" t="str">
            <v>1.</v>
          </cell>
        </row>
        <row r="78">
          <cell r="A78" t="str">
            <v>2.</v>
          </cell>
        </row>
        <row r="79">
          <cell r="A79" t="str">
            <v>3.</v>
          </cell>
        </row>
        <row r="80">
          <cell r="A80" t="str">
            <v>4.</v>
          </cell>
        </row>
        <row r="81">
          <cell r="A81" t="str">
            <v>5.</v>
          </cell>
        </row>
        <row r="82">
          <cell r="A82" t="str">
            <v>6.</v>
          </cell>
        </row>
        <row r="83">
          <cell r="A83" t="str">
            <v>7.</v>
          </cell>
        </row>
        <row r="84">
          <cell r="A84" t="str">
            <v>8.</v>
          </cell>
        </row>
        <row r="85">
          <cell r="A85" t="str">
            <v>9.</v>
          </cell>
        </row>
        <row r="86">
          <cell r="A86" t="str">
            <v>10.</v>
          </cell>
        </row>
        <row r="87">
          <cell r="A87" t="str">
            <v>11.</v>
          </cell>
        </row>
        <row r="88">
          <cell r="A88" t="str">
            <v>12.</v>
          </cell>
        </row>
        <row r="89">
          <cell r="A89" t="str">
            <v>13.</v>
          </cell>
        </row>
        <row r="90">
          <cell r="A90" t="str">
            <v>14.</v>
          </cell>
        </row>
        <row r="91">
          <cell r="A91" t="str">
            <v>15.</v>
          </cell>
        </row>
        <row r="92">
          <cell r="A92" t="str">
            <v>16.</v>
          </cell>
        </row>
        <row r="93">
          <cell r="A93" t="str">
            <v>17.</v>
          </cell>
        </row>
        <row r="94">
          <cell r="A94" t="str">
            <v>18.</v>
          </cell>
        </row>
        <row r="95">
          <cell r="A95" t="str">
            <v>19.</v>
          </cell>
        </row>
        <row r="96">
          <cell r="A96" t="str">
            <v>20.</v>
          </cell>
        </row>
        <row r="97">
          <cell r="A97" t="str">
            <v>21.</v>
          </cell>
        </row>
        <row r="98">
          <cell r="A98" t="str">
            <v>22.</v>
          </cell>
        </row>
        <row r="104">
          <cell r="A104" t="str">
            <v>1.</v>
          </cell>
        </row>
        <row r="107">
          <cell r="A107" t="str">
            <v>2.</v>
          </cell>
        </row>
        <row r="112">
          <cell r="A112" t="str">
            <v>3.</v>
          </cell>
        </row>
        <row r="114">
          <cell r="A114" t="str">
            <v>4.</v>
          </cell>
        </row>
        <row r="116">
          <cell r="A116" t="str">
            <v>5.</v>
          </cell>
        </row>
        <row r="119">
          <cell r="A119" t="str">
            <v>6.</v>
          </cell>
        </row>
        <row r="121">
          <cell r="A121" t="str">
            <v>7.</v>
          </cell>
        </row>
        <row r="123">
          <cell r="A123" t="str">
            <v>8.</v>
          </cell>
        </row>
        <row r="129">
          <cell r="A129" t="str">
            <v>9.</v>
          </cell>
        </row>
        <row r="131">
          <cell r="A131" t="str">
            <v>10.</v>
          </cell>
        </row>
        <row r="134">
          <cell r="A134" t="str">
            <v>11.</v>
          </cell>
        </row>
        <row r="138">
          <cell r="A138" t="str">
            <v>12.</v>
          </cell>
        </row>
        <row r="141">
          <cell r="A141" t="str">
            <v>13.</v>
          </cell>
        </row>
        <row r="144">
          <cell r="A144" t="str">
            <v>14.</v>
          </cell>
        </row>
        <row r="147">
          <cell r="A147" t="str">
            <v>15.</v>
          </cell>
        </row>
        <row r="150">
          <cell r="A150" t="str">
            <v>16.</v>
          </cell>
        </row>
        <row r="152">
          <cell r="A152" t="str">
            <v>17.</v>
          </cell>
        </row>
        <row r="156">
          <cell r="A156" t="str">
            <v>18.</v>
          </cell>
        </row>
        <row r="168">
          <cell r="A168" t="str">
            <v>19.</v>
          </cell>
        </row>
        <row r="171">
          <cell r="A171" t="str">
            <v>20.</v>
          </cell>
        </row>
        <row r="176">
          <cell r="A176" t="str">
            <v>21.</v>
          </cell>
        </row>
        <row r="178">
          <cell r="A178" t="str">
            <v>22.</v>
          </cell>
        </row>
        <row r="182">
          <cell r="A182" t="str">
            <v>23.</v>
          </cell>
        </row>
        <row r="187">
          <cell r="A187" t="str">
            <v>1.</v>
          </cell>
        </row>
        <row r="188">
          <cell r="A188" t="str">
            <v>2.</v>
          </cell>
        </row>
        <row r="190">
          <cell r="A190" t="str">
            <v>3.</v>
          </cell>
        </row>
        <row r="191">
          <cell r="A191" t="str">
            <v>4.</v>
          </cell>
        </row>
        <row r="192">
          <cell r="A192" t="str">
            <v>5.</v>
          </cell>
        </row>
        <row r="193">
          <cell r="A193" t="str">
            <v>6.</v>
          </cell>
        </row>
        <row r="194">
          <cell r="A194">
            <v>7</v>
          </cell>
        </row>
        <row r="195">
          <cell r="A195" t="str">
            <v>8.</v>
          </cell>
        </row>
        <row r="196">
          <cell r="A196" t="str">
            <v>9.</v>
          </cell>
        </row>
        <row r="197">
          <cell r="A197" t="str">
            <v>10.</v>
          </cell>
        </row>
        <row r="198">
          <cell r="A198" t="str">
            <v>11.</v>
          </cell>
        </row>
        <row r="199">
          <cell r="A199" t="str">
            <v>12.</v>
          </cell>
        </row>
        <row r="201">
          <cell r="A201" t="str">
            <v>13.</v>
          </cell>
        </row>
        <row r="204">
          <cell r="A204" t="str">
            <v>14.</v>
          </cell>
        </row>
        <row r="206">
          <cell r="A206" t="str">
            <v>15.</v>
          </cell>
        </row>
        <row r="213">
          <cell r="A213" t="str">
            <v>1.</v>
          </cell>
        </row>
        <row r="214">
          <cell r="A214" t="str">
            <v>2.</v>
          </cell>
        </row>
        <row r="215">
          <cell r="A215" t="str">
            <v>3.</v>
          </cell>
        </row>
        <row r="216">
          <cell r="A216" t="str">
            <v>4.</v>
          </cell>
        </row>
        <row r="217">
          <cell r="A217" t="str">
            <v>5.</v>
          </cell>
        </row>
        <row r="218">
          <cell r="A218" t="str">
            <v>6.</v>
          </cell>
        </row>
        <row r="219">
          <cell r="A219" t="str">
            <v>7.</v>
          </cell>
        </row>
      </sheetData>
      <sheetData sheetId="6" refreshError="1"/>
      <sheetData sheetId="7"/>
      <sheetData sheetId="8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01 - 06 ELEKTROINSTALACE"/>
      <sheetName val="SO 01 _ 06 ELEKTROINSTALACE"/>
      <sheetName val="mar"/>
      <sheetName val="úprava faktury"/>
      <sheetName val="dodav"/>
    </sheetNames>
    <sheetDataSet>
      <sheetData sheetId="0"/>
      <sheetData sheetId="1"/>
      <sheetData sheetId="2" refreshError="1"/>
      <sheetData sheetId="3" refreshError="1"/>
      <sheetData sheetId="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bdodávky"/>
      <sheetName val="Rekapitulace"/>
      <sheetName val="Rozpočet"/>
      <sheetName val="Sazby"/>
      <sheetName val="ZS"/>
      <sheetName val="konf"/>
      <sheetName val="Volba_rekap"/>
      <sheetName val="Schema_rozp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11.1A Výkaz výměr"/>
      <sheetName val="SO 11.1B Výkaz výměr"/>
      <sheetName val="SO 11.1ST Výkaz výměr"/>
      <sheetName val="SO 11.1B Kniha specifikací"/>
      <sheetName val="SO 11.1ST Kniha specifikací"/>
      <sheetName val="SO 11_1A Výkaz výměr"/>
      <sheetName val="SO11_1AVýkazvýměr"/>
      <sheetName val="SO_11_1A_Výkaz_výměr"/>
      <sheetName val="SO_11_1B_Výkaz_výměr"/>
      <sheetName val="SO_11_1ST_Výkaz_výměr"/>
      <sheetName val="SO_11_1B_Kniha_specifikací"/>
      <sheetName val="SO_11_1ST_Kniha_specifikací"/>
      <sheetName val="SO_11_1A_Výkaz_výměr1"/>
      <sheetName val="SO_11_1A_Výkaz_výměr2"/>
      <sheetName val="SO_11_1B_Výkaz_výměr1"/>
      <sheetName val="SO_11_1ST_Výkaz_výměr1"/>
      <sheetName val="SO_11_1B_Kniha_specifikací1"/>
      <sheetName val="SO_11_1ST_Kniha_specifikací1"/>
      <sheetName val="SO_11_1A_Výkaz_výměr3"/>
      <sheetName val="SO 11"/>
      <sheetName val="Rozpočet"/>
      <sheetName val="SO_11_1A_Výkaz_výměr16"/>
      <sheetName val="SO_11_1B_Výkaz_výměr8"/>
      <sheetName val="SO_11_1ST_Výkaz_výměr8"/>
      <sheetName val="SO_11_1B_Kniha_specifikací8"/>
      <sheetName val="SO_11_1ST_Kniha_specifikací8"/>
      <sheetName val="SO_11_1A_Výkaz_výměr17"/>
      <sheetName val="SO_11_1A_Výkaz_výměr6"/>
      <sheetName val="SO_11_1B_Výkaz_výměr3"/>
      <sheetName val="SO_11_1ST_Výkaz_výměr3"/>
      <sheetName val="SO_11_1B_Kniha_specifikací3"/>
      <sheetName val="SO_11_1ST_Kniha_specifikací3"/>
      <sheetName val="SO_11_1A_Výkaz_výměr7"/>
      <sheetName val="SO_11_1A_Výkaz_výměr4"/>
      <sheetName val="SO_11_1B_Výkaz_výměr2"/>
      <sheetName val="SO_11_1ST_Výkaz_výměr2"/>
      <sheetName val="SO_11_1B_Kniha_specifikací2"/>
      <sheetName val="SO_11_1ST_Kniha_specifikací2"/>
      <sheetName val="SO_11_1A_Výkaz_výměr5"/>
      <sheetName val="SO_11_1A_Výkaz_výměr8"/>
      <sheetName val="SO_11_1B_Výkaz_výměr4"/>
      <sheetName val="SO_11_1ST_Výkaz_výměr4"/>
      <sheetName val="SO_11_1B_Kniha_specifikací4"/>
      <sheetName val="SO_11_1ST_Kniha_specifikací4"/>
      <sheetName val="SO_11_1A_Výkaz_výměr9"/>
      <sheetName val="SO_11_1A_Výkaz_výměr10"/>
      <sheetName val="SO_11_1B_Výkaz_výměr5"/>
      <sheetName val="SO_11_1ST_Výkaz_výměr5"/>
      <sheetName val="SO_11_1B_Kniha_specifikací5"/>
      <sheetName val="SO_11_1ST_Kniha_specifikací5"/>
      <sheetName val="SO_11_1A_Výkaz_výměr11"/>
      <sheetName val="SO_11_1A_Výkaz_výměr12"/>
      <sheetName val="SO_11_1B_Výkaz_výměr6"/>
      <sheetName val="SO_11_1ST_Výkaz_výměr6"/>
      <sheetName val="SO_11_1B_Kniha_specifikací6"/>
      <sheetName val="SO_11_1ST_Kniha_specifikací6"/>
      <sheetName val="SO_11_1A_Výkaz_výměr13"/>
      <sheetName val="SO_11_1A_Výkaz_výměr14"/>
      <sheetName val="SO_11_1B_Výkaz_výměr7"/>
      <sheetName val="SO_11_1ST_Výkaz_výměr7"/>
      <sheetName val="SO_11_1B_Kniha_specifikací7"/>
      <sheetName val="SO_11_1ST_Kniha_specifikací7"/>
      <sheetName val="SO_11_1A_Výkaz_výměr15"/>
      <sheetName val="SO_11_1A_Výkaz_výměr18"/>
      <sheetName val="SO_11_1B_Výkaz_výměr9"/>
      <sheetName val="SO_11_1ST_Výkaz_výměr9"/>
      <sheetName val="SO_11_1B_Kniha_specifikací9"/>
      <sheetName val="SO_11_1ST_Kniha_specifikací9"/>
      <sheetName val="SO_11_1A_Výkaz_výměr19"/>
      <sheetName val="SO_11_1A_Výkaz_výměr20"/>
      <sheetName val="SO_11_1B_Výkaz_výměr10"/>
      <sheetName val="SO_11_1ST_Výkaz_výměr10"/>
      <sheetName val="SO_11_1B_Kniha_specifikací10"/>
      <sheetName val="SO_11_1ST_Kniha_specifikací10"/>
      <sheetName val="SO_11_1A_Výkaz_výměr21"/>
      <sheetName val="SO_11_1A_Výkaz_výměr22"/>
      <sheetName val="SO_11_1B_Výkaz_výměr11"/>
      <sheetName val="SO_11_1ST_Výkaz_výměr11"/>
      <sheetName val="SO_11_1B_Kniha_specifikací11"/>
      <sheetName val="SO_11_1ST_Kniha_specifikací11"/>
      <sheetName val="SO_11_1A_Výkaz_výměr2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ALKA"/>
      <sheetName val="VV"/>
      <sheetName val="List2"/>
      <sheetName val="List3"/>
      <sheetName val="armstrong"/>
      <sheetName val="položkový rozpočet"/>
      <sheetName val="rekapitulace"/>
      <sheetName val="položky"/>
    </sheetNames>
    <sheetDataSet>
      <sheetData sheetId="0"/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  <sheetName val="položky"/>
      <sheetName val="stavební část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2"/>
      <sheetName val="DATA"/>
      <sheetName val="KOTELNA"/>
      <sheetName val="RKOTELNA"/>
      <sheetName val="KOT"/>
      <sheetName val="RKOT "/>
      <sheetName val="RKOT  (2)"/>
      <sheetName val="103"/>
      <sheetName val="R103"/>
      <sheetName val="obj. (2)"/>
      <sheetName val="obj. (3)"/>
      <sheetName val="stavební část"/>
      <sheetName val="ZS, VR"/>
      <sheetName val="Budova"/>
      <sheetName val="Venky"/>
    </sheetNames>
    <sheetDataSet>
      <sheetData sheetId="0" refreshError="1"/>
      <sheetData sheetId="1" refreshError="1">
        <row r="5">
          <cell r="A5" t="str">
            <v>KÓD</v>
          </cell>
          <cell r="B5" t="str">
            <v>TECHNICKÁ SPECIFIKACE</v>
          </cell>
          <cell r="D5" t="str">
            <v xml:space="preserve">DOD. </v>
          </cell>
          <cell r="E5" t="str">
            <v>MONT.</v>
          </cell>
        </row>
        <row r="6">
          <cell r="B6" t="str">
            <v>popis</v>
          </cell>
          <cell r="C6" t="str">
            <v>dodavatel</v>
          </cell>
          <cell r="D6" t="str">
            <v>jed.cena</v>
          </cell>
          <cell r="E6" t="str">
            <v>jed.cena</v>
          </cell>
        </row>
        <row r="7">
          <cell r="B7" t="str">
            <v>Měřící a regulační obvody</v>
          </cell>
        </row>
        <row r="8">
          <cell r="A8" t="str">
            <v>TG2</v>
          </cell>
          <cell r="B8" t="str">
            <v>Rokytnice</v>
          </cell>
          <cell r="C8" t="str">
            <v>SENSIT
Rožnov p. R.</v>
          </cell>
          <cell r="D8">
            <v>400</v>
          </cell>
          <cell r="E8">
            <v>19</v>
          </cell>
        </row>
        <row r="9">
          <cell r="A9" t="str">
            <v>SQ6bez</v>
          </cell>
          <cell r="B9" t="str">
            <v>Koncový spínač XCK - A118</v>
          </cell>
          <cell r="C9" t="str">
            <v>strojní
dodávka</v>
          </cell>
          <cell r="D9">
            <v>0</v>
          </cell>
          <cell r="E9">
            <v>0</v>
          </cell>
        </row>
        <row r="10">
          <cell r="A10" t="str">
            <v>SQ6</v>
          </cell>
          <cell r="B10" t="str">
            <v>Koncový spínač XCK - A118</v>
          </cell>
          <cell r="C10" t="str">
            <v>strojní
dodávka</v>
          </cell>
          <cell r="D10">
            <v>0</v>
          </cell>
          <cell r="E10">
            <v>70</v>
          </cell>
        </row>
        <row r="11">
          <cell r="A11" t="str">
            <v>M100</v>
          </cell>
          <cell r="B11" t="str">
            <v xml:space="preserve">Podávací dopravník  </v>
          </cell>
          <cell r="C11" t="str">
            <v>strojní
dodávka</v>
          </cell>
          <cell r="D11">
            <v>0</v>
          </cell>
          <cell r="E11">
            <v>80</v>
          </cell>
        </row>
        <row r="12">
          <cell r="A12" t="str">
            <v>M101</v>
          </cell>
          <cell r="B12" t="str">
            <v xml:space="preserve">Plnící dopravník  </v>
          </cell>
          <cell r="C12" t="str">
            <v>strojní
dodávka</v>
          </cell>
          <cell r="D12">
            <v>0</v>
          </cell>
          <cell r="E12">
            <v>80</v>
          </cell>
        </row>
        <row r="13">
          <cell r="A13" t="str">
            <v>Zt1</v>
          </cell>
          <cell r="B13" t="str">
            <v xml:space="preserve">Zapalovací tyč  </v>
          </cell>
          <cell r="C13" t="str">
            <v>strojní
dodávka</v>
          </cell>
          <cell r="D13">
            <v>0</v>
          </cell>
          <cell r="E13">
            <v>0</v>
          </cell>
        </row>
        <row r="14">
          <cell r="A14" t="str">
            <v>M105</v>
          </cell>
          <cell r="B14" t="str">
            <v>Primární ventilátor</v>
          </cell>
          <cell r="C14" t="str">
            <v>strojní
dodávka</v>
          </cell>
          <cell r="D14">
            <v>0</v>
          </cell>
          <cell r="E14">
            <v>80</v>
          </cell>
        </row>
        <row r="15">
          <cell r="A15" t="str">
            <v>M106</v>
          </cell>
          <cell r="B15" t="str">
            <v>Sekundární ventilátor</v>
          </cell>
          <cell r="C15" t="str">
            <v>strojní
dodávka</v>
          </cell>
          <cell r="D15">
            <v>0</v>
          </cell>
          <cell r="E15">
            <v>80</v>
          </cell>
        </row>
        <row r="16">
          <cell r="A16" t="str">
            <v>M110</v>
          </cell>
          <cell r="B16" t="str">
            <v>Spalinový ventilátor</v>
          </cell>
          <cell r="C16" t="str">
            <v>strojní
dodávka</v>
          </cell>
          <cell r="D16">
            <v>0</v>
          </cell>
          <cell r="E16">
            <v>80</v>
          </cell>
        </row>
        <row r="17">
          <cell r="A17" t="str">
            <v>B110</v>
          </cell>
          <cell r="B17" t="str">
            <v>Pákový pohon BELIMO</v>
          </cell>
          <cell r="C17" t="str">
            <v>strojní
dodávka</v>
          </cell>
          <cell r="D17">
            <v>0</v>
          </cell>
          <cell r="E17">
            <v>60</v>
          </cell>
        </row>
        <row r="18">
          <cell r="A18" t="str">
            <v>M102</v>
          </cell>
          <cell r="B18" t="str">
            <v xml:space="preserve">Rošt kotle </v>
          </cell>
          <cell r="C18" t="str">
            <v>strojní
dodávka</v>
          </cell>
          <cell r="D18">
            <v>0</v>
          </cell>
          <cell r="E18">
            <v>0</v>
          </cell>
        </row>
        <row r="19">
          <cell r="A19" t="str">
            <v>M109</v>
          </cell>
          <cell r="B19" t="str">
            <v>Popelový dopravník</v>
          </cell>
          <cell r="C19" t="str">
            <v>strojní
dodávka</v>
          </cell>
          <cell r="D19">
            <v>0</v>
          </cell>
          <cell r="E19">
            <v>80</v>
          </cell>
        </row>
        <row r="20">
          <cell r="A20" t="str">
            <v>M104</v>
          </cell>
          <cell r="B20" t="str">
            <v>Popelový vynašeč</v>
          </cell>
          <cell r="C20" t="str">
            <v>strojní
dodávka</v>
          </cell>
          <cell r="D20">
            <v>0</v>
          </cell>
          <cell r="E20">
            <v>0</v>
          </cell>
        </row>
        <row r="21">
          <cell r="A21" t="str">
            <v>M103</v>
          </cell>
          <cell r="B21" t="str">
            <v>Drtič popele</v>
          </cell>
          <cell r="C21" t="str">
            <v>strojní
dodávka</v>
          </cell>
          <cell r="D21">
            <v>0</v>
          </cell>
          <cell r="E21">
            <v>0</v>
          </cell>
        </row>
        <row r="22">
          <cell r="A22" t="str">
            <v>BP100</v>
          </cell>
          <cell r="B22" t="str">
            <v xml:space="preserve">Podtlakový snímač HUBA Controls
výstup 4 - 20 mA </v>
          </cell>
          <cell r="C22" t="str">
            <v>strojní
dodávka</v>
          </cell>
          <cell r="D22">
            <v>0</v>
          </cell>
          <cell r="E22">
            <v>0</v>
          </cell>
        </row>
        <row r="23">
          <cell r="A23" t="str">
            <v>BQ102</v>
          </cell>
          <cell r="B23" t="str">
            <v>Lambda sonda</v>
          </cell>
          <cell r="C23" t="str">
            <v>strojní
dodávka</v>
          </cell>
          <cell r="D23">
            <v>0</v>
          </cell>
          <cell r="E23">
            <v>0</v>
          </cell>
        </row>
        <row r="24">
          <cell r="A24" t="str">
            <v>termostat</v>
          </cell>
          <cell r="B24" t="str">
            <v xml:space="preserve">Termostat </v>
          </cell>
          <cell r="C24" t="str">
            <v>strojní
dodávka</v>
          </cell>
          <cell r="D24">
            <v>0</v>
          </cell>
          <cell r="E24">
            <v>0</v>
          </cell>
        </row>
        <row r="25">
          <cell r="A25" t="str">
            <v>SQ116</v>
          </cell>
          <cell r="B25" t="str">
            <v>Infrazávora</v>
          </cell>
          <cell r="C25" t="str">
            <v>strojní
dodávka</v>
          </cell>
          <cell r="D25">
            <v>0</v>
          </cell>
          <cell r="E25">
            <v>0</v>
          </cell>
        </row>
        <row r="26">
          <cell r="A26" t="str">
            <v>SQ2</v>
          </cell>
          <cell r="B26" t="str">
            <v>Indukční snímač XSU P12 PA370</v>
          </cell>
          <cell r="C26" t="str">
            <v>strojní
dodávka</v>
          </cell>
          <cell r="D26">
            <v>0</v>
          </cell>
          <cell r="E26">
            <v>70</v>
          </cell>
        </row>
        <row r="27">
          <cell r="A27" t="str">
            <v>M2</v>
          </cell>
          <cell r="B27" t="str">
            <v>Motor hydrauliky skladu štěpky</v>
          </cell>
          <cell r="C27" t="str">
            <v>strojní
dodávka</v>
          </cell>
          <cell r="D27">
            <v>0</v>
          </cell>
          <cell r="E27">
            <v>80</v>
          </cell>
        </row>
        <row r="28">
          <cell r="A28" t="str">
            <v>M4</v>
          </cell>
          <cell r="B28" t="str">
            <v>Vynášecí dopravník štěpky ze skladu paliva</v>
          </cell>
          <cell r="C28" t="str">
            <v>strojní
dodávka</v>
          </cell>
          <cell r="D28">
            <v>0</v>
          </cell>
          <cell r="E28">
            <v>80</v>
          </cell>
        </row>
        <row r="29">
          <cell r="A29" t="str">
            <v>M5</v>
          </cell>
          <cell r="B29" t="str">
            <v>Pásový dopravník štěpky ze skladu paliva</v>
          </cell>
          <cell r="C29" t="str">
            <v>strojní
dodávka</v>
          </cell>
          <cell r="D29">
            <v>0</v>
          </cell>
          <cell r="E29">
            <v>80</v>
          </cell>
        </row>
        <row r="30">
          <cell r="A30" t="str">
            <v>M6</v>
          </cell>
          <cell r="B30" t="str">
            <v xml:space="preserve">Motor hydrauliky mezizásobníku štěpky </v>
          </cell>
          <cell r="C30" t="str">
            <v>Groupe-Schneider</v>
          </cell>
          <cell r="D30">
            <v>0</v>
          </cell>
          <cell r="E30">
            <v>80</v>
          </cell>
        </row>
        <row r="31">
          <cell r="A31" t="str">
            <v>SA00</v>
          </cell>
          <cell r="B31" t="str">
            <v>Tlačítko T6 ve skříňce</v>
          </cell>
          <cell r="C31" t="str">
            <v>Groupe-Schneider</v>
          </cell>
          <cell r="D31">
            <v>350</v>
          </cell>
          <cell r="E31">
            <v>60</v>
          </cell>
        </row>
        <row r="32">
          <cell r="A32" t="str">
            <v>ATVFM3F3</v>
          </cell>
          <cell r="B32" t="str">
            <v>Frekvenční měnič Antivar 18, Telemecanique
typ ATV-18U54N4  CZ</v>
          </cell>
          <cell r="C32" t="str">
            <v>Groupe-Schneider</v>
          </cell>
          <cell r="D32">
            <v>21000</v>
          </cell>
          <cell r="E32">
            <v>600</v>
          </cell>
        </row>
        <row r="33">
          <cell r="A33" t="str">
            <v>ATVFM3F7,5</v>
          </cell>
          <cell r="B33" t="str">
            <v>Frekvenční měnič Antivar 18, Telemecanique
typ ATV-18D12N4  CZ</v>
          </cell>
          <cell r="C33" t="str">
            <v>Groupe-Schneider</v>
          </cell>
          <cell r="D33">
            <v>40600</v>
          </cell>
          <cell r="E33">
            <v>600</v>
          </cell>
        </row>
        <row r="34">
          <cell r="A34" t="str">
            <v>ESBE83P</v>
          </cell>
          <cell r="B34" t="str">
            <v xml:space="preserve">El. pohon ESBE 83P, 24 V, 50 Hz
řídící signál 0-10 V
</v>
          </cell>
          <cell r="C34" t="str">
            <v>REMAG trade</v>
          </cell>
          <cell r="D34">
            <v>5600</v>
          </cell>
          <cell r="E34">
            <v>60</v>
          </cell>
        </row>
        <row r="35">
          <cell r="A35" t="str">
            <v>1-BT1</v>
          </cell>
          <cell r="B35" t="str">
            <v>Odporový snímač teploty venkovní
NS 111.65
rozsah -30°C až 100°C
obj. č. 01 200 200</v>
          </cell>
          <cell r="C35" t="str">
            <v>SENSIT
Rožnov p. R.</v>
          </cell>
          <cell r="D35">
            <v>714</v>
          </cell>
          <cell r="E35">
            <v>19</v>
          </cell>
        </row>
        <row r="36">
          <cell r="A36" t="str">
            <v>M200</v>
          </cell>
          <cell r="B36" t="str">
            <v>Oběhové čerpadlo do systému ÚT
3 x 380/220 VAC</v>
          </cell>
          <cell r="C36" t="str">
            <v>strojní
dodávka</v>
          </cell>
          <cell r="D36">
            <v>0</v>
          </cell>
          <cell r="E36">
            <v>120</v>
          </cell>
        </row>
        <row r="37">
          <cell r="A37" t="str">
            <v>M115</v>
          </cell>
          <cell r="B37" t="str">
            <v>Oběhové čerpadlo kotlového okruhu
3 x 380/220 VAC</v>
          </cell>
          <cell r="C37" t="str">
            <v>strojní
dodávka</v>
          </cell>
          <cell r="D37">
            <v>0</v>
          </cell>
          <cell r="E37">
            <v>80</v>
          </cell>
        </row>
        <row r="38">
          <cell r="A38" t="str">
            <v>M55</v>
          </cell>
          <cell r="B38" t="str">
            <v>Doplňovací čerpadlo
3 x 380/220 VAC</v>
          </cell>
          <cell r="C38" t="str">
            <v>strojní
dodávka</v>
          </cell>
          <cell r="D38">
            <v>0</v>
          </cell>
          <cell r="E38">
            <v>80</v>
          </cell>
        </row>
        <row r="39">
          <cell r="A39" t="str">
            <v>PPN2.35</v>
          </cell>
          <cell r="B39" t="str">
            <v>Pákový servopohon PPN2 35.04.09
220V/50Hz, mikrospínače SO, SZ
bez výst. signálu, třmen se spojkou</v>
          </cell>
          <cell r="C39" t="str">
            <v>Ekorex+
Nová Paka</v>
          </cell>
          <cell r="D39">
            <v>4200</v>
          </cell>
          <cell r="E39">
            <v>120</v>
          </cell>
        </row>
        <row r="40">
          <cell r="A40" t="str">
            <v>1-M1</v>
          </cell>
          <cell r="B40" t="str">
            <v>Směšovací ventil 3G40, DN40, PN 6
s el. pohonem ESBE 62P, řízený 0-10V</v>
          </cell>
          <cell r="C40" t="str">
            <v xml:space="preserve">Eko-Ekviterm </v>
          </cell>
          <cell r="D40">
            <v>5070</v>
          </cell>
          <cell r="E40">
            <v>50</v>
          </cell>
        </row>
        <row r="41">
          <cell r="A41" t="str">
            <v>1-M1</v>
          </cell>
          <cell r="B41" t="str">
            <v>Směšovací ventil 3G50, DN50, PN 6
s el. pohonem ESBE 62P, řízený 0-10V</v>
          </cell>
          <cell r="C41" t="str">
            <v xml:space="preserve">Eko-Ekviterm </v>
          </cell>
          <cell r="D41">
            <v>5840</v>
          </cell>
          <cell r="E41">
            <v>50</v>
          </cell>
        </row>
        <row r="42">
          <cell r="A42" t="str">
            <v>6-M1</v>
          </cell>
          <cell r="B42" t="str">
            <v>Oběhové čerpadlo top .vody
3 x 380/220 V</v>
          </cell>
          <cell r="D42">
            <v>0</v>
          </cell>
          <cell r="E42">
            <v>60</v>
          </cell>
        </row>
        <row r="43">
          <cell r="A43" t="str">
            <v>2-BT1.1
2-BT1.2</v>
          </cell>
          <cell r="B43" t="str">
            <v>Odporový snímač teploty do potrubí
NS 131.65 - 220
rozsah -30°C až 250°C
obj. č. 01 630 200</v>
          </cell>
          <cell r="C43" t="str">
            <v>SENSIT
Rožnov p. R.</v>
          </cell>
          <cell r="D43">
            <v>978</v>
          </cell>
          <cell r="E43">
            <v>19</v>
          </cell>
        </row>
        <row r="44">
          <cell r="A44" t="str">
            <v>2-BT1</v>
          </cell>
          <cell r="B44" t="str">
            <v>Příložné odporové čidlo
NS 141.65
rozsah 0°C až 130°C
obj. Č. 01 700 200</v>
          </cell>
          <cell r="C44" t="str">
            <v>SENSIT
Rožnov p. R.</v>
          </cell>
          <cell r="D44">
            <v>750</v>
          </cell>
          <cell r="E44">
            <v>19</v>
          </cell>
        </row>
        <row r="45">
          <cell r="A45" t="str">
            <v>TG2</v>
          </cell>
          <cell r="B45" t="str">
            <v>Snímač teploty TG2, Ni 1000,L 50mm, M10x1,5
kabel 3 m</v>
          </cell>
          <cell r="C45" t="str">
            <v>SENSIT
Rožnov p. R.</v>
          </cell>
          <cell r="D45">
            <v>620</v>
          </cell>
          <cell r="E45">
            <v>19</v>
          </cell>
        </row>
        <row r="46">
          <cell r="A46" t="str">
            <v>11262J2</v>
          </cell>
          <cell r="B46" t="str">
            <v>405 112 625 712
Odporový snímač teploty s jímkou
jednoduchý ve dvouvodičovém zapojení - J2
provedení T 13
materiál jímky 12 022
ponor 160 mm</v>
          </cell>
          <cell r="C46" t="str">
            <v>ZPA
Nová Paka</v>
          </cell>
          <cell r="D46">
            <v>1370</v>
          </cell>
          <cell r="E46">
            <v>19</v>
          </cell>
        </row>
        <row r="47">
          <cell r="A47" t="str">
            <v>11255</v>
          </cell>
          <cell r="B47" t="str">
            <v>405 112 555 712
Odporový snímač teploty s ochrannou trubkou
jednoduchý
ponor 500 mm</v>
          </cell>
          <cell r="C47" t="str">
            <v>ZPA
Nová Paka</v>
          </cell>
          <cell r="D47">
            <v>1010</v>
          </cell>
          <cell r="E47">
            <v>19</v>
          </cell>
        </row>
        <row r="48">
          <cell r="A48" t="str">
            <v>11255up</v>
          </cell>
          <cell r="B48" t="str">
            <v>405 919 400 215
Upevňovací příruba</v>
          </cell>
          <cell r="C48" t="str">
            <v>ZPA
Nová Paka</v>
          </cell>
          <cell r="D48">
            <v>210</v>
          </cell>
          <cell r="E48">
            <v>15</v>
          </cell>
        </row>
        <row r="49">
          <cell r="A49" t="str">
            <v>prPt100h</v>
          </cell>
          <cell r="B49" t="str">
            <v>Převodník pro Pt 100 do hlavice
rozsah 0 až 400 stC
vstup Pt 100
výstup 4-20 mA</v>
          </cell>
          <cell r="C49" t="str">
            <v>Ekorex Lázně
Bohdaneč</v>
          </cell>
          <cell r="D49">
            <v>1500</v>
          </cell>
          <cell r="E49">
            <v>25</v>
          </cell>
        </row>
        <row r="50">
          <cell r="A50" t="str">
            <v>RV103,DN15,PTN2,2V</v>
          </cell>
          <cell r="B50" t="str">
            <v>RV 103 ERB 4311-16/150-15, Kv 4</v>
          </cell>
          <cell r="C50" t="str">
            <v>LDM 
Č. Třebová</v>
          </cell>
          <cell r="D50">
            <v>7640</v>
          </cell>
          <cell r="E50">
            <v>80</v>
          </cell>
        </row>
        <row r="51">
          <cell r="A51" t="str">
            <v>RV103,DN25,PTN2,2V</v>
          </cell>
          <cell r="B51" t="str">
            <v>RV 103 ERB 4311-16/150-25, Kv 10</v>
          </cell>
          <cell r="C51" t="str">
            <v>LDM 
Č. Třebová</v>
          </cell>
          <cell r="D51">
            <v>7940</v>
          </cell>
          <cell r="E51">
            <v>80</v>
          </cell>
        </row>
        <row r="52">
          <cell r="A52" t="str">
            <v>RV103,DN32,PTN2,2V</v>
          </cell>
          <cell r="B52" t="str">
            <v>RV 103 ERB 4311-16/150-32, Kv 16</v>
          </cell>
          <cell r="C52" t="str">
            <v>LDM 
Č. Třebová</v>
          </cell>
          <cell r="D52">
            <v>8330</v>
          </cell>
          <cell r="E52">
            <v>80</v>
          </cell>
        </row>
        <row r="53">
          <cell r="A53" t="str">
            <v>RV103,DN50,PTN2,2V</v>
          </cell>
          <cell r="B53" t="str">
            <v>RV 103 ERB 4311-16/150-50, Kv 40</v>
          </cell>
          <cell r="C53" t="str">
            <v>LDM 
Č. Třebová</v>
          </cell>
          <cell r="D53">
            <v>10020</v>
          </cell>
          <cell r="E53">
            <v>80</v>
          </cell>
        </row>
        <row r="54">
          <cell r="A54" t="str">
            <v>RV102,DN15,PTN2,2V</v>
          </cell>
          <cell r="B54" t="str">
            <v>RV 102 ERB 1311-16/150-15, Kv 4</v>
          </cell>
          <cell r="C54" t="str">
            <v>LDM 
Č. Třebová</v>
          </cell>
          <cell r="D54">
            <v>6960</v>
          </cell>
          <cell r="E54">
            <v>80</v>
          </cell>
        </row>
        <row r="55">
          <cell r="A55" t="str">
            <v>RV102,DN32,PTN2,2V</v>
          </cell>
          <cell r="B55" t="str">
            <v>RV 102 ERB 1311-16/150-32, Kv 16</v>
          </cell>
          <cell r="C55" t="str">
            <v>LDM 
Č. Třebová</v>
          </cell>
          <cell r="D55">
            <v>7510</v>
          </cell>
          <cell r="E55">
            <v>80</v>
          </cell>
        </row>
        <row r="56">
          <cell r="A56" t="str">
            <v>RV102,DN32,END,2V</v>
          </cell>
          <cell r="B56" t="str">
            <v>RV 102 END 1511 16/150-15, Kv 4</v>
          </cell>
          <cell r="C56" t="str">
            <v>LDM 
Č. Třebová</v>
          </cell>
          <cell r="D56">
            <v>2950</v>
          </cell>
          <cell r="E56">
            <v>80</v>
          </cell>
        </row>
        <row r="57">
          <cell r="A57" t="str">
            <v>RV102,DN32,END,2V
PP</v>
          </cell>
          <cell r="B57" t="str">
            <v>Regulační ventil RV 102, DN 15, PN 16
RV 102 END 1511-16/150-15
s el. pohonem PICO 524 65, 220 V/50 Hz
provedení závitové dvoucestné přímé
materiál tělesa mosaz
průtočná charakteristika lineární, Kvs = 4 m3/h</v>
          </cell>
          <cell r="C57" t="str">
            <v>LDM 
Č. Třebová</v>
          </cell>
          <cell r="D57">
            <v>2950</v>
          </cell>
          <cell r="E57">
            <v>80</v>
          </cell>
        </row>
        <row r="58">
          <cell r="A58" t="str">
            <v>RV201,DN80,ENC</v>
          </cell>
          <cell r="B58" t="str">
            <v>Regulační ventil RV 210 E, DN 80, PN 16
RV 210 ENC 1413 L1 - 16/220 - 80
s el. pohonem Zepadyn
se signalizačními spínači SO, SZ
bez odporového vysílače
příruba s hrubou těsnící lištou
materiál tělesa tvárná litina
těsnění v sedle kov - kov
ucpávka PTFE
pr</v>
          </cell>
          <cell r="C58" t="str">
            <v>LDM 
Č. Třebová</v>
          </cell>
          <cell r="D58">
            <v>15000</v>
          </cell>
          <cell r="E58">
            <v>80</v>
          </cell>
        </row>
        <row r="59">
          <cell r="A59" t="str">
            <v>2</v>
          </cell>
          <cell r="B59" t="str">
            <v>vývodka GP 9</v>
          </cell>
          <cell r="C59" t="str">
            <v>Elektram</v>
          </cell>
          <cell r="D59">
            <v>5</v>
          </cell>
        </row>
        <row r="60">
          <cell r="A60" t="str">
            <v>klvp</v>
          </cell>
          <cell r="B60" t="str">
            <v>Pohon klapky reg. výkonu kotle</v>
          </cell>
          <cell r="C60" t="str">
            <v>stávající</v>
          </cell>
          <cell r="D60">
            <v>5.3</v>
          </cell>
          <cell r="E60">
            <v>80</v>
          </cell>
        </row>
        <row r="61">
          <cell r="A61" t="str">
            <v>MKVLT</v>
          </cell>
          <cell r="B61" t="str">
            <v>Měnič kmitočtu VLT 3522
demontáž a montáž vč. nastavení</v>
          </cell>
          <cell r="C61" t="str">
            <v>stávající</v>
          </cell>
          <cell r="D61">
            <v>5.6</v>
          </cell>
          <cell r="E61">
            <v>1100</v>
          </cell>
        </row>
        <row r="62">
          <cell r="A62" t="str">
            <v>5</v>
          </cell>
          <cell r="B62" t="str">
            <v>Indikační svítidlo HDS-95 G/R</v>
          </cell>
          <cell r="C62" t="str">
            <v>Eleco</v>
          </cell>
          <cell r="D62">
            <v>119</v>
          </cell>
        </row>
        <row r="63">
          <cell r="A63" t="str">
            <v>6</v>
          </cell>
          <cell r="B63" t="str">
            <v>Stiskací hlavice černá T10A</v>
          </cell>
          <cell r="C63" t="str">
            <v>Groupe-Schneider</v>
          </cell>
          <cell r="D63">
            <v>54</v>
          </cell>
        </row>
        <row r="64">
          <cell r="A64" t="str">
            <v>7</v>
          </cell>
          <cell r="B64" t="str">
            <v>Ovládací hlavice trojpolohová T10 B ČE</v>
          </cell>
          <cell r="C64" t="str">
            <v>Groupe-Schneider</v>
          </cell>
          <cell r="D64">
            <v>69</v>
          </cell>
        </row>
        <row r="65">
          <cell r="A65" t="str">
            <v>kl,DN150,PPN12</v>
          </cell>
          <cell r="B65" t="str">
            <v>Klapka DN 150, PN 16
se servopohonem PPN 12
s mikrospínači SO, SZ
médium : top. voda 105 stC/0,9 MPa
              max. tlak. dif. 0,8 MPa</v>
          </cell>
          <cell r="C65" t="str">
            <v>MaR Plus</v>
          </cell>
          <cell r="D65">
            <v>12500</v>
          </cell>
          <cell r="E65">
            <v>140</v>
          </cell>
        </row>
        <row r="66">
          <cell r="A66" t="str">
            <v>9</v>
          </cell>
          <cell r="B66" t="str">
            <v>Přepínací jednotka T10 Z 111 Z</v>
          </cell>
          <cell r="C66" t="str">
            <v>Groupe-Schneider</v>
          </cell>
          <cell r="D66">
            <v>51</v>
          </cell>
        </row>
        <row r="67">
          <cell r="A67" t="str">
            <v xml:space="preserve">RTK </v>
          </cell>
          <cell r="B67" t="str">
            <v>405 611 266 052
Regulátor teploty kapilárový
provedení T23
kontakty v provedení "A"
rozsah 70 až 140 stC
kapilára 2,5 m
405 961 014 116
Mosazná ochranná jímka</v>
          </cell>
          <cell r="C67" t="str">
            <v>ZPA Ekoreg
Ústí n/L</v>
          </cell>
          <cell r="D67">
            <v>1250</v>
          </cell>
          <cell r="E67">
            <v>70</v>
          </cell>
        </row>
        <row r="68">
          <cell r="A68" t="str">
            <v xml:space="preserve">RTK3090 </v>
          </cell>
          <cell r="B68" t="str">
            <v>405 611 266 042
Regulátor teploty kapilárový
provedení T23
kontakty v provedení "A"
rozsah 30 až 90 stC
kapilára 2,5 m
405 961 014 116
Mosazná ochranná jímka</v>
          </cell>
          <cell r="C68" t="str">
            <v>ZPA Ekoreg
Ústí n/L</v>
          </cell>
          <cell r="D68">
            <v>1250</v>
          </cell>
          <cell r="E68">
            <v>70</v>
          </cell>
        </row>
        <row r="69">
          <cell r="A69" t="str">
            <v>RTKB</v>
          </cell>
          <cell r="B69" t="str">
            <v>405 611 266 152
Regulátor teploty kapilárový
provedení T23
kontakty v provedení "B"
rozsah 70 až 140 stC
kapilára 2,5 m
405 961 014 116
Mosazná ochranná jímka</v>
          </cell>
          <cell r="C69" t="str">
            <v>ZPA Ekoreg
Ústí n/L</v>
          </cell>
          <cell r="D69">
            <v>1250</v>
          </cell>
          <cell r="E69">
            <v>70</v>
          </cell>
        </row>
        <row r="70">
          <cell r="A70" t="str">
            <v>RTP</v>
          </cell>
          <cell r="B70" t="str">
            <v>405 611 136 114
Regulátor teploty prostorový
provedení T23
kontakty v provedení "B"
rozsah 20 až 60 stC</v>
          </cell>
          <cell r="C70" t="str">
            <v>ZPA Ekoreg
Ústí n/L</v>
          </cell>
          <cell r="D70">
            <v>1150</v>
          </cell>
          <cell r="E70">
            <v>70</v>
          </cell>
        </row>
        <row r="71">
          <cell r="A71" t="str">
            <v>RTL</v>
          </cell>
          <cell r="B71" t="str">
            <v>405 612 146 043
Regulátor tlaku vlnovcový
provedení T 23
kontakty v provedení "A"
rozsah 0,16 až 1,6 MPa</v>
          </cell>
          <cell r="C71" t="str">
            <v>ZPA Ekoreg
Ústí n/L</v>
          </cell>
          <cell r="D71">
            <v>1010</v>
          </cell>
          <cell r="E71">
            <v>70</v>
          </cell>
        </row>
        <row r="72">
          <cell r="A72" t="str">
            <v>RTL400</v>
          </cell>
          <cell r="B72" t="str">
            <v>405 612 146 032
Regulátor tlaku vlnovcový
provedení T 23
kontakty v provedení "A"
rozsah 40 až 400 kPa</v>
          </cell>
          <cell r="C72" t="str">
            <v>ZPA Ekoreg
Ústí n/L</v>
          </cell>
          <cell r="D72">
            <v>1010</v>
          </cell>
          <cell r="E72">
            <v>70</v>
          </cell>
        </row>
        <row r="73">
          <cell r="A73" t="str">
            <v>RTLB</v>
          </cell>
          <cell r="B73" t="str">
            <v>405 612 146 143
Regulátor tlaku vlnovcový
provedení T 23
kontakty v provedení "B"
rozsah 0,16 až 1,6 MPa</v>
          </cell>
          <cell r="C73" t="str">
            <v>ZPA Ekoreg
Ústí n/L</v>
          </cell>
          <cell r="D73">
            <v>1010</v>
          </cell>
          <cell r="E73">
            <v>70</v>
          </cell>
        </row>
        <row r="74">
          <cell r="A74" t="str">
            <v>indif51</v>
          </cell>
          <cell r="B74" t="str">
            <v>Snímač tlakové diference INDIF 51</v>
          </cell>
          <cell r="C74" t="str">
            <v>ZPA
Nová Paka</v>
          </cell>
          <cell r="D74">
            <v>398</v>
          </cell>
          <cell r="E74">
            <v>150</v>
          </cell>
        </row>
        <row r="75">
          <cell r="A75" t="str">
            <v>PVS</v>
          </cell>
          <cell r="B75" t="str">
            <v>Pěticestná ventilová souprava</v>
          </cell>
          <cell r="C75" t="str">
            <v>ZPA
Nová Paka</v>
          </cell>
          <cell r="D75">
            <v>150</v>
          </cell>
          <cell r="E75">
            <v>80</v>
          </cell>
        </row>
        <row r="76">
          <cell r="A76" t="str">
            <v>19</v>
          </cell>
          <cell r="B76" t="str">
            <v>Stykač 3.f. 24VAC/LC1/LLC2-K06</v>
          </cell>
          <cell r="C76" t="str">
            <v>Groupe-Schneider</v>
          </cell>
          <cell r="D76">
            <v>210</v>
          </cell>
        </row>
        <row r="77">
          <cell r="A77" t="str">
            <v>20</v>
          </cell>
          <cell r="B77" t="str">
            <v>Relé 2.párové RT II/2 464 524 Schrack</v>
          </cell>
          <cell r="C77" t="str">
            <v>Schrack</v>
          </cell>
          <cell r="D77">
            <v>145</v>
          </cell>
        </row>
        <row r="78">
          <cell r="A78" t="str">
            <v>NS111</v>
          </cell>
          <cell r="B78" t="str">
            <v>Odporový snímač teploty venkovní
typ NS 111.65
rozsah -30°C až 100°C
obj. č. 01 200 200</v>
          </cell>
          <cell r="C78" t="str">
            <v>SENSIT
Rožnov p. R.</v>
          </cell>
          <cell r="D78">
            <v>714</v>
          </cell>
          <cell r="E78">
            <v>19</v>
          </cell>
        </row>
        <row r="79">
          <cell r="A79" t="str">
            <v>NS131-100</v>
          </cell>
          <cell r="B79" t="str">
            <v>Odporový snímač teploty do potrubí
typ NS 131.65 - 100
rozsah -30°C až 250°C
obj. č. 01 610 200</v>
          </cell>
          <cell r="C79" t="str">
            <v>SENSIT
Rožnov p. R.</v>
          </cell>
          <cell r="D79">
            <v>930</v>
          </cell>
          <cell r="E79">
            <v>19</v>
          </cell>
        </row>
        <row r="80">
          <cell r="A80" t="str">
            <v>NS131-160</v>
          </cell>
          <cell r="B80" t="str">
            <v>Odporový snímač teploty do potrubí
typ NS 131.65 - 160
rozsah -30°C až 250°C
obj. č. 01 620 200</v>
          </cell>
          <cell r="C80" t="str">
            <v>SENSIT
Rožnov p. R.</v>
          </cell>
          <cell r="D80">
            <v>954</v>
          </cell>
          <cell r="E80">
            <v>19</v>
          </cell>
        </row>
        <row r="81">
          <cell r="A81" t="str">
            <v>NS131</v>
          </cell>
          <cell r="B81" t="str">
            <v xml:space="preserve">Snímač teploty do potrubí NS 131.65 - 220
</v>
          </cell>
          <cell r="C81" t="str">
            <v>SENSIT
Rožnov p. R.</v>
          </cell>
          <cell r="D81">
            <v>978</v>
          </cell>
          <cell r="E81">
            <v>19</v>
          </cell>
        </row>
        <row r="82">
          <cell r="A82" t="str">
            <v>NS131-220</v>
          </cell>
          <cell r="B82" t="str">
            <v>Odporový snímač teploty do potrubí
typ NS 131.65 - 220
rozsah -30°C až 250°C
obj. č. 01 630 200</v>
          </cell>
          <cell r="C82" t="str">
            <v>SENSIT
Rožnov p. R.</v>
          </cell>
          <cell r="D82">
            <v>978</v>
          </cell>
          <cell r="E82">
            <v>19</v>
          </cell>
        </row>
        <row r="83">
          <cell r="A83" t="str">
            <v>NS131-220,pr</v>
          </cell>
          <cell r="B83" t="str">
            <v>Odporový snímač teploty do potrubí
typ NS 131.65 - 220
prodloužený stonek
rozsah -30°C až 250°C
obj. č. 01 730 200</v>
          </cell>
          <cell r="C83" t="str">
            <v>SENSIT
Rožnov p. R.</v>
          </cell>
          <cell r="D83">
            <v>1550</v>
          </cell>
          <cell r="E83">
            <v>19</v>
          </cell>
        </row>
        <row r="84">
          <cell r="A84" t="str">
            <v>NS141</v>
          </cell>
          <cell r="B84" t="str">
            <v>Odporový snímač teploty příložný s hlavicí
typ NS 141.65
rozsah 0°C až 130°C
obj. č. 01 700 200</v>
          </cell>
          <cell r="C84" t="str">
            <v>SENSIT
Rožnov p. R.</v>
          </cell>
          <cell r="D84">
            <v>750</v>
          </cell>
          <cell r="E84">
            <v>19</v>
          </cell>
        </row>
        <row r="85">
          <cell r="A85" t="str">
            <v>NS151</v>
          </cell>
          <cell r="B85" t="str">
            <v xml:space="preserve">Příložný snímač teploty NS 151.65 
</v>
          </cell>
          <cell r="C85" t="str">
            <v>SENSIT
Rožnov p. R.</v>
          </cell>
          <cell r="D85">
            <v>593</v>
          </cell>
          <cell r="E85">
            <v>19</v>
          </cell>
        </row>
        <row r="86">
          <cell r="A86" t="str">
            <v>VZH431/S</v>
          </cell>
          <cell r="B86" t="str">
            <v>405 613 466 002
Vyhodnocovací zařízení kontinuální VZH 431/S
výstup 4…20 mA</v>
          </cell>
          <cell r="C86" t="str">
            <v>ZPA Ekoreg
Ústí n/L</v>
          </cell>
          <cell r="D86">
            <v>2090</v>
          </cell>
          <cell r="E86">
            <v>120</v>
          </cell>
        </row>
        <row r="87">
          <cell r="A87" t="str">
            <v>VZH231/2M</v>
          </cell>
          <cell r="B87" t="str">
            <v>40 11124 901040
Vyhodnocovací zařízení kontinuální VZH 231/2M
1. mez minimum, 2. mez maximum
výstup 4…20 mA</v>
          </cell>
          <cell r="C87" t="str">
            <v>ZPA Ekoreg
Ústí n/L</v>
          </cell>
          <cell r="D87">
            <v>4100</v>
          </cell>
          <cell r="E87">
            <v>150</v>
          </cell>
        </row>
        <row r="88">
          <cell r="A88" t="str">
            <v xml:space="preserve">MS11Ff10N </v>
          </cell>
          <cell r="B88" t="str">
            <v>405 613 176 008/N
Měřící sonda tyčová izolovaná polyetylenem PE
typ MS 11 Ff 1015/N
materiál šroubení hliníková slitina
snímač v hlavici
délka elektrody 1,5 m
upevňovací závit M 36x2
materiál šroubení hliníková slitina</v>
          </cell>
          <cell r="C88" t="str">
            <v>ZPA Ekoreg
Ústí n/L</v>
          </cell>
          <cell r="D88">
            <v>2960</v>
          </cell>
          <cell r="E88">
            <v>90</v>
          </cell>
        </row>
        <row r="89">
          <cell r="A89" t="str">
            <v xml:space="preserve">MS11Ff10 </v>
          </cell>
          <cell r="B89" t="str">
            <v>405 613 106 712/NS 
Měřící sonda tyčová izolovaná polyetylenem PE
typ MS 11 Ff 1015/NS
materiál šroubení hliníková slitina
snímač v hlavici
délka elektrody 1,5 m
upevňovací závit M 36x2
materiál šroubení hliníková slitina</v>
          </cell>
          <cell r="C89" t="str">
            <v>ZPA Ekoreg
Ústí n/L</v>
          </cell>
          <cell r="D89">
            <v>3320</v>
          </cell>
          <cell r="E89">
            <v>90</v>
          </cell>
        </row>
        <row r="90">
          <cell r="A90" t="str">
            <v>PRKOMAL</v>
          </cell>
          <cell r="B90" t="str">
            <v>405 961 154 816
Montážní příruba kompletní
hliníková slitina</v>
          </cell>
          <cell r="C90" t="str">
            <v>ZPA Ekoreg
Ústí n/L</v>
          </cell>
          <cell r="D90">
            <v>380</v>
          </cell>
        </row>
        <row r="91">
          <cell r="A91" t="str">
            <v>PRSP</v>
          </cell>
          <cell r="B91" t="str">
            <v>405 961 006 216
Montážní příruba speciální</v>
          </cell>
          <cell r="C91" t="str">
            <v>ZPA Ekoreg
Ústí n/L</v>
          </cell>
          <cell r="D91">
            <v>250</v>
          </cell>
        </row>
        <row r="92">
          <cell r="A92" t="str">
            <v>KK,PPN2</v>
          </cell>
          <cell r="B92" t="str">
            <v>Kulový kohout Giacomini DN 25, PN 25
R 850/3/PPN/25/185 - 25
s el. pohonem PPN2 35.02.09/230VAC
bez mikrospínačů SO, SZ
bez vysílače polohy</v>
          </cell>
          <cell r="C92" t="str">
            <v>LDM 
Č. Třebová</v>
          </cell>
          <cell r="D92">
            <v>4220</v>
          </cell>
          <cell r="E92">
            <v>80</v>
          </cell>
        </row>
        <row r="93">
          <cell r="A93" t="str">
            <v xml:space="preserve">2-M1.1
2-M1.2
</v>
          </cell>
          <cell r="B93" t="str">
            <v>Kulový kohout Giacomini DN 32, PN 25
s el. pohonem PPN2 35.04.07.20/230VAC
se sig. SO,SZ, bez vysílače</v>
          </cell>
          <cell r="C93" t="str">
            <v>Ekorex
Nová Paka</v>
          </cell>
          <cell r="D93">
            <v>4070</v>
          </cell>
          <cell r="E93">
            <v>50</v>
          </cell>
        </row>
        <row r="94">
          <cell r="B94" t="str">
            <v>Řídící systém</v>
          </cell>
        </row>
        <row r="95">
          <cell r="A95" t="str">
            <v>1</v>
          </cell>
          <cell r="B95" t="str">
            <v>Regulátor DX 9100 - 8154</v>
          </cell>
          <cell r="C95" t="str">
            <v>Johnson 
Controls</v>
          </cell>
          <cell r="D95">
            <v>35549</v>
          </cell>
        </row>
        <row r="96">
          <cell r="D96" t="str">
            <v>celkem</v>
          </cell>
        </row>
        <row r="97">
          <cell r="A97" t="str">
            <v>3G32</v>
          </cell>
          <cell r="B97" t="str">
            <v>Směšovací klapka 3G32</v>
          </cell>
          <cell r="C97" t="str">
            <v>strojní
dodávka</v>
          </cell>
        </row>
        <row r="98">
          <cell r="A98" t="str">
            <v>PPN2</v>
          </cell>
          <cell r="B98" t="str">
            <v xml:space="preserve">Pákový servopohon PPN2 35.04.09
220V/50Hz, mikrospínače SO, SZ
bez výst. signálu, třmen se spojkou
</v>
          </cell>
          <cell r="C98" t="str">
            <v>Ekorex+
Nová Paka</v>
          </cell>
          <cell r="D98">
            <v>3550</v>
          </cell>
          <cell r="E98">
            <v>140</v>
          </cell>
        </row>
        <row r="99">
          <cell r="A99" t="str">
            <v>UNIPRES81</v>
          </cell>
          <cell r="B99" t="str">
            <v>405 114 811 343/64N3/2
Snímač tlaku UNIPRES 81</v>
          </cell>
          <cell r="C99" t="str">
            <v>ZPA
Nová Paka</v>
          </cell>
          <cell r="D99">
            <v>6570</v>
          </cell>
          <cell r="E99">
            <v>53</v>
          </cell>
        </row>
        <row r="100">
          <cell r="A100" t="str">
            <v>UNIPRES81
PP</v>
          </cell>
          <cell r="B100" t="str">
            <v>405 114 811 343/65N3/2
Tenzometrický snímač tlaku UNIPRES 81
připojení vnější závit M 20 x 1,5
kabelový vývod
výstup 4…20 mA
rozsah 0…1000 kPa
neověřený
základní chyba 0,6 %
kabel 3 m</v>
          </cell>
          <cell r="C100" t="str">
            <v>ZPA
Nová Paka</v>
          </cell>
          <cell r="D100">
            <v>6570</v>
          </cell>
          <cell r="E100">
            <v>53</v>
          </cell>
        </row>
        <row r="101">
          <cell r="A101" t="str">
            <v>TL.V.</v>
          </cell>
          <cell r="B101" t="str">
            <v>405 962 212 171
Uzavírací ventil nárožní</v>
          </cell>
          <cell r="C101" t="str">
            <v>ZPA
Nová Paka</v>
          </cell>
          <cell r="D101">
            <v>1200</v>
          </cell>
          <cell r="E101">
            <v>30</v>
          </cell>
        </row>
        <row r="102">
          <cell r="A102" t="str">
            <v>TL.V.
PP</v>
          </cell>
          <cell r="B102" t="str">
            <v>405 962 212 171
Uzavírací ventil nárožní
standardní provedení
materiál navař. kuželek a nátrubků  uhlíkatá ocel
vstup navařovací kuželka 12/6,5 mm
výstup nátrubek pro manometrické šroubení
s maticí M20x1,5
materiál těsnících kroužků viton</v>
          </cell>
          <cell r="C102" t="str">
            <v>ZPA
Nová Paka</v>
          </cell>
          <cell r="D102">
            <v>1670</v>
          </cell>
          <cell r="E102">
            <v>30</v>
          </cell>
        </row>
        <row r="103">
          <cell r="A103" t="str">
            <v>3VE4</v>
          </cell>
          <cell r="B103" t="str">
            <v>Elektromagnetický ventil 3VE4DF, DN 2</v>
          </cell>
          <cell r="C103" t="str">
            <v>ZPA Prešov</v>
          </cell>
          <cell r="D103">
            <v>750</v>
          </cell>
          <cell r="E103">
            <v>50</v>
          </cell>
        </row>
        <row r="104">
          <cell r="A104" t="str">
            <v>SVG10</v>
          </cell>
          <cell r="B104" t="str">
            <v>Elektromagnetický ventil SVG 10, DN 10</v>
          </cell>
          <cell r="C104" t="str">
            <v>Remagg
Vyškov</v>
          </cell>
          <cell r="D104">
            <v>735</v>
          </cell>
          <cell r="E104">
            <v>50</v>
          </cell>
        </row>
        <row r="105">
          <cell r="A105" t="str">
            <v>SVG20</v>
          </cell>
          <cell r="B105" t="str">
            <v>Elektromagnetický ventil SVG 20, 220 V</v>
          </cell>
          <cell r="C105" t="str">
            <v>Remagg
Vyškov</v>
          </cell>
          <cell r="D105">
            <v>1087</v>
          </cell>
          <cell r="E105">
            <v>50</v>
          </cell>
        </row>
        <row r="106">
          <cell r="A106" t="str">
            <v>ISTA,DN25F</v>
          </cell>
          <cell r="B106" t="str">
            <v>Měřič tepla SENSONIC WMZ 7F-3,5/T1
s vodoměrem DN 25, PN 16, 1l/imp.</v>
          </cell>
          <cell r="C106" t="str">
            <v>Raab Karcher</v>
          </cell>
          <cell r="D106">
            <v>18493</v>
          </cell>
          <cell r="E106">
            <v>180</v>
          </cell>
        </row>
        <row r="107">
          <cell r="A107" t="str">
            <v>ISTA,DN40</v>
          </cell>
          <cell r="B107" t="str">
            <v>Měřič tepla SENSONIC WMZ 20-10/T25
s vodoměrem DN 40, PN 16, 25l/imp.</v>
          </cell>
          <cell r="C107" t="str">
            <v>Raab Karcher</v>
          </cell>
          <cell r="D107">
            <v>26379</v>
          </cell>
          <cell r="E107">
            <v>180</v>
          </cell>
        </row>
        <row r="108">
          <cell r="A108" t="str">
            <v>ISTA,DN25</v>
          </cell>
          <cell r="B108" t="str">
            <v>Měřič tepla SENSONIC WMZ 7-3,5/T1
s vodoměrem DN 25, PN 16, 1l/imp.</v>
          </cell>
          <cell r="C108" t="str">
            <v>Raab Karcher</v>
          </cell>
          <cell r="D108">
            <v>17561</v>
          </cell>
          <cell r="E108">
            <v>180</v>
          </cell>
        </row>
        <row r="109">
          <cell r="A109" t="str">
            <v>ISTA,DN32</v>
          </cell>
          <cell r="B109" t="str">
            <v>Měřič tepla SENSONIC WMZ 10-6/T1
s vodoměrem DN 32, PN 16, 1l/imp.</v>
          </cell>
          <cell r="C109" t="str">
            <v>Raab Karcher</v>
          </cell>
          <cell r="D109">
            <v>17561</v>
          </cell>
          <cell r="E109">
            <v>180</v>
          </cell>
        </row>
        <row r="110">
          <cell r="A110" t="str">
            <v>mt200,40</v>
          </cell>
          <cell r="B110" t="str">
            <v>1 405 611 246 922
Měřič spotřeby tepla MT 200, DN 40
kabel ind. čidla 6 m
teploměry 8 m, jímka 50 mm
návarky dlouhé
materiál výstelky Teflon</v>
          </cell>
          <cell r="C110" t="str">
            <v>EESA
Lomnice n.P.</v>
          </cell>
          <cell r="D110">
            <v>27870</v>
          </cell>
          <cell r="E110">
            <v>450</v>
          </cell>
        </row>
        <row r="111">
          <cell r="A111" t="str">
            <v>mt200,150</v>
          </cell>
          <cell r="B111" t="str">
            <v>1 405 611 256 822
Měřič spotřeby tepla MT 200, DN 150
kabel ind. čidla 6 m
teploměry 8 m, jímka 100 mm
návarky dlouhé
materiál výstelky Teflon
ověření do Qmax = 300 m3/h</v>
          </cell>
          <cell r="C111" t="str">
            <v>EESA
Lomnice n.P.</v>
          </cell>
          <cell r="D111">
            <v>32700</v>
          </cell>
          <cell r="E111">
            <v>450</v>
          </cell>
        </row>
        <row r="112">
          <cell r="B112" t="str">
            <v>Kabelový žlab 62x50 vč. víka</v>
          </cell>
          <cell r="C112" t="str">
            <v>Elektram</v>
          </cell>
          <cell r="D112">
            <v>105</v>
          </cell>
          <cell r="E112">
            <v>46.6</v>
          </cell>
        </row>
        <row r="113">
          <cell r="B113" t="str">
            <v>Koleno kabelového žlabu 62x50 vč. víka</v>
          </cell>
          <cell r="C113" t="str">
            <v>Elektram</v>
          </cell>
          <cell r="D113">
            <v>137</v>
          </cell>
          <cell r="E113">
            <v>30.5</v>
          </cell>
        </row>
        <row r="114">
          <cell r="A114" t="str">
            <v>MTUV-VYST.</v>
          </cell>
          <cell r="B114" t="str">
            <v>Bezpotenciálový kontaktní výstup pro energii
typ č. 18572</v>
          </cell>
          <cell r="C114" t="str">
            <v>Raab Karcher</v>
          </cell>
          <cell r="D114">
            <v>2252</v>
          </cell>
          <cell r="E114">
            <v>50</v>
          </cell>
        </row>
        <row r="115">
          <cell r="A115" t="str">
            <v>MTOP</v>
          </cell>
          <cell r="B115" t="str">
            <v>Indukční měřič tepla THERMEOS</v>
          </cell>
          <cell r="C115" t="str">
            <v>stávající</v>
          </cell>
          <cell r="D115">
            <v>0</v>
          </cell>
          <cell r="E115">
            <v>230</v>
          </cell>
        </row>
        <row r="116">
          <cell r="B116" t="str">
            <v>Spojka kabelového žlabu 62</v>
          </cell>
          <cell r="C116" t="str">
            <v>Elektram</v>
          </cell>
          <cell r="D116">
            <v>2.4</v>
          </cell>
          <cell r="E116">
            <v>0</v>
          </cell>
        </row>
        <row r="117">
          <cell r="A117" t="str">
            <v>čtop3</v>
          </cell>
          <cell r="B117" t="str">
            <v>Oběhové čerpadlo top .vody
3 x 380/220 V</v>
          </cell>
          <cell r="C117" t="str">
            <v>strojní
dodávka</v>
          </cell>
          <cell r="D117">
            <v>0</v>
          </cell>
          <cell r="E117">
            <v>80</v>
          </cell>
        </row>
        <row r="118">
          <cell r="A118" t="str">
            <v>čtuv3</v>
          </cell>
          <cell r="B118" t="str">
            <v>Cirkulační čerpadlo TUV
3 x 380/220 VAC</v>
          </cell>
          <cell r="C118" t="str">
            <v>strojní
dodávka</v>
          </cell>
          <cell r="D118">
            <v>0</v>
          </cell>
          <cell r="E118">
            <v>80</v>
          </cell>
        </row>
        <row r="119">
          <cell r="B119" t="str">
            <v>Lišta PVC 40x40 vč. víka</v>
          </cell>
          <cell r="C119" t="str">
            <v>Elektram</v>
          </cell>
          <cell r="D119">
            <v>33</v>
          </cell>
          <cell r="E119">
            <v>8</v>
          </cell>
        </row>
        <row r="120">
          <cell r="A120" t="str">
            <v>ah1</v>
          </cell>
          <cell r="B120" t="str">
            <v>Úprava pro signalizaci provoz. pohotovosti</v>
          </cell>
          <cell r="C120" t="str">
            <v>ENERGIE MaR</v>
          </cell>
          <cell r="D120">
            <v>3500</v>
          </cell>
          <cell r="E120">
            <v>4.8</v>
          </cell>
        </row>
        <row r="121">
          <cell r="A121" t="str">
            <v>ah2</v>
          </cell>
          <cell r="B121" t="str">
            <v>Úprava zapojení - motáž, demontáž</v>
          </cell>
          <cell r="C121" t="str">
            <v>ENERGIE MaR</v>
          </cell>
          <cell r="D121">
            <v>28</v>
          </cell>
          <cell r="E121">
            <v>400</v>
          </cell>
        </row>
        <row r="122">
          <cell r="B122" t="str">
            <v>Pancéřová trubka PZ 21</v>
          </cell>
          <cell r="C122" t="str">
            <v>Elektram</v>
          </cell>
          <cell r="D122">
            <v>37</v>
          </cell>
          <cell r="E122">
            <v>8.4499999999999993</v>
          </cell>
        </row>
        <row r="123">
          <cell r="B123" t="str">
            <v>Vodič CY 6mm2 ŽZ</v>
          </cell>
          <cell r="C123" t="str">
            <v>Elektram</v>
          </cell>
          <cell r="D123">
            <v>8.9</v>
          </cell>
          <cell r="E123">
            <v>5.2</v>
          </cell>
        </row>
        <row r="124">
          <cell r="B124" t="str">
            <v>Zemnící svorky vč. CU pásků</v>
          </cell>
          <cell r="C124" t="str">
            <v>Elektram</v>
          </cell>
          <cell r="D124">
            <v>11</v>
          </cell>
          <cell r="E124">
            <v>4.5</v>
          </cell>
        </row>
        <row r="125">
          <cell r="A125" t="str">
            <v>TG2</v>
          </cell>
          <cell r="B125" t="str">
            <v>Ponorné čidlo teploty Ni 1000/6180ppm
v nerezovém pouzdru TG2
délka 50 mm, závit M10x1,5</v>
          </cell>
          <cell r="C125" t="str">
            <v>SENSIT
Rožnov p. R.</v>
          </cell>
          <cell r="D125">
            <v>400</v>
          </cell>
          <cell r="E125">
            <v>19</v>
          </cell>
        </row>
        <row r="126">
          <cell r="D126" t="str">
            <v>celkem</v>
          </cell>
        </row>
        <row r="128">
          <cell r="A128" t="str">
            <v>1-BT1</v>
          </cell>
          <cell r="B128" t="str">
            <v>Odporový snímač teploty venkovní
NS 111.65
rozsah -30°C až 100°C
obj. č. 01 200 200</v>
          </cell>
          <cell r="C128" t="str">
            <v>SENSIT
Rožnov p. R.</v>
          </cell>
          <cell r="D128">
            <v>714</v>
          </cell>
          <cell r="E128">
            <v>19</v>
          </cell>
        </row>
        <row r="129">
          <cell r="A129" t="str">
            <v>1-BT2</v>
          </cell>
          <cell r="B129" t="str">
            <v>Odporový snímač teploty do potrubí
NS 131.65 - 100
rozsah -30°C až 250°C
obj. č. 01 610 200</v>
          </cell>
          <cell r="C129" t="str">
            <v>SENSIT
Rožnov p. R.</v>
          </cell>
          <cell r="D129">
            <v>930</v>
          </cell>
          <cell r="E129">
            <v>19</v>
          </cell>
        </row>
        <row r="130">
          <cell r="A130" t="str">
            <v>1-BT3</v>
          </cell>
          <cell r="B130" t="str">
            <v>Odporový snímač teploty prostorový
NS 101.30
rozsah -30°C až 100°C
obj. č. 01 100 200</v>
          </cell>
          <cell r="C130" t="str">
            <v>SENSIT
Rožnov p. R.</v>
          </cell>
          <cell r="D130">
            <v>432</v>
          </cell>
          <cell r="E130">
            <v>19</v>
          </cell>
        </row>
        <row r="131">
          <cell r="A131" t="str">
            <v>1-M1</v>
          </cell>
          <cell r="B131" t="str">
            <v>Směšovací ventil 3G25, DN25, PN 6
s el. pohonem ESBE 62P, řízený 0-10V</v>
          </cell>
          <cell r="C131" t="str">
            <v xml:space="preserve">Eko-Ekviterm </v>
          </cell>
          <cell r="D131">
            <v>4890</v>
          </cell>
          <cell r="E131">
            <v>50</v>
          </cell>
        </row>
        <row r="132">
          <cell r="A132" t="str">
            <v>1-M1</v>
          </cell>
          <cell r="B132" t="str">
            <v>Směšovací ventil 3G32, DN32 PN 6
s el. pohonem ESBE 62P, řízený 0-10V</v>
          </cell>
          <cell r="C132" t="str">
            <v xml:space="preserve">Eko-Ekviterm </v>
          </cell>
          <cell r="D132">
            <v>4950</v>
          </cell>
          <cell r="E132">
            <v>50</v>
          </cell>
        </row>
        <row r="133">
          <cell r="A133" t="str">
            <v>1-M1</v>
          </cell>
          <cell r="B133" t="str">
            <v>Směšovací ventil 3G40, DN40, PN 6
s el. pohonem ESBE 62P, řízený 0-10V</v>
          </cell>
          <cell r="C133" t="str">
            <v xml:space="preserve">Eko-Ekviterm </v>
          </cell>
          <cell r="D133">
            <v>5070</v>
          </cell>
          <cell r="E133">
            <v>50</v>
          </cell>
        </row>
        <row r="134">
          <cell r="A134" t="str">
            <v>1-M1</v>
          </cell>
          <cell r="B134" t="str">
            <v>Směšovací ventil 3G50, DN50, PN 6
s el. pohonem ESBE 62P, řízený 0-10V</v>
          </cell>
          <cell r="C134" t="str">
            <v xml:space="preserve">Eko-Ekviterm </v>
          </cell>
          <cell r="D134">
            <v>5840</v>
          </cell>
          <cell r="E134">
            <v>50</v>
          </cell>
        </row>
        <row r="136">
          <cell r="A136" t="str">
            <v>6-M1</v>
          </cell>
          <cell r="B136" t="str">
            <v>Oběhové čerpadlo top .vody
3 x 380/220 V</v>
          </cell>
          <cell r="D136">
            <v>0</v>
          </cell>
          <cell r="E136">
            <v>60</v>
          </cell>
        </row>
        <row r="137">
          <cell r="A137" t="str">
            <v>2-BT1.1
2-BT1.2</v>
          </cell>
          <cell r="B137" t="str">
            <v>Odporový snímač teploty do potrubí
NS 131.65 - 220
rozsah -30°C až 250°C
obj. č. 01 630 200</v>
          </cell>
          <cell r="C137" t="str">
            <v>SENSIT
Rožnov p. R.</v>
          </cell>
          <cell r="D137">
            <v>978</v>
          </cell>
          <cell r="E137">
            <v>19</v>
          </cell>
        </row>
        <row r="138">
          <cell r="A138" t="str">
            <v>2-BT1</v>
          </cell>
          <cell r="B138" t="str">
            <v>Příložné odporové čidlo
NS 141.65
rozsah 0°C až 130°C
obj. Č. 01 700 200</v>
          </cell>
          <cell r="C138" t="str">
            <v>SENSIT
Rožnov p. R.</v>
          </cell>
          <cell r="D138">
            <v>750</v>
          </cell>
          <cell r="E138">
            <v>19</v>
          </cell>
        </row>
        <row r="139">
          <cell r="A139" t="str">
            <v xml:space="preserve">2-M1.1
2-M1.2
</v>
          </cell>
          <cell r="B139" t="str">
            <v>Kulový kohout Giacomini DN 25, PN 25
s el. pohonem PPN2 20.04.07.20/230VAC
se sig. SO,SZ, bez vysílače</v>
          </cell>
          <cell r="C139" t="str">
            <v>Ekorex
Nová Paka</v>
          </cell>
          <cell r="D139">
            <v>3860</v>
          </cell>
          <cell r="E139">
            <v>50</v>
          </cell>
        </row>
        <row r="140">
          <cell r="A140" t="str">
            <v xml:space="preserve">2-M1.1
2-M1.2
</v>
          </cell>
          <cell r="B140" t="str">
            <v>Kulový kohout Giacomini DN 32, PN 25
s el. pohonem PPN2 35.04.07.20/230VAC
se sig. SO,SZ, bez vysílače</v>
          </cell>
          <cell r="C140" t="str">
            <v>Ekorex
Nová Paka</v>
          </cell>
          <cell r="D140">
            <v>4070</v>
          </cell>
          <cell r="E140">
            <v>50</v>
          </cell>
        </row>
        <row r="141">
          <cell r="A141" t="str">
            <v xml:space="preserve">2-M1.1
2-M1.2
</v>
          </cell>
          <cell r="B141" t="str">
            <v>Kulový kohout Giacomini DN 40, PN 25
s el. pohonem PPN2 65.04.07.00/230VAC
se sig. SO,SZ, bez vysílače</v>
          </cell>
          <cell r="C141" t="str">
            <v>Ekorex
Nová Paka</v>
          </cell>
          <cell r="D141">
            <v>7790</v>
          </cell>
          <cell r="E141">
            <v>50</v>
          </cell>
        </row>
        <row r="142">
          <cell r="A142" t="str">
            <v xml:space="preserve">2-M1.1
2-M1.2
</v>
          </cell>
          <cell r="B142" t="str">
            <v>Kulový kohout Giacomini DN 50, PN25
s el. pohonem PPN2 65.04.07.00/230VAC
se sig. SO,SZ, bez vysílače</v>
          </cell>
          <cell r="C142" t="str">
            <v>Ekorex
Nová Paka</v>
          </cell>
          <cell r="D142">
            <v>7980</v>
          </cell>
          <cell r="E142">
            <v>50</v>
          </cell>
        </row>
        <row r="143">
          <cell r="A143" t="str">
            <v>3-YV1
4-YV1</v>
          </cell>
          <cell r="B143" t="str">
            <v>Dvoucestný elektromagnetický ventil DN 20
typ EVPE 2020.01, 220 VAC</v>
          </cell>
          <cell r="C143" t="str">
            <v>PEVEKO
Boršice u B.</v>
          </cell>
          <cell r="D143">
            <v>1200</v>
          </cell>
          <cell r="E143">
            <v>50</v>
          </cell>
        </row>
        <row r="144">
          <cell r="A144" t="str">
            <v>3-YV1
4-YV1</v>
          </cell>
          <cell r="B144" t="str">
            <v>Dvoucestný elektromagnetický ventil DN 30 
typ EVPE 2030.01, 220 VAC</v>
          </cell>
          <cell r="C144" t="str">
            <v>PEVEKO
Boršice u B.</v>
          </cell>
          <cell r="D144">
            <v>1600</v>
          </cell>
          <cell r="E144">
            <v>50</v>
          </cell>
        </row>
        <row r="145">
          <cell r="A145" t="str">
            <v>3-YV1
4-YV1</v>
          </cell>
          <cell r="B145" t="str">
            <v>Dvoucestný elektromagnetický ventil DN 40 
typ EVPE 2040.01, 220 VAC</v>
          </cell>
          <cell r="C145" t="str">
            <v>PEVEKO
Boršice u B.</v>
          </cell>
          <cell r="D145">
            <v>1900</v>
          </cell>
          <cell r="E145">
            <v>50</v>
          </cell>
        </row>
        <row r="146">
          <cell r="A146" t="str">
            <v>7-M1</v>
          </cell>
          <cell r="B146" t="str">
            <v>Cirkulační čerpadlo TUV
220 VAC</v>
          </cell>
          <cell r="E146">
            <v>40</v>
          </cell>
        </row>
        <row r="147">
          <cell r="A147" t="str">
            <v>7-M1</v>
          </cell>
          <cell r="B147" t="str">
            <v>Cirkulační čerpadlo TUV
3 x 380/220 VAC</v>
          </cell>
          <cell r="E147">
            <v>60</v>
          </cell>
        </row>
        <row r="148">
          <cell r="A148" t="str">
            <v>7-M1</v>
          </cell>
          <cell r="B148" t="str">
            <v>Nabíjecí čerpadlo TUV
220 VAC</v>
          </cell>
          <cell r="E148">
            <v>40</v>
          </cell>
        </row>
        <row r="155">
          <cell r="B155" t="str">
            <v>Rozvaděč RD2</v>
          </cell>
        </row>
        <row r="156">
          <cell r="A156" t="str">
            <v>r3</v>
          </cell>
          <cell r="B156" t="str">
            <v>Rozvaděčová skříň 2000x2400x400</v>
          </cell>
          <cell r="C156" t="str">
            <v>Schrack</v>
          </cell>
          <cell r="D156">
            <v>38000</v>
          </cell>
          <cell r="E156">
            <v>900</v>
          </cell>
        </row>
        <row r="157">
          <cell r="A157" t="str">
            <v>r2</v>
          </cell>
          <cell r="B157" t="str">
            <v>Rozvaděčová skříň 2000x800x400</v>
          </cell>
          <cell r="C157" t="str">
            <v>ZPA Pečky</v>
          </cell>
          <cell r="D157">
            <v>14000</v>
          </cell>
          <cell r="E157">
            <v>550</v>
          </cell>
        </row>
        <row r="158">
          <cell r="A158" t="str">
            <v>r1</v>
          </cell>
          <cell r="B158" t="str">
            <v>Rozvaděčová skříň 210x675x450</v>
          </cell>
          <cell r="C158" t="str">
            <v>atyp</v>
          </cell>
          <cell r="D158">
            <v>0</v>
          </cell>
          <cell r="E158">
            <v>0</v>
          </cell>
        </row>
        <row r="159">
          <cell r="A159" t="str">
            <v>v1</v>
          </cell>
        </row>
        <row r="160">
          <cell r="A160" t="str">
            <v>v9</v>
          </cell>
          <cell r="B160" t="str">
            <v>vývodka GP 9</v>
          </cell>
          <cell r="C160" t="str">
            <v>Elektram</v>
          </cell>
          <cell r="D160">
            <v>5</v>
          </cell>
        </row>
        <row r="161">
          <cell r="A161" t="str">
            <v>v11</v>
          </cell>
          <cell r="B161" t="str">
            <v>vývodka GP 11</v>
          </cell>
          <cell r="C161" t="str">
            <v>Elektram</v>
          </cell>
          <cell r="D161">
            <v>5.3</v>
          </cell>
        </row>
        <row r="162">
          <cell r="A162" t="str">
            <v>v13</v>
          </cell>
          <cell r="B162" t="str">
            <v>vývodka GP 13.5</v>
          </cell>
          <cell r="C162" t="str">
            <v>Elektram</v>
          </cell>
          <cell r="D162">
            <v>5.6</v>
          </cell>
        </row>
        <row r="163">
          <cell r="A163" t="str">
            <v>v16</v>
          </cell>
          <cell r="B163" t="str">
            <v>vývodka GP 16</v>
          </cell>
          <cell r="C163" t="str">
            <v>Elektram</v>
          </cell>
          <cell r="D163">
            <v>7.6</v>
          </cell>
        </row>
        <row r="164">
          <cell r="A164" t="str">
            <v>v29</v>
          </cell>
          <cell r="B164" t="str">
            <v>vývodka GP 29</v>
          </cell>
          <cell r="C164" t="str">
            <v>Elektram</v>
          </cell>
          <cell r="D164">
            <v>14</v>
          </cell>
        </row>
        <row r="166">
          <cell r="A166" t="str">
            <v>sv2,5</v>
          </cell>
          <cell r="B166" t="str">
            <v>Svorka řadová - šedá M2,5/5</v>
          </cell>
          <cell r="C166" t="str">
            <v>Entrelec</v>
          </cell>
          <cell r="D166">
            <v>12</v>
          </cell>
        </row>
        <row r="167">
          <cell r="A167" t="str">
            <v>sv2,5m</v>
          </cell>
          <cell r="B167" t="str">
            <v>Svorka řadová - světle modrá M2,5/5.N</v>
          </cell>
          <cell r="C167" t="str">
            <v>Entrelec</v>
          </cell>
          <cell r="D167">
            <v>13</v>
          </cell>
        </row>
        <row r="168">
          <cell r="A168" t="str">
            <v>sv2,5ž</v>
          </cell>
          <cell r="B168" t="str">
            <v>Svorka řadová - žlutozelená M2,5/5.P</v>
          </cell>
          <cell r="C168" t="str">
            <v>Entrelec</v>
          </cell>
          <cell r="D168">
            <v>44</v>
          </cell>
        </row>
        <row r="170">
          <cell r="A170" t="str">
            <v>sv4</v>
          </cell>
          <cell r="B170" t="str">
            <v>Svorka řadová - šedá M4/6</v>
          </cell>
          <cell r="C170" t="str">
            <v>Entrelec</v>
          </cell>
          <cell r="D170">
            <v>12.2</v>
          </cell>
        </row>
        <row r="171">
          <cell r="A171" t="str">
            <v>sv4m</v>
          </cell>
          <cell r="B171" t="str">
            <v>Svorka řadová - světle modrá M4/6.N</v>
          </cell>
          <cell r="C171" t="str">
            <v>Entrelec</v>
          </cell>
          <cell r="D171">
            <v>13.2</v>
          </cell>
        </row>
        <row r="172">
          <cell r="A172" t="str">
            <v>sv4ž</v>
          </cell>
          <cell r="B172" t="str">
            <v>Svorka řadová - žlutozelená M4/6.P</v>
          </cell>
          <cell r="C172" t="str">
            <v>Entrelec</v>
          </cell>
          <cell r="D172">
            <v>44</v>
          </cell>
        </row>
        <row r="174">
          <cell r="A174" t="str">
            <v>svj</v>
          </cell>
          <cell r="B174" t="str">
            <v>Svorka rozjišťovací M4/8SF</v>
          </cell>
          <cell r="C174" t="str">
            <v>Entrelec</v>
          </cell>
          <cell r="D174">
            <v>49</v>
          </cell>
        </row>
        <row r="176">
          <cell r="A176" t="str">
            <v>žG/R</v>
          </cell>
          <cell r="B176" t="str">
            <v>Indikační svítidlo HDS-95/G/R</v>
          </cell>
          <cell r="C176" t="str">
            <v>Eleco</v>
          </cell>
          <cell r="D176">
            <v>119</v>
          </cell>
        </row>
        <row r="177">
          <cell r="A177" t="str">
            <v>žG230</v>
          </cell>
          <cell r="B177" t="str">
            <v>Indikační svítidlo HDS-95/G, 230 VAC</v>
          </cell>
          <cell r="C177" t="str">
            <v>Eleco</v>
          </cell>
          <cell r="D177">
            <v>119</v>
          </cell>
        </row>
        <row r="178">
          <cell r="A178" t="str">
            <v>žG24</v>
          </cell>
          <cell r="B178" t="str">
            <v>Indikační svítidlo HDS-95/G, 24 VDC</v>
          </cell>
          <cell r="C178" t="str">
            <v>Eleco</v>
          </cell>
          <cell r="D178">
            <v>119</v>
          </cell>
        </row>
        <row r="179">
          <cell r="A179" t="str">
            <v>žR</v>
          </cell>
          <cell r="B179" t="str">
            <v>Indikační svítidlo HDS-95/R</v>
          </cell>
          <cell r="C179" t="str">
            <v>Eleco</v>
          </cell>
          <cell r="D179">
            <v>119</v>
          </cell>
        </row>
        <row r="180">
          <cell r="A180" t="str">
            <v>T10stisk</v>
          </cell>
          <cell r="B180" t="str">
            <v>Stiskací hlavice černá T10A</v>
          </cell>
          <cell r="C180" t="str">
            <v>Groupe-Schneider</v>
          </cell>
          <cell r="D180">
            <v>54</v>
          </cell>
        </row>
        <row r="181">
          <cell r="A181" t="str">
            <v>T103pol</v>
          </cell>
          <cell r="B181" t="str">
            <v>Ovládací hlavice trojpolohová T10 B ČE</v>
          </cell>
          <cell r="C181" t="str">
            <v>Groupe-Schneider</v>
          </cell>
          <cell r="D181">
            <v>69</v>
          </cell>
        </row>
        <row r="182">
          <cell r="A182" t="str">
            <v>T102pol</v>
          </cell>
          <cell r="B182" t="str">
            <v xml:space="preserve">Ovládací hlavice dvojpolohová T10 G ČE </v>
          </cell>
          <cell r="C182" t="str">
            <v>Groupe-Schneider</v>
          </cell>
          <cell r="D182">
            <v>67</v>
          </cell>
        </row>
        <row r="183">
          <cell r="A183" t="str">
            <v>přepj</v>
          </cell>
          <cell r="B183" t="str">
            <v>Přepínací jednotka T10 Z 111 Z</v>
          </cell>
          <cell r="C183" t="str">
            <v>Groupe-Schneider</v>
          </cell>
          <cell r="D183">
            <v>51</v>
          </cell>
        </row>
        <row r="184">
          <cell r="A184" t="str">
            <v>spinj</v>
          </cell>
          <cell r="B184" t="str">
            <v>Spínací jednotka T10 Z 011 Y</v>
          </cell>
          <cell r="C184" t="str">
            <v>Groupe-Schneider</v>
          </cell>
          <cell r="D184">
            <v>43</v>
          </cell>
        </row>
        <row r="185">
          <cell r="A185" t="str">
            <v>spoj</v>
          </cell>
          <cell r="B185" t="str">
            <v>Spojovací díl T10 SD 3</v>
          </cell>
          <cell r="C185" t="str">
            <v>Groupe-Schneider</v>
          </cell>
          <cell r="D185">
            <v>5.5</v>
          </cell>
        </row>
        <row r="187">
          <cell r="A187" t="str">
            <v>hlvyp</v>
          </cell>
          <cell r="B187" t="str">
            <v xml:space="preserve">Hlavní vypínač 3f/16A </v>
          </cell>
          <cell r="C187" t="str">
            <v>Končar</v>
          </cell>
          <cell r="D187">
            <v>343</v>
          </cell>
        </row>
        <row r="194">
          <cell r="A194" t="str">
            <v>Hlj</v>
          </cell>
          <cell r="B194" t="str">
            <v>Hlavní jistič BA 51 - 37 s pom. cívkou</v>
          </cell>
          <cell r="C194" t="str">
            <v>OEZ Letohrad</v>
          </cell>
          <cell r="D194">
            <v>4000</v>
          </cell>
        </row>
        <row r="196">
          <cell r="A196" t="str">
            <v>MS2,5-4</v>
          </cell>
          <cell r="B196" t="str">
            <v>Motorový spouštěč 2,5-4 A</v>
          </cell>
          <cell r="C196" t="str">
            <v>Schrack</v>
          </cell>
          <cell r="D196">
            <v>850</v>
          </cell>
        </row>
        <row r="197">
          <cell r="A197" t="str">
            <v>MS4-6,3</v>
          </cell>
          <cell r="B197" t="str">
            <v>Motorový spouštěč 4-6,3 A</v>
          </cell>
          <cell r="C197" t="str">
            <v>Schrack</v>
          </cell>
          <cell r="D197">
            <v>850</v>
          </cell>
        </row>
        <row r="198">
          <cell r="A198" t="str">
            <v>MS6,3-10</v>
          </cell>
          <cell r="B198" t="str">
            <v>Motorový spouštěč 6,3-10</v>
          </cell>
          <cell r="C198" t="str">
            <v>Schrack</v>
          </cell>
          <cell r="D198">
            <v>850</v>
          </cell>
        </row>
        <row r="199">
          <cell r="A199" t="str">
            <v>MS25-40</v>
          </cell>
          <cell r="B199" t="str">
            <v>Motorový spouštěč 25-40</v>
          </cell>
          <cell r="C199" t="str">
            <v>Schrack</v>
          </cell>
          <cell r="D199">
            <v>900</v>
          </cell>
        </row>
        <row r="204">
          <cell r="A204" t="str">
            <v>j0,4</v>
          </cell>
          <cell r="B204" t="str">
            <v>Jednopólový jistič LSN 0,4A/K</v>
          </cell>
          <cell r="C204" t="str">
            <v>OEZ Letohrad</v>
          </cell>
          <cell r="D204">
            <v>200</v>
          </cell>
        </row>
        <row r="205">
          <cell r="A205" t="str">
            <v>j4</v>
          </cell>
          <cell r="B205" t="str">
            <v>Jednopólový jistič Schrack 4A/C</v>
          </cell>
          <cell r="C205" t="str">
            <v>Schrack</v>
          </cell>
          <cell r="D205">
            <v>121</v>
          </cell>
        </row>
        <row r="206">
          <cell r="A206" t="str">
            <v>j6</v>
          </cell>
          <cell r="B206" t="str">
            <v>Jednopólový jistič Schrack 6A/C</v>
          </cell>
          <cell r="C206" t="str">
            <v>Schrack</v>
          </cell>
          <cell r="D206">
            <v>108</v>
          </cell>
        </row>
        <row r="207">
          <cell r="A207" t="str">
            <v>j2x3</v>
          </cell>
          <cell r="B207" t="str">
            <v>Třípólový jistič Schrack 2A/C</v>
          </cell>
          <cell r="C207" t="str">
            <v>Schrack</v>
          </cell>
          <cell r="D207">
            <v>346</v>
          </cell>
        </row>
        <row r="208">
          <cell r="A208" t="str">
            <v>j4x3</v>
          </cell>
          <cell r="B208" t="str">
            <v>Třípólový jistič Schrack 4A/C</v>
          </cell>
          <cell r="C208" t="str">
            <v>Schrack</v>
          </cell>
          <cell r="D208">
            <v>346</v>
          </cell>
        </row>
        <row r="209">
          <cell r="A209" t="str">
            <v>j6x3</v>
          </cell>
          <cell r="B209" t="str">
            <v>Třípólový jistič Schrack 6A/C</v>
          </cell>
          <cell r="C209" t="str">
            <v>Schrack</v>
          </cell>
          <cell r="D209">
            <v>346</v>
          </cell>
        </row>
        <row r="210">
          <cell r="A210" t="str">
            <v>j16x3</v>
          </cell>
          <cell r="B210" t="str">
            <v>Třípólový jistič Schrack 16A/C</v>
          </cell>
          <cell r="C210" t="str">
            <v>Schrack</v>
          </cell>
          <cell r="D210">
            <v>346</v>
          </cell>
        </row>
        <row r="211">
          <cell r="A211" t="str">
            <v>j25x3</v>
          </cell>
          <cell r="B211" t="str">
            <v>Třípólový jistič Schrack 25A/C</v>
          </cell>
          <cell r="C211" t="str">
            <v>Schrack</v>
          </cell>
          <cell r="D211">
            <v>346</v>
          </cell>
        </row>
        <row r="212">
          <cell r="A212" t="str">
            <v>j25x3</v>
          </cell>
          <cell r="B212" t="str">
            <v>Třípólový jistič Schrack 25A/C</v>
          </cell>
          <cell r="C212" t="str">
            <v>Schrack</v>
          </cell>
          <cell r="D212">
            <v>346</v>
          </cell>
        </row>
        <row r="213">
          <cell r="A213" t="str">
            <v>pm</v>
          </cell>
          <cell r="B213" t="str">
            <v>Pomocný spínač BD-H1, 1Z+1R</v>
          </cell>
          <cell r="C213" t="str">
            <v>Schrack</v>
          </cell>
          <cell r="D213">
            <v>150</v>
          </cell>
        </row>
        <row r="214">
          <cell r="A214" t="str">
            <v>st</v>
          </cell>
          <cell r="B214" t="str">
            <v>Stykač 3.f. 24VAC/LC1/LLC2-K06</v>
          </cell>
          <cell r="C214" t="str">
            <v>Groupe-Schneider</v>
          </cell>
          <cell r="D214">
            <v>210</v>
          </cell>
        </row>
        <row r="215">
          <cell r="A215" t="str">
            <v>stht</v>
          </cell>
          <cell r="B215" t="str">
            <v>Stykačová kombinace K2Y 40 S 230</v>
          </cell>
          <cell r="C215" t="str">
            <v>Schrack</v>
          </cell>
          <cell r="D215">
            <v>3760</v>
          </cell>
        </row>
        <row r="216">
          <cell r="B216" t="str">
            <v>Pomocný spínač 1Z+1R</v>
          </cell>
          <cell r="C216" t="str">
            <v>Schrack</v>
          </cell>
          <cell r="D216">
            <v>150</v>
          </cell>
        </row>
        <row r="217">
          <cell r="A217" t="str">
            <v>r2p</v>
          </cell>
          <cell r="B217" t="str">
            <v>Relé 2.párové RT II/2 464 524 Schrack</v>
          </cell>
          <cell r="C217" t="str">
            <v>Schrack</v>
          </cell>
          <cell r="D217">
            <v>145</v>
          </cell>
        </row>
        <row r="218">
          <cell r="A218" t="str">
            <v>pr2p</v>
          </cell>
          <cell r="B218" t="str">
            <v>Patice 2.párové RP 78 625 Schrack</v>
          </cell>
          <cell r="C218" t="str">
            <v>Schrack</v>
          </cell>
          <cell r="D218">
            <v>120</v>
          </cell>
        </row>
        <row r="219">
          <cell r="A219" t="str">
            <v>čr</v>
          </cell>
          <cell r="B219" t="str">
            <v>Časové relé</v>
          </cell>
          <cell r="C219" t="str">
            <v>Schrack</v>
          </cell>
          <cell r="D219">
            <v>800</v>
          </cell>
        </row>
        <row r="220">
          <cell r="A220" t="str">
            <v>lim</v>
          </cell>
          <cell r="B220" t="str">
            <v>Limitér analogových signálů LT1-1a</v>
          </cell>
          <cell r="C220" t="str">
            <v>DA Ostrava</v>
          </cell>
          <cell r="D220">
            <v>1675</v>
          </cell>
        </row>
        <row r="221">
          <cell r="A221" t="str">
            <v>alert8.1</v>
          </cell>
          <cell r="B221" t="str">
            <v>40 07003 901001
Poruchová signalizace ALERT 8.1
barva červená</v>
          </cell>
          <cell r="C221" t="str">
            <v>ZPA Ekoreg
Ústí n/L</v>
          </cell>
          <cell r="D221">
            <v>2450</v>
          </cell>
        </row>
        <row r="222">
          <cell r="A222" t="str">
            <v>z3a</v>
          </cell>
          <cell r="B222" t="str">
            <v>Zdroj bezpečného napětí 230VAC/24VAC 75W</v>
          </cell>
          <cell r="C222" t="str">
            <v>Comel</v>
          </cell>
          <cell r="D222">
            <v>341</v>
          </cell>
        </row>
        <row r="223">
          <cell r="A223" t="str">
            <v>z4a</v>
          </cell>
          <cell r="B223" t="str">
            <v>Zdroj bezpečného napětí 230VAC/24VAC 100W</v>
          </cell>
          <cell r="C223" t="str">
            <v>Comel</v>
          </cell>
          <cell r="D223">
            <v>600</v>
          </cell>
        </row>
        <row r="224">
          <cell r="A224" t="str">
            <v>prOV100</v>
          </cell>
          <cell r="B224" t="str">
            <v>Převodník odporového signálu
typ GR - 00.01.42
vstup OV 100
výstup 4-20 mA</v>
          </cell>
          <cell r="C224" t="str">
            <v>Ekorex Lázně
Bohdaneč</v>
          </cell>
          <cell r="D224">
            <v>1400</v>
          </cell>
        </row>
        <row r="225">
          <cell r="A225" t="str">
            <v>prPt100</v>
          </cell>
          <cell r="B225" t="str">
            <v>Převodník pro Pt 100 na lištu DIN 
typ GP - 32.00.40
rozsah 0 až 400 stC
vstup Pt 100
výstup 4-20 mA</v>
          </cell>
          <cell r="C225" t="str">
            <v>Ekorex Lázně
Bohdaneč</v>
          </cell>
          <cell r="D225">
            <v>1400</v>
          </cell>
        </row>
        <row r="226">
          <cell r="A226" t="str">
            <v>z1a</v>
          </cell>
          <cell r="B226" t="str">
            <v>Stabilizovaný napájecí zdroj 230VAC/24VDC, 1A</v>
          </cell>
          <cell r="C226" t="str">
            <v>Axima</v>
          </cell>
          <cell r="D226">
            <v>1664</v>
          </cell>
        </row>
        <row r="227">
          <cell r="A227" t="str">
            <v>zs01</v>
          </cell>
          <cell r="B227" t="str">
            <v xml:space="preserve">Stabilizovaný zdroj ZS 01 230VAC/24VDC </v>
          </cell>
          <cell r="C227" t="str">
            <v>JSP
Nová Paka</v>
          </cell>
          <cell r="D227">
            <v>900</v>
          </cell>
        </row>
        <row r="228">
          <cell r="A228" t="str">
            <v>zs0110V</v>
          </cell>
          <cell r="B228" t="str">
            <v>Stabilizivaný zdroj ZS 01, 230 VAC/10 VDC</v>
          </cell>
          <cell r="C228" t="str">
            <v>JSP
Nová Paka</v>
          </cell>
          <cell r="D228">
            <v>900</v>
          </cell>
        </row>
        <row r="229">
          <cell r="A229" t="str">
            <v>zás</v>
          </cell>
          <cell r="B229" t="str">
            <v>Světelná zásuvka 230VAC/10A na DIN lištu</v>
          </cell>
          <cell r="C229" t="str">
            <v>Comel</v>
          </cell>
          <cell r="D229">
            <v>125</v>
          </cell>
        </row>
        <row r="230">
          <cell r="A230" t="str">
            <v>Osv</v>
          </cell>
          <cell r="B230" t="str">
            <v>Osvětlení</v>
          </cell>
          <cell r="C230" t="str">
            <v>ostatní</v>
          </cell>
          <cell r="D230">
            <v>1800</v>
          </cell>
        </row>
        <row r="231">
          <cell r="A231" t="str">
            <v xml:space="preserve">elměr </v>
          </cell>
          <cell r="B231" t="str">
            <v>Elektroměr třífázový, CEr15467</v>
          </cell>
          <cell r="C231" t="str">
            <v>Merlin&amp;G</v>
          </cell>
          <cell r="D231">
            <v>4470</v>
          </cell>
        </row>
        <row r="232">
          <cell r="A232" t="str">
            <v>krel</v>
          </cell>
          <cell r="B232" t="str">
            <v>Krabice Schiller vč. těsnění pro elektroměr</v>
          </cell>
          <cell r="C232" t="str">
            <v>Elektram</v>
          </cell>
          <cell r="D232">
            <v>340</v>
          </cell>
        </row>
        <row r="233">
          <cell r="A233" t="str">
            <v>ptr</v>
          </cell>
          <cell r="B233" t="str">
            <v>Proudový transformátor 50/5 A, 15577</v>
          </cell>
          <cell r="C233" t="str">
            <v>Merlin&amp;G</v>
          </cell>
          <cell r="D233">
            <v>448</v>
          </cell>
        </row>
        <row r="235">
          <cell r="A235" t="str">
            <v>dtr</v>
          </cell>
          <cell r="B235" t="str">
            <v>Přepěťová ochrana na datové vedení DTR1/12</v>
          </cell>
          <cell r="C235" t="str">
            <v>HAKEL</v>
          </cell>
          <cell r="D235">
            <v>1200</v>
          </cell>
        </row>
        <row r="236">
          <cell r="A236" t="str">
            <v>pik</v>
          </cell>
          <cell r="B236" t="str">
            <v>Přepěťová ochrana s vf. Filtrem PI-K4</v>
          </cell>
          <cell r="C236" t="str">
            <v>HAKEL</v>
          </cell>
          <cell r="D236">
            <v>2500</v>
          </cell>
        </row>
        <row r="237">
          <cell r="A237" t="str">
            <v>pIII/1</v>
          </cell>
          <cell r="B237" t="str">
            <v>Přepěťová ochrana PIII/1</v>
          </cell>
          <cell r="C237" t="str">
            <v>HAKEL</v>
          </cell>
          <cell r="D237">
            <v>2100</v>
          </cell>
        </row>
        <row r="238">
          <cell r="A238" t="str">
            <v>PIL</v>
          </cell>
          <cell r="B238" t="str">
            <v>Oddělovací impedance PI-L</v>
          </cell>
          <cell r="C238" t="str">
            <v>HAKEL</v>
          </cell>
          <cell r="D238">
            <v>800</v>
          </cell>
        </row>
        <row r="239">
          <cell r="A239" t="str">
            <v>š50</v>
          </cell>
          <cell r="B239" t="str">
            <v>Štítek plast 50x105 mm</v>
          </cell>
          <cell r="C239" t="str">
            <v>ostatní</v>
          </cell>
          <cell r="D239">
            <v>45</v>
          </cell>
        </row>
        <row r="240">
          <cell r="A240" t="str">
            <v>š10</v>
          </cell>
          <cell r="B240" t="str">
            <v>Štítek plast 10x50 mm</v>
          </cell>
          <cell r="C240" t="str">
            <v>ostatní</v>
          </cell>
          <cell r="D240">
            <v>15</v>
          </cell>
        </row>
        <row r="241">
          <cell r="A241" t="str">
            <v>vod</v>
          </cell>
          <cell r="B241" t="str">
            <v>Vodiče rozvaděče</v>
          </cell>
          <cell r="C241" t="str">
            <v>ostatní</v>
          </cell>
          <cell r="D241">
            <v>8</v>
          </cell>
        </row>
        <row r="242">
          <cell r="A242" t="str">
            <v>ost</v>
          </cell>
          <cell r="B242" t="str">
            <v>Ostatní materiál</v>
          </cell>
          <cell r="C242" t="str">
            <v>ostatní</v>
          </cell>
          <cell r="D242">
            <v>400</v>
          </cell>
        </row>
        <row r="243">
          <cell r="A243" t="str">
            <v>mont</v>
          </cell>
          <cell r="B243" t="str">
            <v>Montáž rozvaděče</v>
          </cell>
          <cell r="C243" t="str">
            <v>Energie MaR</v>
          </cell>
          <cell r="D243">
            <v>150</v>
          </cell>
        </row>
        <row r="245">
          <cell r="B245" t="str">
            <v>Řídící systém</v>
          </cell>
        </row>
        <row r="246">
          <cell r="A246" t="str">
            <v>ns950ram6</v>
          </cell>
          <cell r="B246" t="str">
            <v>Rozšiřovací rám pro 6 pozic RM-13</v>
          </cell>
          <cell r="C246" t="str">
            <v>Teco</v>
          </cell>
          <cell r="D246">
            <v>4550</v>
          </cell>
        </row>
        <row r="247">
          <cell r="A247" t="str">
            <v>ns950kryt</v>
          </cell>
          <cell r="B247" t="str">
            <v>Kryt prázdné pozice DUM-02</v>
          </cell>
          <cell r="C247" t="str">
            <v>Teco</v>
          </cell>
          <cell r="D247">
            <v>105</v>
          </cell>
        </row>
        <row r="248">
          <cell r="A248" t="str">
            <v>ns950zdroj</v>
          </cell>
          <cell r="B248" t="str">
            <v>Napájecí zdroj  AC-60W/230</v>
          </cell>
          <cell r="C248" t="str">
            <v>Teco</v>
          </cell>
          <cell r="D248">
            <v>5750</v>
          </cell>
        </row>
        <row r="249">
          <cell r="A249" t="str">
            <v>ns950CPM-1D</v>
          </cell>
          <cell r="B249" t="str">
            <v>Centrální jednotka CPM-1D</v>
          </cell>
          <cell r="C249" t="str">
            <v>Teco</v>
          </cell>
          <cell r="D249">
            <v>18900</v>
          </cell>
        </row>
        <row r="250">
          <cell r="A250" t="str">
            <v>ns950eeprom32</v>
          </cell>
          <cell r="B250" t="str">
            <v>Paměť EEPROM 32 kB</v>
          </cell>
          <cell r="C250" t="str">
            <v>Teco</v>
          </cell>
          <cell r="D250">
            <v>490</v>
          </cell>
        </row>
        <row r="251">
          <cell r="A251" t="str">
            <v>ns950</v>
          </cell>
          <cell r="B251" t="str">
            <v>Přídavná jednotka SC-11, rozšíř. sériové kanály</v>
          </cell>
          <cell r="C251" t="str">
            <v>Teco</v>
          </cell>
          <cell r="D251">
            <v>5450</v>
          </cell>
        </row>
        <row r="252">
          <cell r="A252" t="str">
            <v>ns950mr04</v>
          </cell>
          <cell r="B252" t="str">
            <v>Sériové rozhraní MR-04 RS 485 PIGGYBACK</v>
          </cell>
          <cell r="C252" t="str">
            <v>Teco</v>
          </cell>
          <cell r="D252">
            <v>480</v>
          </cell>
        </row>
        <row r="253">
          <cell r="A253" t="str">
            <v>ns950IB48</v>
          </cell>
          <cell r="B253" t="str">
            <v>Vstupní binární jednotka IB-48</v>
          </cell>
          <cell r="C253" t="str">
            <v>Teco</v>
          </cell>
          <cell r="D253">
            <v>7250</v>
          </cell>
        </row>
        <row r="254">
          <cell r="A254" t="str">
            <v>ns950OS27</v>
          </cell>
          <cell r="B254" t="str">
            <v>Výstupní binární jednotka OS-27</v>
          </cell>
          <cell r="C254" t="str">
            <v>Teco</v>
          </cell>
          <cell r="D254">
            <v>9450</v>
          </cell>
        </row>
        <row r="255">
          <cell r="A255" t="str">
            <v>ns950IT04</v>
          </cell>
          <cell r="B255" t="str">
            <v>Analogová jednotka IT-04</v>
          </cell>
          <cell r="C255" t="str">
            <v>Teco</v>
          </cell>
          <cell r="D255">
            <v>12770</v>
          </cell>
        </row>
        <row r="256">
          <cell r="A256" t="str">
            <v>ns950IT15</v>
          </cell>
          <cell r="B256" t="str">
            <v>Analogová jednotka IT-15</v>
          </cell>
          <cell r="C256" t="str">
            <v>Teco</v>
          </cell>
          <cell r="D256">
            <v>7200</v>
          </cell>
        </row>
        <row r="257">
          <cell r="A257" t="str">
            <v>ns950XL45</v>
          </cell>
          <cell r="B257" t="str">
            <v>Externí svorkovnice XL-45</v>
          </cell>
          <cell r="C257" t="str">
            <v>Teco</v>
          </cell>
          <cell r="D257">
            <v>940</v>
          </cell>
        </row>
        <row r="258">
          <cell r="A258" t="str">
            <v>ns950XL45kab</v>
          </cell>
          <cell r="B258" t="str">
            <v>Kabel spojení XL-45..IB48, OS-27, 3m</v>
          </cell>
          <cell r="C258" t="str">
            <v>Teco</v>
          </cell>
          <cell r="D258">
            <v>1350</v>
          </cell>
        </row>
        <row r="259">
          <cell r="A259" t="str">
            <v>ID04</v>
          </cell>
          <cell r="B259" t="str">
            <v>Operátorský panel ID-04, LCD 4x20, RS-232</v>
          </cell>
          <cell r="C259" t="str">
            <v>Teco</v>
          </cell>
          <cell r="D259">
            <v>6900</v>
          </cell>
        </row>
        <row r="260">
          <cell r="A260" t="str">
            <v>ID04kab</v>
          </cell>
          <cell r="B260" t="str">
            <v>Kabel pro ID-04</v>
          </cell>
          <cell r="C260" t="str">
            <v>Teco</v>
          </cell>
          <cell r="D260">
            <v>950</v>
          </cell>
        </row>
        <row r="261">
          <cell r="A261" t="str">
            <v>NS950PCkab</v>
          </cell>
          <cell r="B261" t="str">
            <v xml:space="preserve">Kabel pro komunikaci </v>
          </cell>
          <cell r="C261" t="str">
            <v>Teco</v>
          </cell>
          <cell r="D261">
            <v>980</v>
          </cell>
        </row>
        <row r="262">
          <cell r="A262" t="str">
            <v>PS25/24</v>
          </cell>
          <cell r="B262" t="str">
            <v>Napájecí zdroj  PS-25/24, 230 VAC/24 VDC, 1 A</v>
          </cell>
          <cell r="C262" t="str">
            <v>Teco</v>
          </cell>
          <cell r="D262">
            <v>1680</v>
          </cell>
        </row>
        <row r="264">
          <cell r="A264" t="str">
            <v>dx2</v>
          </cell>
          <cell r="B264" t="str">
            <v>Regulátor DX 9100 - 8454</v>
          </cell>
          <cell r="C264" t="str">
            <v>Johnson 
Controls</v>
          </cell>
          <cell r="D264">
            <v>47403</v>
          </cell>
        </row>
        <row r="265">
          <cell r="A265" t="str">
            <v>dx2ms</v>
          </cell>
          <cell r="B265" t="str">
            <v>Montážní souprava do panelu</v>
          </cell>
          <cell r="C265" t="str">
            <v>Johnson 
Controls</v>
          </cell>
          <cell r="D265">
            <v>5887</v>
          </cell>
        </row>
        <row r="266">
          <cell r="A266" t="str">
            <v>dxlcd</v>
          </cell>
          <cell r="B266" t="str">
            <v>DX LCD Displej - DT-9100-8004</v>
          </cell>
          <cell r="C266" t="str">
            <v>Johnson 
Controls</v>
          </cell>
          <cell r="D266">
            <v>28000</v>
          </cell>
        </row>
        <row r="267">
          <cell r="B267" t="str">
            <v>Rokytnice</v>
          </cell>
        </row>
        <row r="277">
          <cell r="A277" t="str">
            <v>řs204</v>
          </cell>
          <cell r="B277" t="str">
            <v>Regulátor TR 204</v>
          </cell>
          <cell r="C277" t="str">
            <v>Tecont</v>
          </cell>
          <cell r="D277">
            <v>26500</v>
          </cell>
        </row>
        <row r="278">
          <cell r="A278" t="str">
            <v>řs201</v>
          </cell>
          <cell r="B278" t="str">
            <v>Regulátor TR 201</v>
          </cell>
          <cell r="C278" t="str">
            <v>Tecont</v>
          </cell>
          <cell r="D278">
            <v>19500</v>
          </cell>
        </row>
        <row r="279">
          <cell r="A279" t="str">
            <v>řs203</v>
          </cell>
          <cell r="B279" t="str">
            <v>Regulátor TR 203</v>
          </cell>
          <cell r="C279" t="str">
            <v>Tecont</v>
          </cell>
          <cell r="D279">
            <v>23500</v>
          </cell>
        </row>
        <row r="281">
          <cell r="B281" t="str">
            <v>Software</v>
          </cell>
        </row>
        <row r="282">
          <cell r="A282" t="str">
            <v>řs204sw</v>
          </cell>
          <cell r="B282" t="str">
            <v>Software pro TR204</v>
          </cell>
          <cell r="C282" t="str">
            <v>Energie MaR</v>
          </cell>
          <cell r="D282">
            <v>14000</v>
          </cell>
        </row>
        <row r="283">
          <cell r="A283" t="str">
            <v>řs202sw</v>
          </cell>
          <cell r="B283" t="str">
            <v>Software pro TR202</v>
          </cell>
          <cell r="C283" t="str">
            <v>Energie MaR</v>
          </cell>
          <cell r="D283">
            <v>4400</v>
          </cell>
        </row>
        <row r="284">
          <cell r="A284" t="str">
            <v>řs203sw</v>
          </cell>
          <cell r="B284" t="str">
            <v>Software pro TR203</v>
          </cell>
          <cell r="C284" t="str">
            <v>Energie MaR</v>
          </cell>
          <cell r="D284">
            <v>5600</v>
          </cell>
        </row>
        <row r="285">
          <cell r="A285" t="str">
            <v>řs201swSTO</v>
          </cell>
          <cell r="B285" t="str">
            <v>Software pro TR201</v>
          </cell>
          <cell r="C285" t="str">
            <v>Energie MaR</v>
          </cell>
          <cell r="D285">
            <v>4200</v>
          </cell>
        </row>
        <row r="286">
          <cell r="A286" t="str">
            <v>řs203swSTO+VRS</v>
          </cell>
          <cell r="B286" t="str">
            <v>Software pro TR203</v>
          </cell>
          <cell r="C286" t="str">
            <v>Energie MaR</v>
          </cell>
          <cell r="D286">
            <v>5200</v>
          </cell>
        </row>
        <row r="287">
          <cell r="A287" t="str">
            <v>NS950SW</v>
          </cell>
          <cell r="B287" t="str">
            <v>Software pro NS 950</v>
          </cell>
          <cell r="C287" t="str">
            <v>Energie MaR</v>
          </cell>
          <cell r="D287">
            <v>39000</v>
          </cell>
        </row>
        <row r="288">
          <cell r="A288" t="str">
            <v>DX</v>
          </cell>
          <cell r="B288" t="str">
            <v>Software pro DX 9100</v>
          </cell>
          <cell r="C288" t="str">
            <v>Energie MaR</v>
          </cell>
          <cell r="D288">
            <v>18000</v>
          </cell>
        </row>
        <row r="289">
          <cell r="A289" t="str">
            <v>dt</v>
          </cell>
          <cell r="B289" t="str">
            <v>Software pro DT 9100</v>
          </cell>
          <cell r="C289" t="str">
            <v>Energie MaR</v>
          </cell>
          <cell r="D289">
            <v>6000</v>
          </cell>
        </row>
        <row r="291">
          <cell r="B291" t="str">
            <v>Spojovací části</v>
          </cell>
        </row>
        <row r="292">
          <cell r="A292" t="str">
            <v>jq2x08</v>
          </cell>
          <cell r="B292" t="str">
            <v>JQTQ 2x0,8</v>
          </cell>
          <cell r="C292" t="str">
            <v>Elektram/kab</v>
          </cell>
          <cell r="D292">
            <v>10.7</v>
          </cell>
          <cell r="E292">
            <v>2.5</v>
          </cell>
        </row>
        <row r="293">
          <cell r="A293" t="str">
            <v>jq4x08</v>
          </cell>
          <cell r="B293" t="str">
            <v>JQTQ 4x0,8</v>
          </cell>
          <cell r="C293" t="str">
            <v>Elektram/kab</v>
          </cell>
          <cell r="D293">
            <v>15.7</v>
          </cell>
          <cell r="E293">
            <v>2.5</v>
          </cell>
        </row>
        <row r="294">
          <cell r="A294" t="str">
            <v>j4</v>
          </cell>
          <cell r="B294" t="str">
            <v>JYTY 4x1</v>
          </cell>
          <cell r="C294" t="str">
            <v>Elektram/kab</v>
          </cell>
          <cell r="D294">
            <v>16.100000000000001</v>
          </cell>
          <cell r="E294">
            <v>2.5</v>
          </cell>
        </row>
        <row r="295">
          <cell r="A295" t="str">
            <v>j7</v>
          </cell>
          <cell r="B295" t="str">
            <v>JYTY 7x1</v>
          </cell>
          <cell r="C295" t="str">
            <v>Elektram/kab</v>
          </cell>
          <cell r="D295">
            <v>23.6</v>
          </cell>
          <cell r="E295">
            <v>2.5</v>
          </cell>
        </row>
        <row r="296">
          <cell r="A296" t="str">
            <v>cs2x1d</v>
          </cell>
          <cell r="B296" t="str">
            <v>CYSY 2x1D</v>
          </cell>
          <cell r="C296" t="str">
            <v>Elektram/kab</v>
          </cell>
          <cell r="D296">
            <v>6.5</v>
          </cell>
          <cell r="E296">
            <v>2.5</v>
          </cell>
        </row>
        <row r="297">
          <cell r="A297" t="str">
            <v>cs2x1a</v>
          </cell>
          <cell r="B297" t="str">
            <v>CYSY 2x1A</v>
          </cell>
          <cell r="C297" t="str">
            <v>Elektram/kab</v>
          </cell>
          <cell r="D297">
            <v>6.5</v>
          </cell>
          <cell r="E297">
            <v>2.5</v>
          </cell>
        </row>
        <row r="298">
          <cell r="A298" t="str">
            <v>cs3x1a</v>
          </cell>
          <cell r="B298" t="str">
            <v>CYSY 3x1A</v>
          </cell>
          <cell r="C298" t="str">
            <v>Elektram/kab</v>
          </cell>
          <cell r="D298">
            <v>8.5</v>
          </cell>
          <cell r="E298">
            <v>2.5</v>
          </cell>
        </row>
        <row r="299">
          <cell r="A299" t="str">
            <v>cs3x1c</v>
          </cell>
          <cell r="B299" t="str">
            <v>CYSY 3x1C</v>
          </cell>
          <cell r="C299" t="str">
            <v>Elektram/kab</v>
          </cell>
          <cell r="D299">
            <v>8.1999999999999993</v>
          </cell>
          <cell r="E299">
            <v>2.5</v>
          </cell>
        </row>
        <row r="300">
          <cell r="A300" t="str">
            <v>cs4x1b</v>
          </cell>
          <cell r="B300" t="str">
            <v>CYSY 4x1B</v>
          </cell>
          <cell r="C300" t="str">
            <v>Elektram/kab</v>
          </cell>
          <cell r="D300">
            <v>10.199999999999999</v>
          </cell>
          <cell r="E300">
            <v>2.5</v>
          </cell>
        </row>
        <row r="301">
          <cell r="A301" t="str">
            <v>cs4x1c</v>
          </cell>
          <cell r="B301" t="str">
            <v>CYSY 4x1C</v>
          </cell>
          <cell r="C301" t="str">
            <v>Elektram/kab</v>
          </cell>
          <cell r="D301">
            <v>10.199999999999999</v>
          </cell>
          <cell r="E301">
            <v>3.5</v>
          </cell>
        </row>
        <row r="302">
          <cell r="A302" t="str">
            <v>cs4x1d</v>
          </cell>
          <cell r="B302" t="str">
            <v>CYSY 4x1D</v>
          </cell>
          <cell r="C302" t="str">
            <v>Elektram/kab</v>
          </cell>
          <cell r="D302">
            <v>10.199999999999999</v>
          </cell>
          <cell r="E302">
            <v>2.5</v>
          </cell>
        </row>
        <row r="304">
          <cell r="A304" t="str">
            <v>cs5x1c</v>
          </cell>
          <cell r="B304" t="str">
            <v>CYSY 5x1C</v>
          </cell>
          <cell r="C304" t="str">
            <v>Elektram/kab</v>
          </cell>
          <cell r="D304">
            <v>13</v>
          </cell>
          <cell r="E304">
            <v>2.5</v>
          </cell>
        </row>
        <row r="305">
          <cell r="A305" t="str">
            <v>cs7x1c</v>
          </cell>
          <cell r="B305" t="str">
            <v>CYSY 7x1C</v>
          </cell>
          <cell r="C305" t="str">
            <v>Elektram/kab</v>
          </cell>
          <cell r="D305">
            <v>16.5</v>
          </cell>
          <cell r="E305">
            <v>2.5</v>
          </cell>
        </row>
        <row r="306">
          <cell r="A306" t="str">
            <v>c3x1c</v>
          </cell>
          <cell r="B306" t="str">
            <v>CYKY 3x1,5C</v>
          </cell>
          <cell r="C306" t="str">
            <v>Elektram/kab</v>
          </cell>
          <cell r="D306">
            <v>8.5</v>
          </cell>
          <cell r="E306">
            <v>2.5</v>
          </cell>
        </row>
        <row r="307">
          <cell r="A307" t="str">
            <v>c4x1b</v>
          </cell>
          <cell r="B307" t="str">
            <v>CYKY 4x1,5B</v>
          </cell>
          <cell r="C307" t="str">
            <v>Elektram/kab</v>
          </cell>
          <cell r="D307">
            <v>10.6</v>
          </cell>
          <cell r="E307">
            <v>2.5</v>
          </cell>
        </row>
        <row r="308">
          <cell r="A308" t="str">
            <v>c7x1c</v>
          </cell>
          <cell r="B308" t="str">
            <v>CYKY 7x1,5C</v>
          </cell>
          <cell r="C308" t="str">
            <v>Elektram/kab</v>
          </cell>
          <cell r="D308">
            <v>17.2</v>
          </cell>
          <cell r="E308">
            <v>2.5</v>
          </cell>
        </row>
        <row r="309">
          <cell r="A309" t="str">
            <v>c19x1c</v>
          </cell>
          <cell r="B309" t="str">
            <v>CYKY 19x1,5C</v>
          </cell>
          <cell r="C309" t="str">
            <v>Elektram/kab</v>
          </cell>
          <cell r="D309">
            <v>50.4</v>
          </cell>
          <cell r="E309">
            <v>2.5</v>
          </cell>
        </row>
        <row r="310">
          <cell r="A310" t="str">
            <v>c5x2,5c</v>
          </cell>
          <cell r="B310" t="str">
            <v>CYKY 5x2,5C</v>
          </cell>
          <cell r="C310" t="str">
            <v>Elektram/kab</v>
          </cell>
          <cell r="D310">
            <v>20</v>
          </cell>
          <cell r="E310">
            <v>2.5</v>
          </cell>
        </row>
        <row r="311">
          <cell r="A311" t="str">
            <v>c4x6b</v>
          </cell>
          <cell r="B311" t="str">
            <v>CYKY 4x6B</v>
          </cell>
          <cell r="C311" t="str">
            <v>Elektram/kab</v>
          </cell>
          <cell r="D311">
            <v>34</v>
          </cell>
          <cell r="E311">
            <v>2.5</v>
          </cell>
        </row>
        <row r="313">
          <cell r="A313" t="str">
            <v>sy</v>
          </cell>
          <cell r="B313" t="str">
            <v>SYKFY 5x2x0,5</v>
          </cell>
          <cell r="C313" t="str">
            <v>Elektram/kab</v>
          </cell>
          <cell r="D313">
            <v>8.3000000000000007</v>
          </cell>
          <cell r="E313">
            <v>2.5</v>
          </cell>
        </row>
        <row r="314">
          <cell r="A314" t="str">
            <v>uk4</v>
          </cell>
          <cell r="B314" t="str">
            <v>Ukončení kabelu do 4x4mm2</v>
          </cell>
          <cell r="C314" t="str">
            <v>Energie MaR</v>
          </cell>
          <cell r="D314">
            <v>0</v>
          </cell>
          <cell r="E314">
            <v>13.2</v>
          </cell>
        </row>
        <row r="315">
          <cell r="A315" t="str">
            <v>uk5</v>
          </cell>
          <cell r="B315" t="str">
            <v>Ukončení kabelu do 5x4mm2</v>
          </cell>
          <cell r="C315" t="str">
            <v>Energie MaR</v>
          </cell>
          <cell r="D315">
            <v>0</v>
          </cell>
          <cell r="E315">
            <v>19.8</v>
          </cell>
        </row>
        <row r="316">
          <cell r="A316" t="str">
            <v>uk7</v>
          </cell>
          <cell r="B316" t="str">
            <v>Ukončení kabelu do 7x4mm3</v>
          </cell>
          <cell r="C316" t="str">
            <v>Energie MaR</v>
          </cell>
          <cell r="D316">
            <v>0</v>
          </cell>
          <cell r="E316">
            <v>25</v>
          </cell>
        </row>
        <row r="317">
          <cell r="A317" t="str">
            <v>uk19</v>
          </cell>
          <cell r="B317" t="str">
            <v>Ukončení kabelu do 19x4mm4</v>
          </cell>
          <cell r="C317" t="str">
            <v>Energie MaR</v>
          </cell>
          <cell r="D317">
            <v>0</v>
          </cell>
          <cell r="E317">
            <v>48</v>
          </cell>
        </row>
        <row r="318">
          <cell r="A318" t="str">
            <v>ukst4</v>
          </cell>
          <cell r="B318" t="str">
            <v>Ukončení stíněného kabelu do 4x1mm2</v>
          </cell>
          <cell r="C318" t="str">
            <v>Energie MaR</v>
          </cell>
          <cell r="D318">
            <v>0</v>
          </cell>
          <cell r="E318">
            <v>32</v>
          </cell>
        </row>
        <row r="319">
          <cell r="A319" t="str">
            <v>žl250x100</v>
          </cell>
          <cell r="B319" t="str">
            <v>Kabelový žlab 250x100 vč. víka</v>
          </cell>
          <cell r="C319" t="str">
            <v>Elektram</v>
          </cell>
          <cell r="D319">
            <v>320</v>
          </cell>
          <cell r="E319">
            <v>46.6</v>
          </cell>
        </row>
        <row r="320">
          <cell r="A320" t="str">
            <v>kžl250x100</v>
          </cell>
          <cell r="B320" t="str">
            <v>Koleno kabelového žlabu 250x100 vč. víka</v>
          </cell>
          <cell r="C320" t="str">
            <v>Elektram</v>
          </cell>
          <cell r="D320">
            <v>270</v>
          </cell>
          <cell r="E320">
            <v>30.5</v>
          </cell>
        </row>
        <row r="321">
          <cell r="A321" t="str">
            <v>tžl250x100</v>
          </cell>
          <cell r="B321" t="str">
            <v>T kus kab. žlabu250x100 vč. víka</v>
          </cell>
          <cell r="C321" t="str">
            <v>Elektram</v>
          </cell>
          <cell r="D321">
            <v>410</v>
          </cell>
          <cell r="E321">
            <v>30.5</v>
          </cell>
        </row>
        <row r="322">
          <cell r="A322" t="str">
            <v>nž250</v>
          </cell>
          <cell r="B322" t="str">
            <v>Nosník kabelového žlabu 250</v>
          </cell>
          <cell r="C322" t="str">
            <v>Elektram</v>
          </cell>
          <cell r="D322">
            <v>37</v>
          </cell>
          <cell r="E322">
            <v>0</v>
          </cell>
        </row>
        <row r="323">
          <cell r="A323" t="str">
            <v>žl125x100</v>
          </cell>
          <cell r="B323" t="str">
            <v>Kabelový žlab 125x100 vč. víka</v>
          </cell>
          <cell r="C323" t="str">
            <v>Elektram</v>
          </cell>
          <cell r="D323">
            <v>180</v>
          </cell>
          <cell r="E323">
            <v>46.6</v>
          </cell>
        </row>
        <row r="324">
          <cell r="A324" t="str">
            <v>kžl125x100</v>
          </cell>
          <cell r="B324" t="str">
            <v>Koleno kabelového žlabu 125x100 vč. víka</v>
          </cell>
          <cell r="C324" t="str">
            <v>Elektram</v>
          </cell>
          <cell r="D324">
            <v>190</v>
          </cell>
          <cell r="E324">
            <v>30.5</v>
          </cell>
        </row>
        <row r="325">
          <cell r="A325" t="str">
            <v>tžl125x100</v>
          </cell>
          <cell r="B325" t="str">
            <v>T kus kab. žlabu125x100 vč. víka</v>
          </cell>
          <cell r="C325" t="str">
            <v>Elektram</v>
          </cell>
          <cell r="D325">
            <v>195</v>
          </cell>
          <cell r="E325">
            <v>30.5</v>
          </cell>
        </row>
        <row r="326">
          <cell r="A326" t="str">
            <v>žl125</v>
          </cell>
          <cell r="B326" t="str">
            <v>Kabelový žlab 125x50 vč. víka</v>
          </cell>
          <cell r="C326" t="str">
            <v>Elektram</v>
          </cell>
          <cell r="D326">
            <v>155</v>
          </cell>
          <cell r="E326">
            <v>46.6</v>
          </cell>
        </row>
        <row r="327">
          <cell r="A327" t="str">
            <v>kžl125</v>
          </cell>
          <cell r="B327" t="str">
            <v>Koleno kabelového žlabu 125x50 vč. víka</v>
          </cell>
          <cell r="C327" t="str">
            <v>Elektram</v>
          </cell>
          <cell r="D327">
            <v>175</v>
          </cell>
          <cell r="E327">
            <v>30.5</v>
          </cell>
        </row>
        <row r="328">
          <cell r="A328" t="str">
            <v>tžl125</v>
          </cell>
          <cell r="B328" t="str">
            <v>T kus kab. žlabu125x50 vč. víka</v>
          </cell>
          <cell r="C328" t="str">
            <v>Elektram</v>
          </cell>
          <cell r="D328">
            <v>182</v>
          </cell>
          <cell r="E328">
            <v>30.5</v>
          </cell>
        </row>
        <row r="329">
          <cell r="A329" t="str">
            <v>nž125</v>
          </cell>
          <cell r="B329" t="str">
            <v>Nosník kabelového žlabu 125</v>
          </cell>
          <cell r="C329" t="str">
            <v>Elektram</v>
          </cell>
          <cell r="D329">
            <v>31</v>
          </cell>
          <cell r="E329">
            <v>0</v>
          </cell>
        </row>
        <row r="330">
          <cell r="A330" t="str">
            <v>sžl100</v>
          </cell>
          <cell r="B330" t="str">
            <v>Spojka kabelového žlabu 100</v>
          </cell>
          <cell r="C330" t="str">
            <v>Elektram</v>
          </cell>
          <cell r="D330">
            <v>4.5999999999999996</v>
          </cell>
          <cell r="E330">
            <v>0</v>
          </cell>
        </row>
        <row r="331">
          <cell r="A331" t="str">
            <v>žl50</v>
          </cell>
          <cell r="B331" t="str">
            <v>Kabelový žlab 62x50 vč. víka</v>
          </cell>
          <cell r="C331" t="str">
            <v>Elektram</v>
          </cell>
          <cell r="D331">
            <v>105</v>
          </cell>
          <cell r="E331">
            <v>46.6</v>
          </cell>
        </row>
        <row r="332">
          <cell r="A332" t="str">
            <v>kžl50</v>
          </cell>
          <cell r="B332" t="str">
            <v>Koleno kabelového žlabu 62x50 vč. víka</v>
          </cell>
          <cell r="C332" t="str">
            <v>Elektram</v>
          </cell>
          <cell r="D332">
            <v>137</v>
          </cell>
          <cell r="E332">
            <v>30.5</v>
          </cell>
        </row>
        <row r="333">
          <cell r="A333" t="str">
            <v>tžl50</v>
          </cell>
          <cell r="B333" t="str">
            <v>T kus kab. žlabu 62x50 vč. víka</v>
          </cell>
          <cell r="C333" t="str">
            <v>Elektram</v>
          </cell>
          <cell r="D333">
            <v>145.9</v>
          </cell>
          <cell r="E333">
            <v>30.5</v>
          </cell>
        </row>
        <row r="334">
          <cell r="A334" t="str">
            <v>nž62</v>
          </cell>
          <cell r="B334" t="str">
            <v>Nosník kabelového žlabu 62</v>
          </cell>
          <cell r="C334" t="str">
            <v>Elektram</v>
          </cell>
          <cell r="D334">
            <v>15.6</v>
          </cell>
          <cell r="E334">
            <v>0</v>
          </cell>
        </row>
        <row r="335">
          <cell r="A335" t="str">
            <v>sžl62</v>
          </cell>
          <cell r="B335" t="str">
            <v>Spojka kabelového žlabu 62</v>
          </cell>
          <cell r="C335" t="str">
            <v>Elektram</v>
          </cell>
          <cell r="D335">
            <v>2.4</v>
          </cell>
          <cell r="E335">
            <v>0</v>
          </cell>
        </row>
        <row r="336">
          <cell r="A336" t="str">
            <v>PVC16x16</v>
          </cell>
          <cell r="B336" t="str">
            <v>Lišta PVC 16x16 vč. víka</v>
          </cell>
          <cell r="C336" t="str">
            <v>Elektram</v>
          </cell>
          <cell r="D336">
            <v>11</v>
          </cell>
          <cell r="E336">
            <v>6</v>
          </cell>
        </row>
        <row r="337">
          <cell r="A337" t="str">
            <v>PVC40x20</v>
          </cell>
          <cell r="B337" t="str">
            <v>Lišta PVC 40x20 vč. víka</v>
          </cell>
          <cell r="C337" t="str">
            <v>Elektram</v>
          </cell>
          <cell r="D337">
            <v>20</v>
          </cell>
          <cell r="E337">
            <v>7</v>
          </cell>
        </row>
        <row r="338">
          <cell r="A338" t="str">
            <v>PVC40x40</v>
          </cell>
          <cell r="B338" t="str">
            <v>Lišta PVC 40x40 vč. víka</v>
          </cell>
          <cell r="C338" t="str">
            <v>Elektram</v>
          </cell>
          <cell r="D338">
            <v>33</v>
          </cell>
          <cell r="E338">
            <v>8</v>
          </cell>
        </row>
        <row r="339">
          <cell r="A339" t="str">
            <v>PZ13</v>
          </cell>
          <cell r="B339" t="str">
            <v>Pancéřová trubka PZ 13,5</v>
          </cell>
          <cell r="C339" t="str">
            <v>Elektram</v>
          </cell>
          <cell r="D339">
            <v>26.5</v>
          </cell>
          <cell r="E339">
            <v>4.8</v>
          </cell>
        </row>
        <row r="340">
          <cell r="A340" t="str">
            <v>PZ16</v>
          </cell>
          <cell r="B340" t="str">
            <v>Pancéřová trubka PZ 16</v>
          </cell>
          <cell r="C340" t="str">
            <v>Elektram</v>
          </cell>
          <cell r="D340">
            <v>28</v>
          </cell>
          <cell r="E340">
            <v>5</v>
          </cell>
        </row>
        <row r="341">
          <cell r="A341" t="str">
            <v>PZ21</v>
          </cell>
          <cell r="B341" t="str">
            <v>Pancéřová trubka PZ 21</v>
          </cell>
          <cell r="C341" t="str">
            <v>Elektram</v>
          </cell>
          <cell r="D341">
            <v>37</v>
          </cell>
          <cell r="E341">
            <v>8.4499999999999993</v>
          </cell>
        </row>
        <row r="342">
          <cell r="A342" t="str">
            <v>CY6</v>
          </cell>
          <cell r="B342" t="str">
            <v>Vodič CY 6mm2 ŽZ</v>
          </cell>
          <cell r="C342" t="str">
            <v>Elektram</v>
          </cell>
          <cell r="D342">
            <v>8.9</v>
          </cell>
          <cell r="E342">
            <v>5.2</v>
          </cell>
        </row>
        <row r="343">
          <cell r="A343" t="str">
            <v>Zsv</v>
          </cell>
          <cell r="B343" t="str">
            <v>Zemnící svorky vč. CU pásků</v>
          </cell>
          <cell r="C343" t="str">
            <v>Elektram</v>
          </cell>
          <cell r="D343">
            <v>11</v>
          </cell>
          <cell r="E343">
            <v>4.5</v>
          </cell>
        </row>
        <row r="344">
          <cell r="A344" t="str">
            <v>H</v>
          </cell>
          <cell r="B344" t="str">
            <v>Upevňovací bod hmoždinkou</v>
          </cell>
          <cell r="C344" t="str">
            <v>Energie MaR</v>
          </cell>
          <cell r="D344">
            <v>4.5</v>
          </cell>
          <cell r="E344">
            <v>2.1</v>
          </cell>
        </row>
        <row r="345">
          <cell r="A345" t="str">
            <v>Jokl</v>
          </cell>
          <cell r="B345" t="str">
            <v>Profil Jokl 35x35 (perforovaný)</v>
          </cell>
          <cell r="C345" t="str">
            <v>ostatní</v>
          </cell>
          <cell r="D345">
            <v>45</v>
          </cell>
          <cell r="E345">
            <v>46</v>
          </cell>
        </row>
        <row r="346">
          <cell r="A346" t="str">
            <v>Přesun</v>
          </cell>
          <cell r="B346" t="str">
            <v>Přesun hmot</v>
          </cell>
          <cell r="C346" t="str">
            <v>ostatní</v>
          </cell>
          <cell r="E346">
            <v>120</v>
          </cell>
        </row>
        <row r="347">
          <cell r="A347" t="str">
            <v>propkrab</v>
          </cell>
          <cell r="B347" t="str">
            <v>Propojovací krabice na kotlích</v>
          </cell>
          <cell r="C347" t="str">
            <v>Energie MaR</v>
          </cell>
          <cell r="E347">
            <v>180</v>
          </cell>
        </row>
        <row r="349">
          <cell r="B349" t="str">
            <v>Formulář Slavkov</v>
          </cell>
        </row>
        <row r="350">
          <cell r="B350" t="str">
            <v>Odporový snímač teploty venkovní
NS 111.65
rozsah -30°C až 100°C
obj. č. 01 200 200</v>
          </cell>
          <cell r="C350" t="str">
            <v>SENSIT
Rožnov p. R.</v>
          </cell>
          <cell r="D350">
            <v>714</v>
          </cell>
          <cell r="E350">
            <v>19</v>
          </cell>
        </row>
        <row r="351">
          <cell r="B351" t="str">
            <v>Odporový snímač teploty do potrubí
NS 131.65 - 100
rozsah -30°C až 250°C
obj. č. 01 610 200</v>
          </cell>
          <cell r="C351" t="str">
            <v>SENSIT
Rožnov p. R.</v>
          </cell>
          <cell r="D351">
            <v>930</v>
          </cell>
          <cell r="E351">
            <v>19</v>
          </cell>
        </row>
        <row r="352">
          <cell r="B352" t="str">
            <v>Odporový snímač teploty prostorový
NS 101.30
rozsah -30°C až 100°C
obj. č. 01 100 200</v>
          </cell>
          <cell r="C352" t="str">
            <v>SENSIT
Rožnov p. R.</v>
          </cell>
          <cell r="D352">
            <v>432</v>
          </cell>
          <cell r="E352">
            <v>19</v>
          </cell>
        </row>
        <row r="353">
          <cell r="B353" t="str">
            <v>Směšovací ventil 3G25, DN25, PN 6
s el. pohonem ESBE 62P, řízený 0-10V</v>
          </cell>
          <cell r="C353" t="str">
            <v xml:space="preserve">Eko-Ekviterm </v>
          </cell>
          <cell r="D353">
            <v>4890</v>
          </cell>
          <cell r="E353">
            <v>50</v>
          </cell>
        </row>
        <row r="354">
          <cell r="B354" t="str">
            <v>Směšovací ventil 3G32, DN32 PN 6
s el. pohonem ESBE 62P, řízený 0-10V</v>
          </cell>
          <cell r="C354" t="str">
            <v xml:space="preserve">Eko-Ekviterm </v>
          </cell>
          <cell r="D354">
            <v>4950</v>
          </cell>
          <cell r="E354">
            <v>50</v>
          </cell>
        </row>
        <row r="355">
          <cell r="B355" t="str">
            <v>Směšovací ventil 3G40, DN40, PN 6
s el. pohonem ESBE 62P, řízený 0-10V</v>
          </cell>
          <cell r="C355" t="str">
            <v xml:space="preserve">Eko-Ekviterm </v>
          </cell>
          <cell r="D355">
            <v>5070</v>
          </cell>
          <cell r="E355">
            <v>50</v>
          </cell>
        </row>
        <row r="356">
          <cell r="B356" t="str">
            <v>Směšovací ventil 3G50, DN50, PN 6
s el. pohonem ESBE 62P, řízený 0-10V</v>
          </cell>
          <cell r="C356" t="str">
            <v xml:space="preserve">Eko-Ekviterm </v>
          </cell>
          <cell r="D356">
            <v>5840</v>
          </cell>
          <cell r="E356">
            <v>50</v>
          </cell>
        </row>
        <row r="357">
          <cell r="B357" t="str">
            <v>Oběhové čerpadlo top .vody
3 x 380/220 V</v>
          </cell>
          <cell r="D357">
            <v>0</v>
          </cell>
          <cell r="E357">
            <v>60</v>
          </cell>
        </row>
        <row r="358">
          <cell r="B358" t="str">
            <v>Odporový snímač teploty do potrubí
NS 131.65 - 220
rozsah -30°C až 250°C
obj. č. 01 630 200</v>
          </cell>
          <cell r="C358" t="str">
            <v>SENSIT
Rožnov p. R.</v>
          </cell>
          <cell r="D358">
            <v>978</v>
          </cell>
          <cell r="E358">
            <v>19</v>
          </cell>
        </row>
        <row r="359">
          <cell r="B359" t="str">
            <v>Příložné odporové čidlo
NS 141.65
rozsah 0°C až 130°C
obj. Č. 01 700 200</v>
          </cell>
          <cell r="C359" t="str">
            <v>SENSIT
Rožnov p. R.</v>
          </cell>
          <cell r="D359">
            <v>750</v>
          </cell>
          <cell r="E359">
            <v>19</v>
          </cell>
        </row>
        <row r="360">
          <cell r="B360" t="str">
            <v>Kulový kohout Giacomini DN 25, PN 25
s el. pohonem PPN2 20.04.07.20/230VAC
se sig. SO,SZ, bez vysílače</v>
          </cell>
          <cell r="C360" t="str">
            <v>Ekorex
Nová Paka</v>
          </cell>
          <cell r="D360">
            <v>3860</v>
          </cell>
          <cell r="E360">
            <v>50</v>
          </cell>
        </row>
        <row r="361">
          <cell r="B361" t="str">
            <v>Kulový kohout Giacomini DN 32, PN 25
s el. pohonem PPN2 35.04.07.20/230VAC
se sig. SO,SZ, bez vysílače</v>
          </cell>
          <cell r="C361" t="str">
            <v>Ekorex
Nová Paka</v>
          </cell>
          <cell r="D361">
            <v>4070</v>
          </cell>
          <cell r="E361">
            <v>50</v>
          </cell>
        </row>
        <row r="362">
          <cell r="B362" t="str">
            <v>Kulový kohout Giacomini DN 40, PN 25
s el. pohonem PPN2 65.04.07.00/230VAC
se sig. SO,SZ, bez vysílače</v>
          </cell>
          <cell r="C362" t="str">
            <v>Ekorex
Nová Paka</v>
          </cell>
          <cell r="D362">
            <v>7790</v>
          </cell>
          <cell r="E362">
            <v>50</v>
          </cell>
        </row>
        <row r="363">
          <cell r="B363" t="str">
            <v>Kulový kohout Giacomini DN 50, PN25
s el. pohonem PPN2 65.04.07.00/230VAC
se sig. SO,SZ, bez vysílače</v>
          </cell>
          <cell r="C363" t="str">
            <v>Ekorex
Nová Paka</v>
          </cell>
          <cell r="D363">
            <v>7980</v>
          </cell>
          <cell r="E363">
            <v>50</v>
          </cell>
        </row>
        <row r="364">
          <cell r="B364" t="str">
            <v>Dvoucestný elektromagnetický ventil DN 20
typ EVPE 2020.01, 220 VAC</v>
          </cell>
          <cell r="C364" t="str">
            <v>PEVEKO
Boršice u B.</v>
          </cell>
          <cell r="D364">
            <v>1200</v>
          </cell>
          <cell r="E364">
            <v>50</v>
          </cell>
        </row>
        <row r="365">
          <cell r="B365" t="str">
            <v>Dvoucestný elektromagnetický ventil DN 30 
typ EVPE 2030.01, 220 VAC</v>
          </cell>
          <cell r="C365" t="str">
            <v>PEVEKO
Boršice u B.</v>
          </cell>
          <cell r="D365">
            <v>1600</v>
          </cell>
          <cell r="E365">
            <v>50</v>
          </cell>
        </row>
        <row r="366">
          <cell r="B366" t="str">
            <v>Dvoucestný elektromagnetický ventil DN 40 
typ EVPE 2040.01, 220 VAC</v>
          </cell>
          <cell r="C366" t="str">
            <v>PEVEKO
Boršice u B.</v>
          </cell>
          <cell r="D366">
            <v>1900</v>
          </cell>
          <cell r="E366">
            <v>50</v>
          </cell>
        </row>
        <row r="367">
          <cell r="B367" t="str">
            <v>Cirkulační čerpadlo TUV
220 VAC</v>
          </cell>
          <cell r="E367">
            <v>40</v>
          </cell>
        </row>
        <row r="368">
          <cell r="B368" t="str">
            <v>Cirkulační čerpadlo TUV
3 x 380/220 VAC</v>
          </cell>
          <cell r="E368">
            <v>60</v>
          </cell>
        </row>
        <row r="369">
          <cell r="B369" t="str">
            <v>Nabíjecí čerpadlo TUV
220 VAC</v>
          </cell>
          <cell r="E369">
            <v>40</v>
          </cell>
        </row>
        <row r="370">
          <cell r="D370" t="str">
            <v>celkem</v>
          </cell>
        </row>
        <row r="372">
          <cell r="B372" t="str">
            <v>Rozvaděč RD2</v>
          </cell>
        </row>
        <row r="373">
          <cell r="B373" t="str">
            <v>Rozvaděčová skříň WS 5625 Schrack</v>
          </cell>
          <cell r="C373" t="str">
            <v>Schrack</v>
          </cell>
          <cell r="D373">
            <v>4100</v>
          </cell>
          <cell r="E373">
            <v>350</v>
          </cell>
        </row>
        <row r="374">
          <cell r="B374" t="str">
            <v>vývodka GP 9</v>
          </cell>
          <cell r="C374" t="str">
            <v>Elektram</v>
          </cell>
          <cell r="D374">
            <v>5</v>
          </cell>
        </row>
        <row r="375">
          <cell r="B375" t="str">
            <v>vývodka GP 11</v>
          </cell>
          <cell r="C375" t="str">
            <v>Elektram</v>
          </cell>
          <cell r="D375">
            <v>5.3</v>
          </cell>
        </row>
        <row r="376">
          <cell r="B376" t="str">
            <v>vývodka GP 13.5</v>
          </cell>
          <cell r="C376" t="str">
            <v>Elektram</v>
          </cell>
          <cell r="D376">
            <v>5.6</v>
          </cell>
        </row>
        <row r="377">
          <cell r="B377" t="str">
            <v>Indikační svítidlo HDS-95 G/R</v>
          </cell>
          <cell r="C377" t="str">
            <v>Eleco</v>
          </cell>
          <cell r="D377">
            <v>119</v>
          </cell>
        </row>
        <row r="378">
          <cell r="B378" t="str">
            <v>Stiskací hlavice černá T10A</v>
          </cell>
          <cell r="C378" t="str">
            <v>Groupe-Schneider</v>
          </cell>
          <cell r="D378">
            <v>54</v>
          </cell>
        </row>
        <row r="379">
          <cell r="B379" t="str">
            <v>Ovládací hlavice trojpolohová T10 B ČE</v>
          </cell>
          <cell r="C379" t="str">
            <v>Groupe-Schneider</v>
          </cell>
          <cell r="D379">
            <v>69</v>
          </cell>
        </row>
        <row r="380">
          <cell r="B380" t="str">
            <v xml:space="preserve">Ovládací hlavice dvojpolohová T10 G ČE </v>
          </cell>
          <cell r="C380" t="str">
            <v>Groupe-Schneider</v>
          </cell>
          <cell r="D380">
            <v>67</v>
          </cell>
        </row>
        <row r="381">
          <cell r="B381" t="str">
            <v>Přepínací jednotka T10 Z 111 Z</v>
          </cell>
          <cell r="C381" t="str">
            <v>Groupe-Schneider</v>
          </cell>
          <cell r="D381">
            <v>51</v>
          </cell>
        </row>
        <row r="382">
          <cell r="B382" t="str">
            <v>Spínací jednotka T10 Z 011 Y</v>
          </cell>
          <cell r="C382" t="str">
            <v>Groupe-Schneider</v>
          </cell>
          <cell r="D382">
            <v>43</v>
          </cell>
        </row>
        <row r="383">
          <cell r="B383" t="str">
            <v>Spojovací díl T10 SD 3</v>
          </cell>
          <cell r="C383" t="str">
            <v>Groupe-Schneider</v>
          </cell>
          <cell r="D383">
            <v>5.5</v>
          </cell>
        </row>
        <row r="384">
          <cell r="B384" t="str">
            <v>Hlavní vypínač 3f/16A</v>
          </cell>
          <cell r="C384" t="str">
            <v>Končar</v>
          </cell>
          <cell r="D384">
            <v>343</v>
          </cell>
        </row>
        <row r="385">
          <cell r="B385" t="str">
            <v>Jednopólový jistič LSN 0,4A/K</v>
          </cell>
          <cell r="C385" t="str">
            <v>OEZ Letohrad</v>
          </cell>
          <cell r="D385">
            <v>200</v>
          </cell>
        </row>
        <row r="386">
          <cell r="B386" t="str">
            <v>Jednopólový jistič Schrack 4A/C</v>
          </cell>
          <cell r="C386" t="str">
            <v>Schrack</v>
          </cell>
          <cell r="D386">
            <v>159</v>
          </cell>
        </row>
        <row r="387">
          <cell r="B387" t="str">
            <v>Jednopólový jistič Schrack 6A/C</v>
          </cell>
          <cell r="C387" t="str">
            <v>Schrack</v>
          </cell>
          <cell r="D387">
            <v>124</v>
          </cell>
        </row>
        <row r="388">
          <cell r="B388" t="str">
            <v>Třípólový jistič Schrack 2A/C</v>
          </cell>
          <cell r="C388" t="str">
            <v>Schrack</v>
          </cell>
          <cell r="D388">
            <v>398</v>
          </cell>
        </row>
        <row r="389">
          <cell r="B389" t="str">
            <v>Třípólový jistič Schrack 2A/C</v>
          </cell>
          <cell r="C389" t="str">
            <v>Schrack</v>
          </cell>
          <cell r="D389">
            <v>398</v>
          </cell>
        </row>
        <row r="390">
          <cell r="B390" t="str">
            <v>Pomocný spínač 1Z+1R</v>
          </cell>
          <cell r="C390" t="str">
            <v>Schrack</v>
          </cell>
          <cell r="D390">
            <v>150</v>
          </cell>
        </row>
        <row r="391">
          <cell r="B391" t="str">
            <v>Stykač 3.f. 24VAC/LC1/LLC2-K06</v>
          </cell>
          <cell r="C391" t="str">
            <v>Groupe-Schneider</v>
          </cell>
          <cell r="D391">
            <v>210</v>
          </cell>
        </row>
        <row r="392">
          <cell r="B392" t="str">
            <v>Relé 2.párové RT II/2 464 524 Schrack</v>
          </cell>
          <cell r="C392" t="str">
            <v>Schrack</v>
          </cell>
          <cell r="D392">
            <v>145</v>
          </cell>
        </row>
        <row r="393">
          <cell r="B393" t="str">
            <v>Patice 2.párové RP 78 625 Schrack</v>
          </cell>
          <cell r="C393" t="str">
            <v>Schrack</v>
          </cell>
          <cell r="D393">
            <v>120</v>
          </cell>
        </row>
        <row r="394">
          <cell r="B394" t="str">
            <v>Limitér analogových signálů LT1-1a</v>
          </cell>
          <cell r="C394" t="str">
            <v>DA Ostrava</v>
          </cell>
          <cell r="D394">
            <v>1675</v>
          </cell>
        </row>
        <row r="395">
          <cell r="B395" t="str">
            <v>Zdroj bezpečného napětí 230VAC/24VAC 75W</v>
          </cell>
          <cell r="C395" t="str">
            <v>Comel</v>
          </cell>
          <cell r="D395">
            <v>341</v>
          </cell>
        </row>
        <row r="396">
          <cell r="B396" t="str">
            <v>Světelná zásuvka 230VAC/10A na DIN lištu</v>
          </cell>
          <cell r="C396" t="str">
            <v>Comel</v>
          </cell>
          <cell r="D396">
            <v>125</v>
          </cell>
        </row>
        <row r="397">
          <cell r="B397" t="str">
            <v>Přepěťová ochrana na datové vedení DTR1/12</v>
          </cell>
          <cell r="C397" t="str">
            <v>HAKEL</v>
          </cell>
          <cell r="D397">
            <v>1200</v>
          </cell>
        </row>
        <row r="398">
          <cell r="B398" t="str">
            <v>Přepěťová ochrana s vf. Filtrem PI-K4</v>
          </cell>
          <cell r="C398" t="str">
            <v>HAKEL</v>
          </cell>
          <cell r="D398">
            <v>2500</v>
          </cell>
        </row>
        <row r="399">
          <cell r="B399" t="str">
            <v>Svorka řadová - šedá M2,5</v>
          </cell>
          <cell r="C399" t="str">
            <v>Entrelec</v>
          </cell>
          <cell r="D399">
            <v>12</v>
          </cell>
        </row>
        <row r="400">
          <cell r="B400" t="str">
            <v>Svorka řadová - světle modrá M2,5</v>
          </cell>
          <cell r="C400" t="str">
            <v>Entrelec</v>
          </cell>
          <cell r="D400">
            <v>13</v>
          </cell>
        </row>
        <row r="401">
          <cell r="B401" t="str">
            <v>Svorka řadová - žlutozelená M2,5</v>
          </cell>
          <cell r="C401" t="str">
            <v>Entrelec</v>
          </cell>
          <cell r="D401">
            <v>44</v>
          </cell>
        </row>
        <row r="402">
          <cell r="B402" t="str">
            <v>Svorka rozjišťovací M4/8SF</v>
          </cell>
          <cell r="C402" t="str">
            <v>Entrelec</v>
          </cell>
          <cell r="D402">
            <v>49</v>
          </cell>
        </row>
        <row r="403">
          <cell r="B403" t="str">
            <v>Štítky rozvaděče</v>
          </cell>
          <cell r="C403" t="str">
            <v>ostatní</v>
          </cell>
          <cell r="D403">
            <v>15</v>
          </cell>
        </row>
        <row r="404">
          <cell r="B404" t="str">
            <v>Vodiče rozvaděče</v>
          </cell>
          <cell r="C404" t="str">
            <v>ostatní</v>
          </cell>
          <cell r="D404">
            <v>8</v>
          </cell>
        </row>
        <row r="405">
          <cell r="B405" t="str">
            <v>Ostatní materiál</v>
          </cell>
          <cell r="C405" t="str">
            <v>ostatní</v>
          </cell>
          <cell r="D405">
            <v>400</v>
          </cell>
        </row>
        <row r="406">
          <cell r="B406" t="str">
            <v>Montáž rozvaděče</v>
          </cell>
          <cell r="D406">
            <v>120</v>
          </cell>
        </row>
        <row r="407">
          <cell r="D407" t="str">
            <v>celkem</v>
          </cell>
        </row>
        <row r="409">
          <cell r="B409" t="str">
            <v>Řídící systém</v>
          </cell>
        </row>
        <row r="410">
          <cell r="B410" t="str">
            <v>Regulátor DX 9100 - 8154</v>
          </cell>
          <cell r="C410" t="str">
            <v>Johnson 
Controls</v>
          </cell>
          <cell r="D410">
            <v>35549</v>
          </cell>
        </row>
        <row r="411">
          <cell r="D411" t="str">
            <v>celkem</v>
          </cell>
        </row>
        <row r="413">
          <cell r="B413" t="str">
            <v>Spojovací části</v>
          </cell>
        </row>
        <row r="414">
          <cell r="B414" t="str">
            <v>JQTQ 2x0,8</v>
          </cell>
          <cell r="C414" t="str">
            <v>Elektram/kab</v>
          </cell>
          <cell r="D414">
            <v>10.7</v>
          </cell>
          <cell r="E414">
            <v>2.5</v>
          </cell>
        </row>
        <row r="415">
          <cell r="B415" t="str">
            <v>JQTQ 4x0,8</v>
          </cell>
          <cell r="C415" t="str">
            <v>Elektram/kab</v>
          </cell>
          <cell r="D415">
            <v>15.7</v>
          </cell>
          <cell r="E415">
            <v>2.5</v>
          </cell>
        </row>
        <row r="416">
          <cell r="B416" t="str">
            <v>JYTY 4x1</v>
          </cell>
          <cell r="C416" t="str">
            <v>Elektram/kab</v>
          </cell>
          <cell r="D416">
            <v>16.100000000000001</v>
          </cell>
          <cell r="E416">
            <v>2.5</v>
          </cell>
        </row>
        <row r="417">
          <cell r="B417" t="str">
            <v>CYSY 2x1A</v>
          </cell>
          <cell r="C417" t="str">
            <v>Elektram/kab</v>
          </cell>
          <cell r="D417">
            <v>6.5</v>
          </cell>
          <cell r="E417">
            <v>2.5</v>
          </cell>
        </row>
        <row r="418">
          <cell r="B418" t="str">
            <v>CYSY 3x1C</v>
          </cell>
          <cell r="C418" t="str">
            <v>Elektram/kab</v>
          </cell>
          <cell r="D418">
            <v>8.1999999999999993</v>
          </cell>
          <cell r="E418">
            <v>2.5</v>
          </cell>
        </row>
        <row r="419">
          <cell r="B419" t="str">
            <v>CYSY 4x1B</v>
          </cell>
          <cell r="C419" t="str">
            <v>Elektram/kab</v>
          </cell>
          <cell r="D419">
            <v>10.199999999999999</v>
          </cell>
          <cell r="E419">
            <v>2.5</v>
          </cell>
        </row>
        <row r="420">
          <cell r="B420" t="str">
            <v>CYSY 5x1C</v>
          </cell>
          <cell r="C420" t="str">
            <v>Elektram/kab</v>
          </cell>
          <cell r="D420">
            <v>13</v>
          </cell>
          <cell r="E420">
            <v>2.5</v>
          </cell>
        </row>
        <row r="421">
          <cell r="B421" t="str">
            <v>CYKY 4x1B</v>
          </cell>
          <cell r="C421" t="str">
            <v>Elektram/kab</v>
          </cell>
          <cell r="D421">
            <v>10.6</v>
          </cell>
          <cell r="E421">
            <v>2.5</v>
          </cell>
        </row>
        <row r="422">
          <cell r="B422" t="str">
            <v>CYKY 5x2,5C</v>
          </cell>
          <cell r="C422" t="str">
            <v>Elektram/kab</v>
          </cell>
          <cell r="D422">
            <v>20</v>
          </cell>
          <cell r="E422">
            <v>2.5</v>
          </cell>
        </row>
        <row r="423">
          <cell r="B423" t="str">
            <v>SYKFY 5x2x0,5</v>
          </cell>
          <cell r="C423" t="str">
            <v>Elektram/kab</v>
          </cell>
          <cell r="D423">
            <v>8.3000000000000007</v>
          </cell>
          <cell r="E423">
            <v>2.5</v>
          </cell>
        </row>
        <row r="424">
          <cell r="B424" t="str">
            <v>Ukončení kabelu do 4x4mm2</v>
          </cell>
          <cell r="D424">
            <v>0</v>
          </cell>
          <cell r="E424">
            <v>13.2</v>
          </cell>
        </row>
        <row r="425">
          <cell r="B425" t="str">
            <v>Ukončení kabelu do 5x4mm2</v>
          </cell>
          <cell r="D425">
            <v>0</v>
          </cell>
          <cell r="E425">
            <v>19.8</v>
          </cell>
        </row>
        <row r="426">
          <cell r="B426" t="str">
            <v>Ukončení stíněného kabelu do 4x1mm2</v>
          </cell>
          <cell r="D426">
            <v>0</v>
          </cell>
          <cell r="E426">
            <v>32</v>
          </cell>
        </row>
        <row r="427">
          <cell r="B427" t="str">
            <v>Kabelový žlab 62x50 vč. víka</v>
          </cell>
          <cell r="C427" t="str">
            <v>Elektram</v>
          </cell>
          <cell r="D427">
            <v>105</v>
          </cell>
          <cell r="E427">
            <v>46.6</v>
          </cell>
        </row>
        <row r="428">
          <cell r="B428" t="str">
            <v>Koleno kabelového žlabu 62x50 vč. víka</v>
          </cell>
          <cell r="C428" t="str">
            <v>Elektram</v>
          </cell>
          <cell r="D428">
            <v>137</v>
          </cell>
          <cell r="E428">
            <v>30.5</v>
          </cell>
        </row>
        <row r="429">
          <cell r="B429" t="str">
            <v>T kus kab. žlabu 62x50 vč. víka</v>
          </cell>
          <cell r="C429" t="str">
            <v>Elektram</v>
          </cell>
          <cell r="D429">
            <v>145.9</v>
          </cell>
          <cell r="E429">
            <v>30.5</v>
          </cell>
        </row>
        <row r="430">
          <cell r="B430" t="str">
            <v>Nosník kabelového žlabu 62</v>
          </cell>
          <cell r="C430" t="str">
            <v>Elektram</v>
          </cell>
          <cell r="D430">
            <v>15.6</v>
          </cell>
          <cell r="E430">
            <v>0</v>
          </cell>
        </row>
        <row r="431">
          <cell r="B431" t="str">
            <v>Spojka kabelového žlabu 62</v>
          </cell>
          <cell r="C431" t="str">
            <v>Elektram</v>
          </cell>
          <cell r="D431">
            <v>2.4</v>
          </cell>
          <cell r="E431">
            <v>0</v>
          </cell>
        </row>
        <row r="432">
          <cell r="B432" t="str">
            <v>Lišta PVC 16x16 vč. víka</v>
          </cell>
          <cell r="C432" t="str">
            <v>Elektram</v>
          </cell>
          <cell r="D432">
            <v>11</v>
          </cell>
          <cell r="E432">
            <v>6</v>
          </cell>
        </row>
        <row r="433">
          <cell r="B433" t="str">
            <v>Lišta PVC 40x20 vč. víka</v>
          </cell>
          <cell r="C433" t="str">
            <v>Elektram</v>
          </cell>
          <cell r="D433">
            <v>20</v>
          </cell>
          <cell r="E433">
            <v>7</v>
          </cell>
        </row>
        <row r="434">
          <cell r="B434" t="str">
            <v>Lišta PVC 40x40 vč. víka</v>
          </cell>
          <cell r="C434" t="str">
            <v>Elektram</v>
          </cell>
          <cell r="D434">
            <v>33</v>
          </cell>
          <cell r="E434">
            <v>8</v>
          </cell>
        </row>
        <row r="435">
          <cell r="B435" t="str">
            <v>Pancéřová trubka PZ 13,5</v>
          </cell>
          <cell r="C435" t="str">
            <v>Elektram</v>
          </cell>
          <cell r="D435">
            <v>26.5</v>
          </cell>
          <cell r="E435">
            <v>4.8</v>
          </cell>
        </row>
        <row r="436">
          <cell r="B436" t="str">
            <v>Pancéřová trubka PZ 16</v>
          </cell>
          <cell r="C436" t="str">
            <v>Elektram</v>
          </cell>
          <cell r="D436">
            <v>28</v>
          </cell>
          <cell r="E436">
            <v>5</v>
          </cell>
        </row>
        <row r="437">
          <cell r="B437" t="str">
            <v>Pancéřová trubka PZ 21</v>
          </cell>
          <cell r="C437" t="str">
            <v>Elektram</v>
          </cell>
          <cell r="D437">
            <v>37</v>
          </cell>
          <cell r="E437">
            <v>8.4499999999999993</v>
          </cell>
        </row>
        <row r="438">
          <cell r="B438" t="str">
            <v>Vodič CY 6mm2 ŽZ</v>
          </cell>
          <cell r="C438" t="str">
            <v>Elektram</v>
          </cell>
          <cell r="D438">
            <v>8.9</v>
          </cell>
          <cell r="E438">
            <v>5.2</v>
          </cell>
        </row>
        <row r="439">
          <cell r="B439" t="str">
            <v>Zemnící svorky vč. CU pásků</v>
          </cell>
          <cell r="C439" t="str">
            <v>Elektram</v>
          </cell>
          <cell r="D439">
            <v>11</v>
          </cell>
          <cell r="E439">
            <v>4.5</v>
          </cell>
        </row>
        <row r="440">
          <cell r="B440" t="str">
            <v>Upevňovací bod hmoždinkou</v>
          </cell>
          <cell r="D440">
            <v>4.5</v>
          </cell>
          <cell r="E440">
            <v>2.1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"/>
      <sheetName val="Rekapitulace "/>
      <sheetName val="Statická část"/>
      <sheetName val="stavebni C-D"/>
      <sheetName val="Stavební F"/>
      <sheetName val="venkovní rampa"/>
      <sheetName val="pěší komunikace"/>
      <sheetName val="ZTI_C"/>
      <sheetName val="ZTI_D"/>
      <sheetName val="ÚT-C"/>
      <sheetName val="ÚT-D"/>
      <sheetName val="silnoproud"/>
      <sheetName val="slaboproud"/>
      <sheetName val="VZT"/>
      <sheetName val="MaR"/>
      <sheetName val="Parametry"/>
    </sheetNames>
    <sheetDataSet>
      <sheetData sheetId="0" refreshError="1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>
        <row r="44">
          <cell r="C44" t="str">
            <v>EGT347F101</v>
          </cell>
        </row>
        <row r="45">
          <cell r="C45" t="str">
            <v>0368839000</v>
          </cell>
        </row>
        <row r="46">
          <cell r="C46" t="str">
            <v>EGT311F101</v>
          </cell>
        </row>
        <row r="47">
          <cell r="C47" t="str">
            <v>TFL201F601</v>
          </cell>
        </row>
        <row r="48">
          <cell r="C48" t="str">
            <v>KS300 /1C2F001</v>
          </cell>
        </row>
        <row r="49">
          <cell r="C49" t="str">
            <v>KS600C2F001</v>
          </cell>
        </row>
        <row r="50">
          <cell r="C50" t="str">
            <v>HSC120F001</v>
          </cell>
        </row>
        <row r="51">
          <cell r="C51" t="str">
            <v>0362225001</v>
          </cell>
        </row>
        <row r="52">
          <cell r="C52" t="str">
            <v>BXN015F210</v>
          </cell>
        </row>
        <row r="53">
          <cell r="C53" t="str">
            <v>AVM114SF132</v>
          </cell>
        </row>
        <row r="54">
          <cell r="C54" t="str">
            <v>0370560016</v>
          </cell>
        </row>
        <row r="55">
          <cell r="C55" t="str">
            <v>ASF122F120</v>
          </cell>
        </row>
        <row r="57">
          <cell r="C57" t="str">
            <v>EGT347F101</v>
          </cell>
        </row>
        <row r="58">
          <cell r="C58" t="str">
            <v>0368839000</v>
          </cell>
        </row>
        <row r="59">
          <cell r="C59" t="str">
            <v>EGT311F101</v>
          </cell>
        </row>
        <row r="60">
          <cell r="C60" t="str">
            <v>TFL201F601</v>
          </cell>
        </row>
        <row r="61">
          <cell r="C61" t="str">
            <v>KS300 /1C2F001</v>
          </cell>
        </row>
        <row r="62">
          <cell r="C62" t="str">
            <v>KS600C2F001</v>
          </cell>
        </row>
        <row r="63">
          <cell r="C63" t="str">
            <v>BXN020F200</v>
          </cell>
        </row>
        <row r="64">
          <cell r="C64" t="str">
            <v>AVM114SF132</v>
          </cell>
        </row>
        <row r="65">
          <cell r="C65" t="str">
            <v>0370560016</v>
          </cell>
        </row>
        <row r="66">
          <cell r="C66" t="str">
            <v>ASF122F120</v>
          </cell>
        </row>
        <row r="69">
          <cell r="C69" t="str">
            <v>EGT301F101</v>
          </cell>
        </row>
        <row r="70">
          <cell r="C70" t="str">
            <v>0370560011</v>
          </cell>
        </row>
        <row r="72">
          <cell r="C72" t="str">
            <v>EGT301F101</v>
          </cell>
        </row>
        <row r="73">
          <cell r="C73" t="str">
            <v>0370560011</v>
          </cell>
        </row>
        <row r="75">
          <cell r="C75" t="str">
            <v>ASM114SF132</v>
          </cell>
        </row>
        <row r="78">
          <cell r="C78" t="str">
            <v>ASM114SF132</v>
          </cell>
        </row>
        <row r="80">
          <cell r="C80" t="str">
            <v>EGT301F101</v>
          </cell>
        </row>
        <row r="81">
          <cell r="C81" t="str">
            <v>0370560011</v>
          </cell>
        </row>
        <row r="85">
          <cell r="C85" t="str">
            <v>EGT346F101</v>
          </cell>
        </row>
        <row r="86">
          <cell r="C86" t="str">
            <v>0226807120</v>
          </cell>
        </row>
        <row r="87">
          <cell r="C87" t="str">
            <v>0368840000</v>
          </cell>
        </row>
        <row r="88">
          <cell r="C88" t="str">
            <v>TSO670F001</v>
          </cell>
        </row>
        <row r="89">
          <cell r="C89" t="str">
            <v>KS600C2F001</v>
          </cell>
        </row>
        <row r="90">
          <cell r="C90" t="str">
            <v>SE 22/F</v>
          </cell>
        </row>
        <row r="91">
          <cell r="C91" t="str">
            <v>T6</v>
          </cell>
        </row>
        <row r="93">
          <cell r="C93" t="str">
            <v>EGT301F101</v>
          </cell>
        </row>
        <row r="94">
          <cell r="C94" t="str">
            <v>0370560011</v>
          </cell>
        </row>
        <row r="95">
          <cell r="C95" t="str">
            <v>EGT311F101</v>
          </cell>
        </row>
        <row r="96">
          <cell r="C96" t="str">
            <v>EGT346F101</v>
          </cell>
        </row>
        <row r="97">
          <cell r="C97" t="str">
            <v>0226807120</v>
          </cell>
        </row>
        <row r="98">
          <cell r="C98" t="str">
            <v>0368840000</v>
          </cell>
        </row>
        <row r="99">
          <cell r="C99" t="str">
            <v>RAK82.4/3728M</v>
          </cell>
        </row>
        <row r="100">
          <cell r="C100" t="str">
            <v>0226807120</v>
          </cell>
        </row>
        <row r="101">
          <cell r="C101" t="str">
            <v>0364142000</v>
          </cell>
        </row>
        <row r="102">
          <cell r="C102" t="str">
            <v>RAK82.4/3728M</v>
          </cell>
        </row>
        <row r="103">
          <cell r="C103" t="str">
            <v>RHV01+SZ1</v>
          </cell>
        </row>
        <row r="104">
          <cell r="C104" t="str">
            <v>T6</v>
          </cell>
        </row>
        <row r="105">
          <cell r="C105" t="str">
            <v>BXN025F200</v>
          </cell>
        </row>
        <row r="106">
          <cell r="C106" t="str">
            <v>AVM114SF132</v>
          </cell>
        </row>
        <row r="107">
          <cell r="C107" t="str">
            <v>0370560016</v>
          </cell>
        </row>
        <row r="108">
          <cell r="C108" t="str">
            <v>BXN020F200</v>
          </cell>
        </row>
        <row r="109">
          <cell r="C109" t="str">
            <v>AVM114SF132</v>
          </cell>
        </row>
        <row r="110">
          <cell r="C110" t="str">
            <v>0370560016</v>
          </cell>
        </row>
        <row r="111">
          <cell r="C111" t="str">
            <v>BXN032F200</v>
          </cell>
        </row>
        <row r="112">
          <cell r="C112" t="str">
            <v>AVM114SF132</v>
          </cell>
        </row>
        <row r="113">
          <cell r="C113" t="str">
            <v>0370560016</v>
          </cell>
        </row>
        <row r="115">
          <cell r="C115" t="str">
            <v>EGT346F101</v>
          </cell>
        </row>
        <row r="116">
          <cell r="C116" t="str">
            <v>0226807120</v>
          </cell>
        </row>
        <row r="117">
          <cell r="C117" t="str">
            <v>0368840000</v>
          </cell>
        </row>
        <row r="118">
          <cell r="C118" t="str">
            <v>TSO670F001</v>
          </cell>
        </row>
        <row r="119">
          <cell r="C119" t="str">
            <v>KS600C2F001</v>
          </cell>
        </row>
        <row r="120">
          <cell r="C120" t="str">
            <v>GTE CO</v>
          </cell>
        </row>
        <row r="121">
          <cell r="C121" t="str">
            <v>SE 22/F</v>
          </cell>
        </row>
        <row r="123">
          <cell r="C123" t="str">
            <v>EGT301F101</v>
          </cell>
        </row>
        <row r="124">
          <cell r="C124" t="str">
            <v>0370560011</v>
          </cell>
        </row>
        <row r="125">
          <cell r="C125" t="str">
            <v>EGT311F101</v>
          </cell>
        </row>
        <row r="126">
          <cell r="C126" t="str">
            <v>EGT346F101</v>
          </cell>
        </row>
        <row r="127">
          <cell r="C127" t="str">
            <v>0226807120</v>
          </cell>
        </row>
        <row r="128">
          <cell r="C128" t="str">
            <v>0368840000</v>
          </cell>
        </row>
        <row r="129">
          <cell r="C129" t="str">
            <v>RAK82.4/3728M</v>
          </cell>
        </row>
        <row r="130">
          <cell r="C130" t="str">
            <v>0226807120</v>
          </cell>
        </row>
        <row r="131">
          <cell r="C131" t="str">
            <v>0364142000</v>
          </cell>
        </row>
        <row r="132">
          <cell r="C132" t="str">
            <v>RAK82.4/3728M</v>
          </cell>
        </row>
        <row r="133">
          <cell r="C133" t="str">
            <v>RHV01+SZ1</v>
          </cell>
        </row>
        <row r="134">
          <cell r="C134" t="str">
            <v>T6</v>
          </cell>
        </row>
        <row r="135">
          <cell r="C135" t="str">
            <v>BXN015F210</v>
          </cell>
        </row>
        <row r="136">
          <cell r="C136" t="str">
            <v>AVM114SF132</v>
          </cell>
        </row>
        <row r="137">
          <cell r="C137" t="str">
            <v>0370560016</v>
          </cell>
        </row>
        <row r="138">
          <cell r="C138" t="str">
            <v>BXN032F200</v>
          </cell>
        </row>
        <row r="139">
          <cell r="C139" t="str">
            <v>AVM114SF132</v>
          </cell>
        </row>
        <row r="140">
          <cell r="C140" t="str">
            <v>0370560016</v>
          </cell>
        </row>
        <row r="141">
          <cell r="C141" t="str">
            <v>BXN015F200</v>
          </cell>
        </row>
        <row r="142">
          <cell r="C142" t="str">
            <v>AVM114SF132</v>
          </cell>
        </row>
        <row r="143">
          <cell r="C143" t="str">
            <v>0370560016</v>
          </cell>
        </row>
        <row r="151">
          <cell r="C151" t="str">
            <v>EYR203F001</v>
          </cell>
        </row>
        <row r="152">
          <cell r="C152" t="str">
            <v>0374413001</v>
          </cell>
        </row>
        <row r="153">
          <cell r="C153" t="str">
            <v>EYL220F001</v>
          </cell>
        </row>
        <row r="154">
          <cell r="C154" t="str">
            <v>EYR203F001</v>
          </cell>
        </row>
        <row r="155">
          <cell r="C155" t="str">
            <v>0374413001</v>
          </cell>
        </row>
        <row r="156">
          <cell r="C156" t="str">
            <v>EYR203F001</v>
          </cell>
        </row>
        <row r="157">
          <cell r="C157" t="str">
            <v>0374413001</v>
          </cell>
        </row>
        <row r="158">
          <cell r="C158" t="str">
            <v>EYR203F001</v>
          </cell>
        </row>
        <row r="159">
          <cell r="C159" t="str">
            <v>0374413001</v>
          </cell>
        </row>
        <row r="160">
          <cell r="C160" t="str">
            <v>EYT240F001</v>
          </cell>
        </row>
        <row r="161">
          <cell r="C161" t="str">
            <v>0367842002</v>
          </cell>
        </row>
      </sheetData>
      <sheetData sheetId="15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Úprava faktury"/>
      <sheetName val="Faktura"/>
      <sheetName val="Makra"/>
      <sheetName val="ATW"/>
      <sheetName val="Zámek"/>
      <sheetName val="TemplateInformation"/>
    </sheetNames>
    <sheetDataSet>
      <sheetData sheetId="0" refreshError="1"/>
      <sheetData sheetId="1" refreshError="1">
        <row r="21">
          <cell r="E21">
            <v>0.05</v>
          </cell>
        </row>
        <row r="22">
          <cell r="E22">
            <v>0.22</v>
          </cell>
        </row>
        <row r="23">
          <cell r="D23" t="b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hel_DT2"/>
      <sheetName val="schel_DT1"/>
      <sheetName val="schel_rozp"/>
      <sheetName val="SchEl_rozp_z"/>
      <sheetName val="OP VZP_rozp"/>
      <sheetName val="DATA"/>
      <sheetName val="dodav"/>
      <sheetName val="schel_montáž"/>
      <sheetName val="ŽLABY"/>
      <sheetName val="cesana_nab_z"/>
      <sheetName val="Module1"/>
      <sheetName val="ČD Choceň rozp_z"/>
      <sheetName val="SchEl_Lanskrounrozp_z"/>
      <sheetName val="Cesana_montáž (2)"/>
      <sheetName val="odemčený"/>
      <sheetName val="cesana_nab"/>
      <sheetName val="ZS, VR"/>
      <sheetName val="Budova"/>
      <sheetName val="Venky"/>
      <sheetName val="SO 01 - 06 ELEKTROINSTALACE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Komextherm</v>
          </cell>
          <cell r="C6">
            <v>0</v>
          </cell>
          <cell r="D6">
            <v>0.12</v>
          </cell>
        </row>
        <row r="7">
          <cell r="B7" t="str">
            <v>Merlin&amp;G</v>
          </cell>
          <cell r="C7">
            <v>0</v>
          </cell>
          <cell r="D7">
            <v>0.05</v>
          </cell>
        </row>
        <row r="8">
          <cell r="B8" t="str">
            <v>mm</v>
          </cell>
          <cell r="C8">
            <v>0</v>
          </cell>
          <cell r="D8">
            <v>0.08</v>
          </cell>
        </row>
        <row r="9">
          <cell r="B9" t="str">
            <v>stáv.</v>
          </cell>
          <cell r="C9">
            <v>0</v>
          </cell>
          <cell r="D9">
            <v>0</v>
          </cell>
        </row>
        <row r="10">
          <cell r="B10" t="str">
            <v>stroj.dod.</v>
          </cell>
          <cell r="C10">
            <v>0</v>
          </cell>
          <cell r="D10">
            <v>0</v>
          </cell>
        </row>
        <row r="11">
          <cell r="B11" t="str">
            <v>E</v>
          </cell>
          <cell r="C11">
            <v>0</v>
          </cell>
          <cell r="D11">
            <v>0</v>
          </cell>
        </row>
        <row r="12">
          <cell r="B12" t="str">
            <v>JC</v>
          </cell>
          <cell r="C12">
            <v>0.3</v>
          </cell>
          <cell r="D12">
            <v>0.1</v>
          </cell>
        </row>
        <row r="13">
          <cell r="B13" t="str">
            <v>ZPA Nová Paka</v>
          </cell>
          <cell r="C13">
            <v>0.15</v>
          </cell>
          <cell r="D13">
            <v>0.15</v>
          </cell>
        </row>
        <row r="14">
          <cell r="B14" t="str">
            <v>BD Sensors</v>
          </cell>
          <cell r="C14">
            <v>0.1</v>
          </cell>
          <cell r="D14">
            <v>0.15</v>
          </cell>
        </row>
        <row r="15">
          <cell r="B15" t="str">
            <v>CLAUHAN
Brno</v>
          </cell>
          <cell r="C15">
            <v>0</v>
          </cell>
          <cell r="D15">
            <v>0.3</v>
          </cell>
        </row>
        <row r="16">
          <cell r="B16" t="str">
            <v>Comel</v>
          </cell>
          <cell r="C16">
            <v>0</v>
          </cell>
          <cell r="D16">
            <v>0.15</v>
          </cell>
        </row>
        <row r="17">
          <cell r="B17" t="str">
            <v>DA Ostrava</v>
          </cell>
          <cell r="C17">
            <v>0</v>
          </cell>
          <cell r="D17">
            <v>0.15</v>
          </cell>
        </row>
        <row r="18">
          <cell r="B18" t="str">
            <v>dodávka 
investora</v>
          </cell>
          <cell r="C18">
            <v>0</v>
          </cell>
          <cell r="D18">
            <v>0</v>
          </cell>
        </row>
        <row r="19">
          <cell r="B19" t="str">
            <v xml:space="preserve">Eko-Ekviterm </v>
          </cell>
          <cell r="C19">
            <v>0.1</v>
          </cell>
          <cell r="D19">
            <v>0.15</v>
          </cell>
        </row>
        <row r="20">
          <cell r="B20" t="str">
            <v>Ekorex+
Nová Paka</v>
          </cell>
          <cell r="C20">
            <v>0.17</v>
          </cell>
          <cell r="D20">
            <v>0.21</v>
          </cell>
        </row>
        <row r="21">
          <cell r="B21" t="str">
            <v>Eleco</v>
          </cell>
          <cell r="C21">
            <v>0</v>
          </cell>
          <cell r="D21">
            <v>0.17</v>
          </cell>
        </row>
        <row r="22">
          <cell r="B22" t="str">
            <v>Elektram</v>
          </cell>
          <cell r="C22">
            <v>0</v>
          </cell>
          <cell r="D22">
            <v>0.15</v>
          </cell>
        </row>
        <row r="23">
          <cell r="B23" t="str">
            <v>Elektram/kab</v>
          </cell>
          <cell r="C23">
            <v>0</v>
          </cell>
          <cell r="D23">
            <v>0.08</v>
          </cell>
        </row>
        <row r="24">
          <cell r="B24" t="str">
            <v>Elektropřístroj
Písek</v>
          </cell>
          <cell r="C24">
            <v>0</v>
          </cell>
          <cell r="D24">
            <v>0.15</v>
          </cell>
        </row>
        <row r="25">
          <cell r="B25" t="str">
            <v>EP Písek</v>
          </cell>
          <cell r="C25">
            <v>0</v>
          </cell>
          <cell r="D25">
            <v>0.15</v>
          </cell>
        </row>
        <row r="26">
          <cell r="B26" t="str">
            <v>ENERGIE MaR</v>
          </cell>
          <cell r="C26">
            <v>0</v>
          </cell>
          <cell r="D26">
            <v>0.05</v>
          </cell>
        </row>
        <row r="27">
          <cell r="B27" t="str">
            <v>Entrelec</v>
          </cell>
          <cell r="C27">
            <v>0</v>
          </cell>
          <cell r="D27">
            <v>0.15</v>
          </cell>
        </row>
        <row r="28">
          <cell r="B28" t="str">
            <v>EO Pardubice</v>
          </cell>
          <cell r="C28">
            <v>0</v>
          </cell>
          <cell r="D28">
            <v>0.15</v>
          </cell>
        </row>
        <row r="29">
          <cell r="B29" t="str">
            <v>ERAB</v>
          </cell>
          <cell r="C29">
            <v>0</v>
          </cell>
          <cell r="D29">
            <v>0.15</v>
          </cell>
        </row>
        <row r="30">
          <cell r="B30" t="str">
            <v>F&amp;G</v>
          </cell>
          <cell r="C30">
            <v>0</v>
          </cell>
          <cell r="D30">
            <v>0.15</v>
          </cell>
        </row>
        <row r="31">
          <cell r="B31" t="str">
            <v>Groupe-
Schneider</v>
          </cell>
          <cell r="C31">
            <v>0</v>
          </cell>
          <cell r="D31">
            <v>0.15</v>
          </cell>
        </row>
        <row r="32">
          <cell r="B32" t="str">
            <v>HAKEL</v>
          </cell>
          <cell r="C32">
            <v>0</v>
          </cell>
          <cell r="D32">
            <v>0.25</v>
          </cell>
        </row>
        <row r="33">
          <cell r="B33" t="str">
            <v>Johnson 
Controls</v>
          </cell>
          <cell r="C33">
            <v>0</v>
          </cell>
          <cell r="D33">
            <v>0</v>
          </cell>
        </row>
        <row r="34">
          <cell r="B34" t="str">
            <v>Končar</v>
          </cell>
          <cell r="C34">
            <v>0</v>
          </cell>
          <cell r="D34">
            <v>0.15</v>
          </cell>
        </row>
        <row r="35">
          <cell r="B35" t="str">
            <v>LDM 
Č. Třebová</v>
          </cell>
          <cell r="C35">
            <v>0.23</v>
          </cell>
          <cell r="D35">
            <v>0.15</v>
          </cell>
        </row>
        <row r="36">
          <cell r="B36" t="str">
            <v>MARTECH
Hradec Králové</v>
          </cell>
          <cell r="C36">
            <v>0</v>
          </cell>
          <cell r="D36">
            <v>0.15</v>
          </cell>
        </row>
        <row r="37">
          <cell r="B37" t="str">
            <v>OEZ Letohrad</v>
          </cell>
          <cell r="C37">
            <v>0</v>
          </cell>
          <cell r="D37">
            <v>0.15</v>
          </cell>
        </row>
        <row r="38">
          <cell r="B38" t="str">
            <v>ostatní</v>
          </cell>
          <cell r="C38">
            <v>0</v>
          </cell>
          <cell r="D38">
            <v>0.05</v>
          </cell>
        </row>
        <row r="39">
          <cell r="B39" t="str">
            <v>PEVEKO
Boršice u B.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
Nová Paka</v>
          </cell>
          <cell r="C49">
            <v>0.15</v>
          </cell>
          <cell r="D49">
            <v>0.18</v>
          </cell>
        </row>
        <row r="50">
          <cell r="B50" t="str">
            <v>JSP
Nová Paka</v>
          </cell>
          <cell r="C50">
            <v>0.1</v>
          </cell>
          <cell r="D50">
            <v>0.2</v>
          </cell>
        </row>
        <row r="51">
          <cell r="B51" t="str">
            <v>ZPA Prešov</v>
          </cell>
          <cell r="C51">
            <v>0</v>
          </cell>
          <cell r="D51">
            <v>0.15</v>
          </cell>
        </row>
        <row r="52">
          <cell r="B52" t="str">
            <v>Ekorex Lázně
Bohdaneč</v>
          </cell>
          <cell r="C52">
            <v>0.15</v>
          </cell>
          <cell r="D52">
            <v>0.15</v>
          </cell>
        </row>
        <row r="53">
          <cell r="B53" t="str">
            <v>Raab Karcher</v>
          </cell>
          <cell r="C53">
            <v>0.36</v>
          </cell>
          <cell r="D53">
            <v>0.25</v>
          </cell>
        </row>
        <row r="54">
          <cell r="B54" t="str">
            <v>Axima</v>
          </cell>
          <cell r="C54">
            <v>0</v>
          </cell>
          <cell r="D54">
            <v>0.15</v>
          </cell>
        </row>
        <row r="55">
          <cell r="B55" t="str">
            <v>Merlin&amp;G</v>
          </cell>
          <cell r="C55">
            <v>0</v>
          </cell>
          <cell r="D55">
            <v>0.16</v>
          </cell>
        </row>
        <row r="56">
          <cell r="B56" t="str">
            <v>MaR Plus</v>
          </cell>
          <cell r="C56">
            <v>0</v>
          </cell>
          <cell r="D56">
            <v>0.3</v>
          </cell>
        </row>
        <row r="57">
          <cell r="B57" t="str">
            <v>ZPA Pečky</v>
          </cell>
          <cell r="C57">
            <v>0</v>
          </cell>
          <cell r="D57">
            <v>0.15</v>
          </cell>
        </row>
        <row r="58">
          <cell r="B58" t="str">
            <v>EESA
Lomnice n.P.</v>
          </cell>
          <cell r="C58">
            <v>0</v>
          </cell>
          <cell r="D58">
            <v>0.15</v>
          </cell>
        </row>
        <row r="59">
          <cell r="B59" t="str">
            <v>REMAG trade</v>
          </cell>
          <cell r="C59">
            <v>0</v>
          </cell>
          <cell r="D59">
            <v>0.12</v>
          </cell>
        </row>
        <row r="60">
          <cell r="B60" t="str">
            <v>LOGITRON</v>
          </cell>
          <cell r="C60">
            <v>0</v>
          </cell>
          <cell r="D60">
            <v>0.15</v>
          </cell>
        </row>
        <row r="61">
          <cell r="B61" t="str">
            <v>MIWA Praha</v>
          </cell>
          <cell r="C61">
            <v>0</v>
          </cell>
          <cell r="D61">
            <v>0.15</v>
          </cell>
        </row>
        <row r="62">
          <cell r="B62" t="str">
            <v>EIG Praha</v>
          </cell>
          <cell r="C62">
            <v>0</v>
          </cell>
          <cell r="D62">
            <v>0.15</v>
          </cell>
        </row>
        <row r="63">
          <cell r="B63" t="str">
            <v>Honeywell</v>
          </cell>
          <cell r="C63">
            <v>0</v>
          </cell>
          <cell r="D63">
            <v>0</v>
          </cell>
        </row>
        <row r="64">
          <cell r="B64" t="str">
            <v>TERMS
Č. Budějovice</v>
          </cell>
          <cell r="C64">
            <v>0</v>
          </cell>
          <cell r="D64">
            <v>0.15</v>
          </cell>
        </row>
        <row r="65">
          <cell r="B65" t="str">
            <v>Transformátory
Blatná</v>
          </cell>
          <cell r="C65">
            <v>0</v>
          </cell>
          <cell r="D65">
            <v>0.15</v>
          </cell>
        </row>
        <row r="66">
          <cell r="B66" t="str">
            <v>Bola</v>
          </cell>
          <cell r="C66">
            <v>0</v>
          </cell>
          <cell r="D66">
            <v>0.15</v>
          </cell>
        </row>
        <row r="67">
          <cell r="B67" t="str">
            <v>BOLA-Siemens1</v>
          </cell>
          <cell r="C67">
            <v>0.15</v>
          </cell>
          <cell r="D67">
            <v>0.1</v>
          </cell>
        </row>
        <row r="68">
          <cell r="B68" t="str">
            <v>BOLA pohony</v>
          </cell>
          <cell r="C68">
            <v>0.5</v>
          </cell>
          <cell r="D68">
            <v>0.12</v>
          </cell>
        </row>
        <row r="69">
          <cell r="B69" t="str">
            <v>BOLA pohony</v>
          </cell>
          <cell r="C69">
            <v>0.5</v>
          </cell>
          <cell r="D69">
            <v>0.12</v>
          </cell>
        </row>
        <row r="70">
          <cell r="B70" t="str">
            <v>BELIMO kul.k.</v>
          </cell>
          <cell r="C70">
            <v>0.5</v>
          </cell>
          <cell r="D70">
            <v>0.12</v>
          </cell>
        </row>
        <row r="71">
          <cell r="B71" t="str">
            <v>BOLA-ESBE</v>
          </cell>
          <cell r="C71">
            <v>0.05</v>
          </cell>
          <cell r="D71">
            <v>0.1</v>
          </cell>
        </row>
        <row r="72">
          <cell r="B72" t="str">
            <v>J.T.O. System</v>
          </cell>
          <cell r="C72">
            <v>0.05</v>
          </cell>
          <cell r="D72">
            <v>0.15</v>
          </cell>
        </row>
        <row r="73">
          <cell r="B73" t="str">
            <v>X</v>
          </cell>
          <cell r="C73">
            <v>0</v>
          </cell>
          <cell r="D73">
            <v>0</v>
          </cell>
        </row>
        <row r="74">
          <cell r="B74" t="str">
            <v>XX</v>
          </cell>
          <cell r="C74">
            <v>0</v>
          </cell>
          <cell r="D74">
            <v>0</v>
          </cell>
        </row>
        <row r="75">
          <cell r="B75" t="str">
            <v>CATV Olomouc</v>
          </cell>
          <cell r="C75">
            <v>0</v>
          </cell>
          <cell r="D75">
            <v>0.12</v>
          </cell>
        </row>
        <row r="76">
          <cell r="B76" t="str">
            <v>el-servis
Spálovský</v>
          </cell>
          <cell r="C76">
            <v>0</v>
          </cell>
          <cell r="D76">
            <v>0.15</v>
          </cell>
        </row>
        <row r="77">
          <cell r="B77" t="str">
            <v>Danfoss</v>
          </cell>
          <cell r="C77">
            <v>0</v>
          </cell>
          <cell r="D77">
            <v>0.12</v>
          </cell>
        </row>
        <row r="78">
          <cell r="B78" t="str">
            <v>Remak
Trade a.s.</v>
          </cell>
          <cell r="C78">
            <v>0</v>
          </cell>
          <cell r="D78">
            <v>0.15</v>
          </cell>
        </row>
        <row r="79">
          <cell r="B79" t="str">
            <v>Landis &amp; Staefa</v>
          </cell>
          <cell r="C79">
            <v>0.3</v>
          </cell>
          <cell r="D79">
            <v>0.15</v>
          </cell>
        </row>
        <row r="80">
          <cell r="B80" t="str">
            <v>AutoCont</v>
          </cell>
          <cell r="C80">
            <v>0</v>
          </cell>
          <cell r="D80">
            <v>0.08</v>
          </cell>
        </row>
        <row r="81">
          <cell r="B81" t="str">
            <v>M+D</v>
          </cell>
          <cell r="C81">
            <v>0</v>
          </cell>
          <cell r="D81">
            <v>0.15</v>
          </cell>
        </row>
        <row r="82">
          <cell r="B82" t="str">
            <v>FINDER</v>
          </cell>
          <cell r="C82">
            <v>0</v>
          </cell>
          <cell r="D82">
            <v>0.15</v>
          </cell>
        </row>
        <row r="83">
          <cell r="B83" t="str">
            <v>RAMI cz s.r.o.</v>
          </cell>
          <cell r="C83">
            <v>0</v>
          </cell>
          <cell r="D83">
            <v>0.15</v>
          </cell>
        </row>
        <row r="84">
          <cell r="B84" t="str">
            <v>XXX</v>
          </cell>
          <cell r="C84">
            <v>0</v>
          </cell>
          <cell r="D84">
            <v>0.15</v>
          </cell>
        </row>
        <row r="85">
          <cell r="B85" t="str">
            <v>MAVE &amp; spol.</v>
          </cell>
          <cell r="C85">
            <v>0</v>
          </cell>
          <cell r="D85">
            <v>0.15</v>
          </cell>
        </row>
        <row r="86">
          <cell r="B86" t="str">
            <v>rozv</v>
          </cell>
          <cell r="C86">
            <v>0</v>
          </cell>
          <cell r="D86">
            <v>0</v>
          </cell>
        </row>
        <row r="87">
          <cell r="B87" t="str">
            <v>ZPA CZ Trutnov</v>
          </cell>
          <cell r="C87">
            <v>0</v>
          </cell>
          <cell r="D87">
            <v>0.08</v>
          </cell>
        </row>
        <row r="88">
          <cell r="B88" t="str">
            <v>SALTEK</v>
          </cell>
          <cell r="C88">
            <v>0</v>
          </cell>
          <cell r="D88">
            <v>0.15</v>
          </cell>
        </row>
        <row r="89">
          <cell r="B89" t="str">
            <v>BELIMO CZ</v>
          </cell>
          <cell r="C89">
            <v>0</v>
          </cell>
          <cell r="D89">
            <v>0.15</v>
          </cell>
        </row>
        <row r="90">
          <cell r="B90" t="str">
            <v>M&amp;D ELEKTRO</v>
          </cell>
          <cell r="C90">
            <v>0</v>
          </cell>
          <cell r="D90">
            <v>0.15</v>
          </cell>
        </row>
        <row r="91">
          <cell r="B91" t="str">
            <v>REGMET</v>
          </cell>
          <cell r="C91">
            <v>0.08</v>
          </cell>
          <cell r="D91">
            <v>0.15</v>
          </cell>
        </row>
        <row r="92">
          <cell r="B92" t="str">
            <v>ENBRA</v>
          </cell>
          <cell r="C92">
            <v>0</v>
          </cell>
          <cell r="D92">
            <v>0.15</v>
          </cell>
        </row>
        <row r="93">
          <cell r="B93" t="str">
            <v>AVOS
automation</v>
          </cell>
          <cell r="C93">
            <v>0</v>
          </cell>
          <cell r="D93">
            <v>0.15</v>
          </cell>
        </row>
        <row r="94">
          <cell r="B94" t="str">
            <v>Luka systém</v>
          </cell>
          <cell r="C94">
            <v>0</v>
          </cell>
          <cell r="D94">
            <v>0.15</v>
          </cell>
        </row>
        <row r="95">
          <cell r="B95" t="str">
            <v>PRO-REG</v>
          </cell>
          <cell r="C95">
            <v>0</v>
          </cell>
          <cell r="D95">
            <v>0.15</v>
          </cell>
        </row>
        <row r="96">
          <cell r="B96" t="str">
            <v>Eberle</v>
          </cell>
          <cell r="C96">
            <v>0</v>
          </cell>
          <cell r="D96">
            <v>0.15</v>
          </cell>
        </row>
        <row r="97">
          <cell r="B97" t="str">
            <v>Landis &amp; Staefa_S</v>
          </cell>
          <cell r="C97">
            <v>0.25</v>
          </cell>
          <cell r="D97">
            <v>0.09</v>
          </cell>
        </row>
        <row r="98">
          <cell r="B98" t="str">
            <v>BOLA-AM TECHNIC LINE</v>
          </cell>
          <cell r="C98">
            <v>0.1</v>
          </cell>
          <cell r="D98">
            <v>0.12</v>
          </cell>
        </row>
        <row r="99">
          <cell r="B99" t="str">
            <v>BOLA-HUBA</v>
          </cell>
          <cell r="C99">
            <v>0.1</v>
          </cell>
          <cell r="D99">
            <v>0.12</v>
          </cell>
        </row>
        <row r="100">
          <cell r="B100" t="str">
            <v>BOLA-ALCO</v>
          </cell>
          <cell r="C100">
            <v>0.11</v>
          </cell>
          <cell r="D100">
            <v>0.12</v>
          </cell>
        </row>
        <row r="101">
          <cell r="B101" t="str">
            <v>KROHNE</v>
          </cell>
          <cell r="C101">
            <v>0</v>
          </cell>
          <cell r="D101">
            <v>0.08</v>
          </cell>
        </row>
        <row r="102">
          <cell r="B102" t="str">
            <v>SENTRON CZ</v>
          </cell>
          <cell r="C102">
            <v>0</v>
          </cell>
          <cell r="D102">
            <v>0.15</v>
          </cell>
        </row>
        <row r="103">
          <cell r="B103" t="str">
            <v>DMS</v>
          </cell>
          <cell r="C103">
            <v>0</v>
          </cell>
          <cell r="D103">
            <v>0.05</v>
          </cell>
        </row>
        <row r="104">
          <cell r="B104" t="str">
            <v>Sauter</v>
          </cell>
          <cell r="C104">
            <v>0.2</v>
          </cell>
          <cell r="D104">
            <v>0.15</v>
          </cell>
        </row>
        <row r="105">
          <cell r="B105" t="str">
            <v>rozv</v>
          </cell>
          <cell r="C105">
            <v>0</v>
          </cell>
          <cell r="D105">
            <v>0</v>
          </cell>
        </row>
        <row r="106">
          <cell r="B106" t="str">
            <v>AMiT</v>
          </cell>
          <cell r="C106">
            <v>0.12</v>
          </cell>
          <cell r="D106">
            <v>0.05</v>
          </cell>
        </row>
        <row r="107">
          <cell r="B107" t="str">
            <v>ABB</v>
          </cell>
          <cell r="C107">
            <v>0.2</v>
          </cell>
          <cell r="D107">
            <v>0</v>
          </cell>
        </row>
        <row r="108">
          <cell r="B108" t="str">
            <v>Augusta elektra</v>
          </cell>
          <cell r="C108">
            <v>0.05</v>
          </cell>
          <cell r="D108">
            <v>0.15</v>
          </cell>
        </row>
        <row r="109">
          <cell r="B109" t="str">
            <v>Aseko</v>
          </cell>
          <cell r="C109">
            <v>0.05</v>
          </cell>
          <cell r="D109">
            <v>0.12</v>
          </cell>
        </row>
        <row r="110">
          <cell r="B110" t="str">
            <v>Armagas</v>
          </cell>
          <cell r="C110">
            <v>0</v>
          </cell>
          <cell r="D110">
            <v>0.12</v>
          </cell>
        </row>
        <row r="111">
          <cell r="B111" t="str">
            <v>Micropel</v>
          </cell>
          <cell r="C111">
            <v>0</v>
          </cell>
          <cell r="D111">
            <v>0.08</v>
          </cell>
        </row>
        <row r="112">
          <cell r="B112" t="str">
            <v>ABB Elektro</v>
          </cell>
          <cell r="C112">
            <v>0</v>
          </cell>
          <cell r="D112">
            <v>0.1</v>
          </cell>
        </row>
      </sheetData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zv-BA1"/>
      <sheetName val="rozv-BA2"/>
      <sheetName val="rozv-BA3"/>
      <sheetName val="rozv-BA4"/>
      <sheetName val="CPS HK_montáž"/>
      <sheetName val="CPS HK-rozp"/>
      <sheetName val="CPS HK-rozp_z"/>
      <sheetName val="DATA"/>
      <sheetName val="dodav"/>
      <sheetName val="SO 01 - 06 ELEKTROINSTALACE"/>
      <sheetName val="0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Merlin&amp;G</v>
          </cell>
          <cell r="C6">
            <v>0</v>
          </cell>
          <cell r="D6">
            <v>0.05</v>
          </cell>
        </row>
        <row r="7">
          <cell r="B7" t="str">
            <v>mm</v>
          </cell>
          <cell r="C7">
            <v>0</v>
          </cell>
          <cell r="D7">
            <v>0.08</v>
          </cell>
        </row>
        <row r="8">
          <cell r="B8" t="str">
            <v>stáv.</v>
          </cell>
          <cell r="C8">
            <v>0</v>
          </cell>
          <cell r="D8">
            <v>0</v>
          </cell>
        </row>
        <row r="9">
          <cell r="B9" t="str">
            <v>stroj.dod.</v>
          </cell>
          <cell r="C9">
            <v>0</v>
          </cell>
          <cell r="D9">
            <v>0</v>
          </cell>
        </row>
        <row r="10">
          <cell r="B10" t="str">
            <v>E</v>
          </cell>
          <cell r="C10">
            <v>0</v>
          </cell>
          <cell r="D10">
            <v>0</v>
          </cell>
        </row>
        <row r="11">
          <cell r="B11" t="str">
            <v>JC</v>
          </cell>
          <cell r="C11">
            <v>0.3</v>
          </cell>
          <cell r="D11">
            <v>0.1</v>
          </cell>
        </row>
        <row r="12">
          <cell r="B12" t="str">
            <v>ZPA Nová Paka</v>
          </cell>
          <cell r="C12">
            <v>0.15</v>
          </cell>
          <cell r="D12">
            <v>0.15</v>
          </cell>
        </row>
        <row r="13">
          <cell r="B13" t="str">
            <v>BD Sensors</v>
          </cell>
          <cell r="C13">
            <v>0.12</v>
          </cell>
          <cell r="D13">
            <v>0.12</v>
          </cell>
        </row>
        <row r="14">
          <cell r="B14" t="str">
            <v>CLAUHAN
Brno</v>
          </cell>
          <cell r="C14">
            <v>0</v>
          </cell>
          <cell r="D14">
            <v>0.3</v>
          </cell>
        </row>
        <row r="15">
          <cell r="B15" t="str">
            <v>Comel</v>
          </cell>
          <cell r="C15">
            <v>0</v>
          </cell>
          <cell r="D15">
            <v>0.15</v>
          </cell>
        </row>
        <row r="16">
          <cell r="B16" t="str">
            <v>DA Ostrava</v>
          </cell>
          <cell r="C16">
            <v>0</v>
          </cell>
          <cell r="D16">
            <v>0.15</v>
          </cell>
        </row>
        <row r="17">
          <cell r="B17" t="str">
            <v>dodávka 
investora</v>
          </cell>
          <cell r="C17">
            <v>0</v>
          </cell>
          <cell r="D17">
            <v>0</v>
          </cell>
        </row>
        <row r="18">
          <cell r="B18" t="str">
            <v xml:space="preserve">Eko-Ekviterm </v>
          </cell>
          <cell r="C18">
            <v>0.1</v>
          </cell>
          <cell r="D18">
            <v>0.15</v>
          </cell>
        </row>
        <row r="19">
          <cell r="B19" t="str">
            <v>Ekorex+
Nová Paka</v>
          </cell>
          <cell r="C19">
            <v>0.17</v>
          </cell>
          <cell r="D19">
            <v>0.21</v>
          </cell>
        </row>
        <row r="20">
          <cell r="B20" t="str">
            <v>Eleco</v>
          </cell>
          <cell r="C20">
            <v>0</v>
          </cell>
          <cell r="D20">
            <v>0.17</v>
          </cell>
        </row>
        <row r="21">
          <cell r="B21" t="str">
            <v>Elektram</v>
          </cell>
          <cell r="C21">
            <v>0</v>
          </cell>
          <cell r="D21">
            <v>0.15</v>
          </cell>
        </row>
        <row r="22">
          <cell r="B22" t="str">
            <v>Elektram/kab</v>
          </cell>
          <cell r="C22">
            <v>0</v>
          </cell>
          <cell r="D22">
            <v>0.08</v>
          </cell>
        </row>
        <row r="23">
          <cell r="B23" t="str">
            <v>Elektropřístroj
Písek</v>
          </cell>
          <cell r="C23">
            <v>0</v>
          </cell>
          <cell r="D23">
            <v>0.15</v>
          </cell>
        </row>
        <row r="24">
          <cell r="B24" t="str">
            <v>EP Písek</v>
          </cell>
          <cell r="C24">
            <v>0</v>
          </cell>
          <cell r="D24">
            <v>0.15</v>
          </cell>
        </row>
        <row r="25">
          <cell r="B25" t="str">
            <v>ENERGIE MaR</v>
          </cell>
          <cell r="C25">
            <v>0</v>
          </cell>
          <cell r="D25">
            <v>0</v>
          </cell>
        </row>
        <row r="26">
          <cell r="B26" t="str">
            <v>Entrelec</v>
          </cell>
          <cell r="C26">
            <v>0</v>
          </cell>
          <cell r="D26">
            <v>0.15</v>
          </cell>
        </row>
        <row r="27">
          <cell r="B27" t="str">
            <v>EO Pardubice</v>
          </cell>
          <cell r="C27">
            <v>0</v>
          </cell>
          <cell r="D27">
            <v>0.15</v>
          </cell>
        </row>
        <row r="28">
          <cell r="B28" t="str">
            <v>ERAB</v>
          </cell>
          <cell r="C28">
            <v>0</v>
          </cell>
          <cell r="D28">
            <v>0.15</v>
          </cell>
        </row>
        <row r="29">
          <cell r="B29" t="str">
            <v>F&amp;G</v>
          </cell>
          <cell r="C29">
            <v>0</v>
          </cell>
          <cell r="D29">
            <v>0.15</v>
          </cell>
        </row>
        <row r="30">
          <cell r="B30" t="str">
            <v>Groupe-
Schneider</v>
          </cell>
          <cell r="C30">
            <v>0</v>
          </cell>
          <cell r="D30">
            <v>0.15</v>
          </cell>
        </row>
        <row r="31">
          <cell r="B31" t="str">
            <v>HAKEL</v>
          </cell>
          <cell r="C31">
            <v>0</v>
          </cell>
          <cell r="D31">
            <v>0.25</v>
          </cell>
        </row>
        <row r="32">
          <cell r="B32" t="str">
            <v>Johnson 
Controls</v>
          </cell>
          <cell r="C32">
            <v>0</v>
          </cell>
          <cell r="D32">
            <v>0</v>
          </cell>
        </row>
        <row r="33">
          <cell r="B33" t="str">
            <v>Končar</v>
          </cell>
          <cell r="C33">
            <v>0</v>
          </cell>
          <cell r="D33">
            <v>0.15</v>
          </cell>
        </row>
        <row r="34">
          <cell r="B34" t="str">
            <v>LDM 
Č. Třebová</v>
          </cell>
          <cell r="C34">
            <v>0.23</v>
          </cell>
          <cell r="D34">
            <v>0.15</v>
          </cell>
        </row>
        <row r="35">
          <cell r="B35" t="str">
            <v>MARTECH
Hradec Králové</v>
          </cell>
          <cell r="C35">
            <v>0</v>
          </cell>
          <cell r="D35">
            <v>0.15</v>
          </cell>
        </row>
        <row r="36">
          <cell r="B36" t="str">
            <v>OEZ Letohrad</v>
          </cell>
          <cell r="C36">
            <v>0</v>
          </cell>
          <cell r="D36">
            <v>0.15</v>
          </cell>
        </row>
        <row r="37">
          <cell r="B37" t="str">
            <v>ostatní</v>
          </cell>
          <cell r="C37">
            <v>0</v>
          </cell>
          <cell r="D37">
            <v>0</v>
          </cell>
        </row>
        <row r="38">
          <cell r="B38" t="str">
            <v>PEVEKO
Boršice u B.</v>
          </cell>
          <cell r="C38">
            <v>0.1</v>
          </cell>
          <cell r="D38">
            <v>0.15</v>
          </cell>
        </row>
        <row r="39">
          <cell r="B39" t="str">
            <v>PEVEKO</v>
          </cell>
          <cell r="C39">
            <v>0.1</v>
          </cell>
          <cell r="D39">
            <v>0.15</v>
          </cell>
        </row>
        <row r="40">
          <cell r="B40" t="str">
            <v>Remagg
Vyškov</v>
          </cell>
          <cell r="C40">
            <v>0</v>
          </cell>
          <cell r="D40">
            <v>0.15</v>
          </cell>
        </row>
        <row r="41">
          <cell r="B41" t="str">
            <v>SENSIT
Rožnov p. R.</v>
          </cell>
          <cell r="C41">
            <v>0</v>
          </cell>
          <cell r="D41">
            <v>0.15</v>
          </cell>
        </row>
        <row r="42">
          <cell r="B42" t="str">
            <v>Schrack</v>
          </cell>
          <cell r="C42">
            <v>0</v>
          </cell>
          <cell r="D42">
            <v>0.15</v>
          </cell>
        </row>
        <row r="43">
          <cell r="B43" t="str">
            <v>stávající</v>
          </cell>
          <cell r="C43">
            <v>0</v>
          </cell>
          <cell r="D43">
            <v>0</v>
          </cell>
        </row>
        <row r="44">
          <cell r="B44" t="str">
            <v>strojní
dodávka</v>
          </cell>
          <cell r="C44">
            <v>0</v>
          </cell>
          <cell r="D44">
            <v>0</v>
          </cell>
        </row>
        <row r="45">
          <cell r="B45" t="str">
            <v>Teco</v>
          </cell>
          <cell r="C45">
            <v>0.1</v>
          </cell>
          <cell r="D45">
            <v>0.12</v>
          </cell>
        </row>
        <row r="46">
          <cell r="B46" t="str">
            <v>Tecont</v>
          </cell>
          <cell r="C46">
            <v>0.18</v>
          </cell>
          <cell r="D46">
            <v>0.15</v>
          </cell>
        </row>
        <row r="47">
          <cell r="B47" t="str">
            <v>výroba roz.</v>
          </cell>
          <cell r="C47">
            <v>0</v>
          </cell>
          <cell r="D47">
            <v>0</v>
          </cell>
        </row>
        <row r="48">
          <cell r="B48" t="str">
            <v>ZPA Ekoreg
Ústí n/L</v>
          </cell>
          <cell r="C48">
            <v>0.1</v>
          </cell>
          <cell r="D48">
            <v>0.15</v>
          </cell>
        </row>
        <row r="49">
          <cell r="B49" t="str">
            <v>ZPA Ekoreg</v>
          </cell>
          <cell r="C49">
            <v>0.1</v>
          </cell>
          <cell r="D49">
            <v>0.15</v>
          </cell>
        </row>
        <row r="50">
          <cell r="B50" t="str">
            <v>ZPA
Nová Paka</v>
          </cell>
          <cell r="C50">
            <v>0.15</v>
          </cell>
          <cell r="D50">
            <v>0.18</v>
          </cell>
        </row>
        <row r="51">
          <cell r="B51" t="str">
            <v>JSP
Nová Paka</v>
          </cell>
          <cell r="C51">
            <v>0.1</v>
          </cell>
          <cell r="D51">
            <v>0.2</v>
          </cell>
        </row>
        <row r="52">
          <cell r="B52" t="str">
            <v>JSP N.P.</v>
          </cell>
          <cell r="C52">
            <v>0.1</v>
          </cell>
          <cell r="D52">
            <v>0.2</v>
          </cell>
        </row>
        <row r="53">
          <cell r="B53" t="str">
            <v>ZPA Prešov</v>
          </cell>
          <cell r="C53">
            <v>0</v>
          </cell>
          <cell r="D53">
            <v>0.15</v>
          </cell>
        </row>
        <row r="54">
          <cell r="B54" t="str">
            <v>Ekorex Lázně
Bohdaneč</v>
          </cell>
          <cell r="C54">
            <v>0.15</v>
          </cell>
          <cell r="D54">
            <v>0.15</v>
          </cell>
        </row>
        <row r="55">
          <cell r="B55" t="str">
            <v>Raab Karcher</v>
          </cell>
          <cell r="C55">
            <v>0.36</v>
          </cell>
          <cell r="D55">
            <v>0.25</v>
          </cell>
        </row>
        <row r="56">
          <cell r="B56" t="str">
            <v>Axima</v>
          </cell>
          <cell r="C56">
            <v>0</v>
          </cell>
          <cell r="D56">
            <v>0.15</v>
          </cell>
        </row>
        <row r="57">
          <cell r="B57" t="str">
            <v>Merlin&amp;G</v>
          </cell>
          <cell r="C57">
            <v>0</v>
          </cell>
          <cell r="D57">
            <v>0.16</v>
          </cell>
        </row>
        <row r="58">
          <cell r="B58" t="str">
            <v>MaR Plus</v>
          </cell>
          <cell r="C58">
            <v>0</v>
          </cell>
          <cell r="D58">
            <v>0.3</v>
          </cell>
        </row>
        <row r="59">
          <cell r="B59" t="str">
            <v>ZPA Pečky</v>
          </cell>
          <cell r="C59">
            <v>0</v>
          </cell>
          <cell r="D59">
            <v>0.15</v>
          </cell>
        </row>
        <row r="60">
          <cell r="B60" t="str">
            <v>EESA
Lomnice n.P.</v>
          </cell>
          <cell r="C60">
            <v>0</v>
          </cell>
          <cell r="D60">
            <v>0.15</v>
          </cell>
        </row>
        <row r="61">
          <cell r="B61" t="str">
            <v>REMAG trade</v>
          </cell>
          <cell r="C61">
            <v>0</v>
          </cell>
          <cell r="D61">
            <v>0.12</v>
          </cell>
        </row>
        <row r="62">
          <cell r="B62" t="str">
            <v>LOGITRON</v>
          </cell>
          <cell r="C62">
            <v>0</v>
          </cell>
          <cell r="D62">
            <v>0.15</v>
          </cell>
        </row>
        <row r="63">
          <cell r="B63" t="str">
            <v>MIWA Praha</v>
          </cell>
          <cell r="C63">
            <v>0</v>
          </cell>
          <cell r="D63">
            <v>0.15</v>
          </cell>
        </row>
        <row r="64">
          <cell r="B64" t="str">
            <v>EIG Praha</v>
          </cell>
          <cell r="C64">
            <v>0</v>
          </cell>
          <cell r="D64">
            <v>0.15</v>
          </cell>
        </row>
        <row r="65">
          <cell r="B65" t="str">
            <v>Honeywell</v>
          </cell>
          <cell r="C65">
            <v>0.2</v>
          </cell>
          <cell r="D65">
            <v>0.12</v>
          </cell>
        </row>
        <row r="66">
          <cell r="B66" t="str">
            <v>TERMS
Č. Budějovice</v>
          </cell>
          <cell r="C66">
            <v>0</v>
          </cell>
          <cell r="D66">
            <v>0.15</v>
          </cell>
        </row>
        <row r="67">
          <cell r="B67" t="str">
            <v>Transformátory
Blatná</v>
          </cell>
          <cell r="C67">
            <v>0</v>
          </cell>
          <cell r="D67">
            <v>0.15</v>
          </cell>
        </row>
        <row r="68">
          <cell r="B68" t="str">
            <v>Bola</v>
          </cell>
          <cell r="C68">
            <v>0</v>
          </cell>
          <cell r="D68">
            <v>0.15</v>
          </cell>
        </row>
        <row r="69">
          <cell r="B69" t="str">
            <v>dodav</v>
          </cell>
          <cell r="C69">
            <v>0.15</v>
          </cell>
          <cell r="D69">
            <v>0.1</v>
          </cell>
        </row>
        <row r="70">
          <cell r="B70" t="str">
            <v>BOLA pohony</v>
          </cell>
          <cell r="C70">
            <v>0.5</v>
          </cell>
          <cell r="D70">
            <v>0.12</v>
          </cell>
        </row>
        <row r="71">
          <cell r="B71" t="str">
            <v>BELIMO kul.k.</v>
          </cell>
          <cell r="C71">
            <v>0.5</v>
          </cell>
          <cell r="D71">
            <v>0.12</v>
          </cell>
        </row>
        <row r="72">
          <cell r="B72" t="str">
            <v>BOLA-ESBE</v>
          </cell>
          <cell r="C72">
            <v>0.05</v>
          </cell>
          <cell r="D72">
            <v>0.1</v>
          </cell>
        </row>
        <row r="73">
          <cell r="B73" t="str">
            <v>J.T.O. System</v>
          </cell>
          <cell r="C73">
            <v>0.05</v>
          </cell>
          <cell r="D73">
            <v>0.15</v>
          </cell>
        </row>
        <row r="74">
          <cell r="B74" t="str">
            <v>X</v>
          </cell>
          <cell r="C74">
            <v>0</v>
          </cell>
          <cell r="D74">
            <v>0</v>
          </cell>
        </row>
        <row r="75">
          <cell r="B75" t="str">
            <v>XX</v>
          </cell>
          <cell r="C75">
            <v>0</v>
          </cell>
          <cell r="D75">
            <v>0</v>
          </cell>
        </row>
        <row r="76">
          <cell r="B76" t="str">
            <v>CATV Olomouc</v>
          </cell>
          <cell r="C76">
            <v>0</v>
          </cell>
          <cell r="D76">
            <v>0.12</v>
          </cell>
        </row>
        <row r="77">
          <cell r="B77" t="str">
            <v>el-servis
Spálovský</v>
          </cell>
          <cell r="C77">
            <v>0</v>
          </cell>
          <cell r="D77">
            <v>0.15</v>
          </cell>
        </row>
        <row r="78">
          <cell r="B78" t="str">
            <v>Danfoss</v>
          </cell>
          <cell r="C78">
            <v>0</v>
          </cell>
          <cell r="D78">
            <v>0.15</v>
          </cell>
        </row>
        <row r="79">
          <cell r="B79" t="str">
            <v>Remak
Trade a.s.</v>
          </cell>
          <cell r="C79">
            <v>0</v>
          </cell>
          <cell r="D79">
            <v>0.15</v>
          </cell>
        </row>
        <row r="80">
          <cell r="B80" t="str">
            <v>Landis &amp; Staefa</v>
          </cell>
          <cell r="C80">
            <v>0.3</v>
          </cell>
          <cell r="D80">
            <v>0.15</v>
          </cell>
        </row>
        <row r="81">
          <cell r="B81" t="str">
            <v>AutoCont</v>
          </cell>
          <cell r="C81">
            <v>0.08</v>
          </cell>
          <cell r="D81">
            <v>0.1</v>
          </cell>
        </row>
        <row r="82">
          <cell r="B82" t="str">
            <v>M+D</v>
          </cell>
          <cell r="C82">
            <v>0</v>
          </cell>
          <cell r="D82">
            <v>0.15</v>
          </cell>
        </row>
        <row r="83">
          <cell r="B83" t="str">
            <v>FINDER</v>
          </cell>
          <cell r="C83">
            <v>0</v>
          </cell>
          <cell r="D83">
            <v>0.15</v>
          </cell>
        </row>
        <row r="84">
          <cell r="B84" t="str">
            <v>RAMI cz s.r.o.</v>
          </cell>
          <cell r="C84">
            <v>0</v>
          </cell>
          <cell r="D84">
            <v>0.15</v>
          </cell>
        </row>
        <row r="85">
          <cell r="B85" t="str">
            <v>XXX</v>
          </cell>
          <cell r="C85">
            <v>0</v>
          </cell>
          <cell r="D85">
            <v>0.15</v>
          </cell>
        </row>
        <row r="86">
          <cell r="B86" t="str">
            <v>MAVE &amp; spol.</v>
          </cell>
          <cell r="C86">
            <v>0</v>
          </cell>
          <cell r="D86">
            <v>0.15</v>
          </cell>
        </row>
        <row r="87">
          <cell r="B87" t="str">
            <v>rozv</v>
          </cell>
          <cell r="C87">
            <v>0</v>
          </cell>
          <cell r="D87">
            <v>0</v>
          </cell>
        </row>
        <row r="88">
          <cell r="B88" t="str">
            <v>ZPA CZ Trutnov</v>
          </cell>
          <cell r="C88">
            <v>0</v>
          </cell>
          <cell r="D88">
            <v>0.08</v>
          </cell>
        </row>
        <row r="89">
          <cell r="B89" t="str">
            <v>SALTEK</v>
          </cell>
          <cell r="C89">
            <v>0</v>
          </cell>
          <cell r="D89">
            <v>0.15</v>
          </cell>
        </row>
        <row r="90">
          <cell r="B90" t="str">
            <v>BELIMO CZ</v>
          </cell>
          <cell r="C90">
            <v>0</v>
          </cell>
          <cell r="D90">
            <v>0.15</v>
          </cell>
        </row>
        <row r="91">
          <cell r="B91" t="str">
            <v>M&amp;D ELEKTRO</v>
          </cell>
          <cell r="C91">
            <v>0</v>
          </cell>
          <cell r="D91">
            <v>0.15</v>
          </cell>
        </row>
        <row r="92">
          <cell r="B92" t="str">
            <v>REGMET</v>
          </cell>
          <cell r="C92">
            <v>0.15</v>
          </cell>
          <cell r="D92">
            <v>0.15</v>
          </cell>
        </row>
        <row r="93">
          <cell r="B93" t="str">
            <v>ENBRA</v>
          </cell>
          <cell r="C93">
            <v>0</v>
          </cell>
          <cell r="D93">
            <v>0.15</v>
          </cell>
        </row>
        <row r="94">
          <cell r="B94" t="str">
            <v>AVOS
automation</v>
          </cell>
          <cell r="C94">
            <v>0</v>
          </cell>
          <cell r="D94">
            <v>0.15</v>
          </cell>
        </row>
        <row r="95">
          <cell r="B95" t="str">
            <v>Luka systém</v>
          </cell>
          <cell r="C95">
            <v>0</v>
          </cell>
          <cell r="D95">
            <v>0.15</v>
          </cell>
        </row>
        <row r="96">
          <cell r="B96" t="str">
            <v>PRO-REG</v>
          </cell>
          <cell r="C96">
            <v>0</v>
          </cell>
          <cell r="D96">
            <v>0.15</v>
          </cell>
        </row>
        <row r="97">
          <cell r="B97" t="str">
            <v>Eberle</v>
          </cell>
          <cell r="C97">
            <v>0</v>
          </cell>
          <cell r="D97">
            <v>0.15</v>
          </cell>
        </row>
        <row r="98">
          <cell r="B98" t="str">
            <v>Landis &amp; Staefa_S</v>
          </cell>
          <cell r="C98">
            <v>0.25</v>
          </cell>
          <cell r="D98">
            <v>0.09</v>
          </cell>
        </row>
        <row r="99">
          <cell r="B99" t="str">
            <v>BOLA-AM TECHNIC LINE</v>
          </cell>
          <cell r="C99">
            <v>0.1</v>
          </cell>
          <cell r="D99">
            <v>0.12</v>
          </cell>
        </row>
        <row r="100">
          <cell r="B100" t="str">
            <v>BOLA-HUBA</v>
          </cell>
          <cell r="C100">
            <v>0.1</v>
          </cell>
          <cell r="D100">
            <v>0.12</v>
          </cell>
        </row>
        <row r="101">
          <cell r="B101" t="str">
            <v>BOLA-ALCO</v>
          </cell>
          <cell r="C101">
            <v>0.11</v>
          </cell>
          <cell r="D101">
            <v>0.12</v>
          </cell>
        </row>
        <row r="102">
          <cell r="B102" t="str">
            <v>KROHNE</v>
          </cell>
          <cell r="C102">
            <v>0</v>
          </cell>
          <cell r="D102">
            <v>0.08</v>
          </cell>
        </row>
        <row r="103">
          <cell r="B103" t="str">
            <v>SENTRON CZ</v>
          </cell>
          <cell r="C103">
            <v>0</v>
          </cell>
          <cell r="D103">
            <v>0.15</v>
          </cell>
        </row>
        <row r="104">
          <cell r="B104" t="str">
            <v>DMS</v>
          </cell>
          <cell r="C104">
            <v>0</v>
          </cell>
          <cell r="D104">
            <v>0.05</v>
          </cell>
        </row>
        <row r="105">
          <cell r="B105" t="str">
            <v>Sauter</v>
          </cell>
          <cell r="C105">
            <v>0.3</v>
          </cell>
          <cell r="D105">
            <v>0.15</v>
          </cell>
        </row>
        <row r="106">
          <cell r="B106" t="str">
            <v>Sauter ŘS</v>
          </cell>
          <cell r="C106">
            <v>0.3</v>
          </cell>
          <cell r="D106">
            <v>7.0000000000000007E-2</v>
          </cell>
        </row>
        <row r="107">
          <cell r="B107" t="str">
            <v>rozv</v>
          </cell>
          <cell r="C107">
            <v>0</v>
          </cell>
          <cell r="D107">
            <v>0</v>
          </cell>
        </row>
        <row r="108">
          <cell r="B108" t="str">
            <v>AMiT</v>
          </cell>
          <cell r="C108">
            <v>0.12</v>
          </cell>
          <cell r="D108">
            <v>0.05</v>
          </cell>
        </row>
        <row r="109">
          <cell r="B109" t="str">
            <v>ABB</v>
          </cell>
          <cell r="C109">
            <v>0</v>
          </cell>
          <cell r="D109">
            <v>0.15</v>
          </cell>
        </row>
        <row r="110">
          <cell r="B110" t="str">
            <v>AUGUSTA ELEKTRA</v>
          </cell>
          <cell r="C110">
            <v>0.05</v>
          </cell>
          <cell r="D110">
            <v>0.12</v>
          </cell>
        </row>
        <row r="111">
          <cell r="B111" t="str">
            <v>Elsaco Kolín</v>
          </cell>
          <cell r="C111">
            <v>0</v>
          </cell>
          <cell r="D111">
            <v>0.08</v>
          </cell>
        </row>
        <row r="112">
          <cell r="B112" t="str">
            <v>SAIA</v>
          </cell>
          <cell r="C112">
            <v>0</v>
          </cell>
          <cell r="D112">
            <v>0.05</v>
          </cell>
        </row>
        <row r="113">
          <cell r="B113" t="str">
            <v>SW</v>
          </cell>
          <cell r="C113">
            <v>0</v>
          </cell>
          <cell r="D113">
            <v>0</v>
          </cell>
        </row>
        <row r="114">
          <cell r="B114" t="str">
            <v>PC</v>
          </cell>
          <cell r="C114">
            <v>0</v>
          </cell>
          <cell r="D114">
            <v>0.05</v>
          </cell>
        </row>
        <row r="115">
          <cell r="B115" t="str">
            <v>Remax CZ</v>
          </cell>
          <cell r="C115">
            <v>0</v>
          </cell>
          <cell r="D115">
            <v>0.08</v>
          </cell>
        </row>
      </sheetData>
      <sheetData sheetId="9" refreshError="1"/>
      <sheetData sheetId="10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Položky"/>
    </sheetNames>
    <sheetDataSet>
      <sheetData sheetId="0"/>
      <sheetData sheetId="1" refreshError="1">
        <row r="9">
          <cell r="E9">
            <v>974417.6</v>
          </cell>
          <cell r="F9">
            <v>0</v>
          </cell>
          <cell r="G9">
            <v>0</v>
          </cell>
          <cell r="H9">
            <v>286589.36</v>
          </cell>
          <cell r="I9">
            <v>0</v>
          </cell>
        </row>
        <row r="15">
          <cell r="H15">
            <v>0</v>
          </cell>
        </row>
      </sheetData>
      <sheetData sheetId="2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vba"/>
      <sheetName val="VzorPolozky"/>
      <sheetName val="SO 01 - I. ETAPA"/>
      <sheetName val="SO 01 - II. ETAPA"/>
      <sheetName val="SO 02"/>
      <sheetName val="rozpočet"/>
      <sheetName val="so 11.1a výkaz výměr"/>
      <sheetName val="OBALKA"/>
    </sheetNames>
    <sheetDataSet>
      <sheetData sheetId="0">
        <row r="23">
          <cell r="G23">
            <v>0</v>
          </cell>
        </row>
        <row r="24">
          <cell r="G24">
            <v>0</v>
          </cell>
        </row>
        <row r="25">
          <cell r="G25">
            <v>7682896.2100000018</v>
          </cell>
        </row>
        <row r="26">
          <cell r="G26">
            <v>1613408.2041000002</v>
          </cell>
        </row>
        <row r="27">
          <cell r="G27">
            <v>0</v>
          </cell>
        </row>
        <row r="29">
          <cell r="J29" t="str">
            <v>CZK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pp_6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rametry"/>
      <sheetName val="NORMIK"/>
      <sheetName val="Řídící systém"/>
      <sheetName val="Software ŘS"/>
      <sheetName val="Centrála"/>
      <sheetName val="MaR"/>
      <sheetName val="Rozvodnice"/>
      <sheetName val="Ostatní"/>
      <sheetName val="Dopis"/>
      <sheetName val="Nabídka"/>
      <sheetName val="RabatList"/>
      <sheetName val="so 11.1a výkaz výměr"/>
      <sheetName val="OBALKA"/>
      <sheetName val="Krycí list"/>
    </sheetNames>
    <sheetDataSet>
      <sheetData sheetId="0">
        <row r="25">
          <cell r="D25">
            <v>160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FM"/>
      <sheetName val="KAB"/>
      <sheetName val="ROZV"/>
      <sheetName val="rozpočetstep"/>
      <sheetName val="List1"/>
      <sheetName val="rekstep"/>
      <sheetName val="KAB2"/>
      <sheetName val="ROZV2"/>
      <sheetName val="rozpočetstep2"/>
      <sheetName val="List2"/>
      <sheetName val="rekstep2"/>
      <sheetName val="KAB2skutmezistav"/>
      <sheetName val="KABskut"/>
      <sheetName val="motážrozv"/>
      <sheetName val="ROZVskutmezistav"/>
      <sheetName val="rozpočetskut"/>
      <sheetName val="rekskut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KABčist"/>
      <sheetName val="rozpočetčist"/>
      <sheetName val="rekčist"/>
      <sheetName val="spec_dopl_čist2"/>
      <sheetName val="kab_dopl_čist2"/>
      <sheetName val="KABčist2"/>
      <sheetName val="rozpočetčist2"/>
      <sheetName val="rekčist2"/>
      <sheetName val="Rekapitulace"/>
      <sheetName val="ÚT"/>
      <sheetName val="Plyn"/>
      <sheetName val="VZT"/>
      <sheetName val="SILNO"/>
      <sheetName val="SILNO -VAR."/>
      <sheetName val="MaR"/>
      <sheetName val="EPS"/>
      <sheetName val="Krycí list"/>
      <sheetName val="DATA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atyp</v>
          </cell>
          <cell r="C6">
            <v>0</v>
          </cell>
          <cell r="D6">
            <v>0.08</v>
          </cell>
        </row>
        <row r="7">
          <cell r="B7" t="str">
            <v>ZPA Nová Paka</v>
          </cell>
          <cell r="C7">
            <v>0.15</v>
          </cell>
          <cell r="D7">
            <v>0.15</v>
          </cell>
          <cell r="E7">
            <v>4.2</v>
          </cell>
        </row>
        <row r="8">
          <cell r="B8" t="str">
            <v>BD Sensors</v>
          </cell>
          <cell r="C8">
            <v>0</v>
          </cell>
          <cell r="D8">
            <v>0.15</v>
          </cell>
        </row>
        <row r="9">
          <cell r="B9" t="str">
            <v>CLAUHAN
Brno</v>
          </cell>
          <cell r="C9">
            <v>0</v>
          </cell>
          <cell r="D9">
            <v>0.3</v>
          </cell>
        </row>
        <row r="10">
          <cell r="B10" t="str">
            <v>Comel</v>
          </cell>
          <cell r="C10">
            <v>0</v>
          </cell>
          <cell r="D10">
            <v>0.15</v>
          </cell>
        </row>
        <row r="11">
          <cell r="B11" t="str">
            <v>DA Ostrava</v>
          </cell>
          <cell r="C11">
            <v>0</v>
          </cell>
          <cell r="D11">
            <v>0.15</v>
          </cell>
        </row>
        <row r="12">
          <cell r="B12" t="str">
            <v>dodávka 
investora</v>
          </cell>
          <cell r="C12">
            <v>0</v>
          </cell>
          <cell r="D12">
            <v>0</v>
          </cell>
        </row>
        <row r="13">
          <cell r="B13" t="str">
            <v xml:space="preserve">Eko-Ekviterm </v>
          </cell>
          <cell r="C13">
            <v>0.1</v>
          </cell>
          <cell r="D13">
            <v>0.15</v>
          </cell>
        </row>
        <row r="14">
          <cell r="B14" t="str">
            <v>Ekorex+
Nová Paka</v>
          </cell>
          <cell r="C14">
            <v>0.17</v>
          </cell>
          <cell r="D14">
            <v>0.21</v>
          </cell>
        </row>
        <row r="15">
          <cell r="B15" t="str">
            <v>Eleco</v>
          </cell>
          <cell r="C15">
            <v>0</v>
          </cell>
          <cell r="D15">
            <v>0.17</v>
          </cell>
        </row>
        <row r="16">
          <cell r="B16" t="str">
            <v>Elektram</v>
          </cell>
          <cell r="C16">
            <v>0</v>
          </cell>
          <cell r="D16">
            <v>0.15</v>
          </cell>
        </row>
        <row r="17">
          <cell r="B17" t="str">
            <v>Elektram/kab</v>
          </cell>
          <cell r="C17">
            <v>0</v>
          </cell>
          <cell r="D17">
            <v>0.12</v>
          </cell>
        </row>
        <row r="18">
          <cell r="B18" t="str">
            <v>Elektropřístroj
Písek</v>
          </cell>
          <cell r="C18">
            <v>0</v>
          </cell>
          <cell r="D18">
            <v>0.15</v>
          </cell>
        </row>
        <row r="19">
          <cell r="B19" t="str">
            <v>EP Písek</v>
          </cell>
          <cell r="C19">
            <v>0</v>
          </cell>
          <cell r="D19">
            <v>0.15</v>
          </cell>
        </row>
        <row r="20">
          <cell r="B20" t="str">
            <v>ENERGIE MaR</v>
          </cell>
          <cell r="C20">
            <v>0</v>
          </cell>
          <cell r="D20">
            <v>0</v>
          </cell>
        </row>
        <row r="21">
          <cell r="B21" t="str">
            <v>Entrelec</v>
          </cell>
          <cell r="C21">
            <v>0</v>
          </cell>
          <cell r="D21">
            <v>0.12</v>
          </cell>
        </row>
        <row r="22">
          <cell r="B22" t="str">
            <v>EO Pardubice</v>
          </cell>
          <cell r="C22">
            <v>0</v>
          </cell>
          <cell r="D22">
            <v>0.15</v>
          </cell>
        </row>
        <row r="23">
          <cell r="B23" t="str">
            <v>ERAB</v>
          </cell>
          <cell r="C23">
            <v>0</v>
          </cell>
          <cell r="D23">
            <v>0.15</v>
          </cell>
        </row>
        <row r="24">
          <cell r="B24" t="str">
            <v>F&amp;G</v>
          </cell>
          <cell r="C24">
            <v>0</v>
          </cell>
          <cell r="D24">
            <v>0.15</v>
          </cell>
        </row>
        <row r="25">
          <cell r="B25" t="str">
            <v>Groupe-
Schneider</v>
          </cell>
          <cell r="C25">
            <v>0</v>
          </cell>
          <cell r="D25">
            <v>0.15</v>
          </cell>
        </row>
        <row r="26">
          <cell r="B26" t="str">
            <v>Groupe-
Schneider-Tel.</v>
          </cell>
          <cell r="C26">
            <v>0.1</v>
          </cell>
          <cell r="D26">
            <v>0.1</v>
          </cell>
        </row>
        <row r="27">
          <cell r="B27" t="str">
            <v>HAKEL</v>
          </cell>
          <cell r="C27">
            <v>0</v>
          </cell>
          <cell r="D27">
            <v>0.25</v>
          </cell>
        </row>
        <row r="28">
          <cell r="B28" t="str">
            <v>Johnson 
Controls</v>
          </cell>
          <cell r="C28">
            <v>0</v>
          </cell>
          <cell r="D28">
            <v>0</v>
          </cell>
        </row>
        <row r="29">
          <cell r="B29" t="str">
            <v>Končar</v>
          </cell>
          <cell r="C29">
            <v>0</v>
          </cell>
          <cell r="D29">
            <v>0.15</v>
          </cell>
        </row>
        <row r="30">
          <cell r="B30" t="str">
            <v>LDM 
Č. Třebová</v>
          </cell>
          <cell r="C30">
            <v>0.23</v>
          </cell>
          <cell r="D30">
            <v>0.15</v>
          </cell>
        </row>
        <row r="31">
          <cell r="B31" t="str">
            <v>MARTECH
Hradec Králové</v>
          </cell>
          <cell r="C31">
            <v>0</v>
          </cell>
          <cell r="D31">
            <v>0.15</v>
          </cell>
        </row>
        <row r="32">
          <cell r="B32" t="str">
            <v>OEZ Letohrad</v>
          </cell>
          <cell r="C32">
            <v>0</v>
          </cell>
          <cell r="D32">
            <v>0.15</v>
          </cell>
        </row>
        <row r="33">
          <cell r="B33" t="str">
            <v>ostatní</v>
          </cell>
          <cell r="C33">
            <v>0</v>
          </cell>
          <cell r="D33">
            <v>0.05</v>
          </cell>
        </row>
        <row r="34">
          <cell r="B34" t="str">
            <v>PEVEKO
Boršice u B.</v>
          </cell>
          <cell r="C34">
            <v>0.1</v>
          </cell>
          <cell r="D34">
            <v>0.15</v>
          </cell>
        </row>
        <row r="35">
          <cell r="B35" t="str">
            <v>Remagg
Vyškov</v>
          </cell>
          <cell r="C35">
            <v>0</v>
          </cell>
          <cell r="D35">
            <v>0.15</v>
          </cell>
        </row>
        <row r="36">
          <cell r="B36" t="str">
            <v>SENSIT
Rožnov p. R.</v>
          </cell>
          <cell r="C36">
            <v>0</v>
          </cell>
          <cell r="D36">
            <v>0.15</v>
          </cell>
        </row>
        <row r="37">
          <cell r="B37" t="str">
            <v>Schrack</v>
          </cell>
          <cell r="C37">
            <v>0</v>
          </cell>
          <cell r="D37">
            <v>0.15</v>
          </cell>
        </row>
        <row r="38">
          <cell r="B38" t="str">
            <v>stávající</v>
          </cell>
          <cell r="C38">
            <v>0</v>
          </cell>
          <cell r="D38">
            <v>0</v>
          </cell>
        </row>
        <row r="39">
          <cell r="B39" t="str">
            <v>strojní
dodávka</v>
          </cell>
          <cell r="C39">
            <v>0</v>
          </cell>
          <cell r="D39">
            <v>0</v>
          </cell>
        </row>
        <row r="40">
          <cell r="B40" t="str">
            <v>Teco</v>
          </cell>
          <cell r="C40">
            <v>0.1</v>
          </cell>
          <cell r="D40">
            <v>0.15</v>
          </cell>
        </row>
        <row r="41">
          <cell r="B41" t="str">
            <v>Tecont</v>
          </cell>
          <cell r="C41">
            <v>0.2</v>
          </cell>
          <cell r="D41">
            <v>0.2</v>
          </cell>
        </row>
        <row r="42">
          <cell r="B42" t="str">
            <v>výroba roz.</v>
          </cell>
          <cell r="C42">
            <v>0</v>
          </cell>
          <cell r="D42">
            <v>0</v>
          </cell>
        </row>
        <row r="43">
          <cell r="B43" t="str">
            <v>ZPA Ekoreg
Ústí n/L</v>
          </cell>
          <cell r="C43">
            <v>0.1</v>
          </cell>
          <cell r="D43">
            <v>0.15</v>
          </cell>
        </row>
        <row r="44">
          <cell r="B44" t="str">
            <v>ZPA
Nová Paka</v>
          </cell>
          <cell r="C44">
            <v>0.15</v>
          </cell>
          <cell r="D44">
            <v>0.18</v>
          </cell>
        </row>
        <row r="45">
          <cell r="B45" t="str">
            <v>JSP
Nová Paka</v>
          </cell>
          <cell r="C45">
            <v>0.1</v>
          </cell>
          <cell r="D45">
            <v>0.2</v>
          </cell>
        </row>
        <row r="46">
          <cell r="B46" t="str">
            <v>ZPA Prešov</v>
          </cell>
          <cell r="C46">
            <v>0</v>
          </cell>
          <cell r="D46">
            <v>0.15</v>
          </cell>
        </row>
        <row r="47">
          <cell r="B47" t="str">
            <v>Ekorex Lázně
Bohdaneč</v>
          </cell>
          <cell r="C47">
            <v>0.15</v>
          </cell>
          <cell r="D47">
            <v>0.15</v>
          </cell>
        </row>
        <row r="48">
          <cell r="B48" t="str">
            <v>Raab Karcher</v>
          </cell>
          <cell r="C48">
            <v>0.36</v>
          </cell>
          <cell r="D48">
            <v>0.25</v>
          </cell>
        </row>
        <row r="49">
          <cell r="B49" t="str">
            <v>Axima</v>
          </cell>
          <cell r="C49">
            <v>0</v>
          </cell>
          <cell r="D49">
            <v>0.15</v>
          </cell>
        </row>
        <row r="50">
          <cell r="B50" t="str">
            <v>Merlin&amp;G</v>
          </cell>
          <cell r="C50">
            <v>0</v>
          </cell>
          <cell r="D50">
            <v>0.16</v>
          </cell>
        </row>
        <row r="51">
          <cell r="B51" t="str">
            <v>MaR Plus</v>
          </cell>
          <cell r="C51">
            <v>0</v>
          </cell>
          <cell r="D51">
            <v>0.3</v>
          </cell>
        </row>
        <row r="52">
          <cell r="B52" t="str">
            <v>ZPA Pečky</v>
          </cell>
          <cell r="C52">
            <v>0</v>
          </cell>
          <cell r="D52">
            <v>0.15</v>
          </cell>
        </row>
        <row r="53">
          <cell r="B53" t="str">
            <v>EESA
Lomnice n.P.</v>
          </cell>
          <cell r="C53">
            <v>0</v>
          </cell>
          <cell r="D53">
            <v>0.15</v>
          </cell>
        </row>
        <row r="54">
          <cell r="B54" t="str">
            <v>REMAG trade</v>
          </cell>
          <cell r="C54">
            <v>0</v>
          </cell>
          <cell r="D54">
            <v>0.15</v>
          </cell>
        </row>
        <row r="55">
          <cell r="B55" t="str">
            <v>LOGITRON</v>
          </cell>
          <cell r="C55">
            <v>0</v>
          </cell>
          <cell r="D55">
            <v>0.15</v>
          </cell>
        </row>
        <row r="56">
          <cell r="B56" t="str">
            <v>MIWA Praha</v>
          </cell>
          <cell r="C56">
            <v>0</v>
          </cell>
          <cell r="D56">
            <v>0.15</v>
          </cell>
        </row>
        <row r="57">
          <cell r="B57" t="str">
            <v>EIG Praha</v>
          </cell>
          <cell r="C57">
            <v>0</v>
          </cell>
          <cell r="D57">
            <v>0.15</v>
          </cell>
        </row>
        <row r="58">
          <cell r="B58" t="str">
            <v>Honeywell</v>
          </cell>
          <cell r="C58">
            <v>0.4</v>
          </cell>
          <cell r="D58">
            <v>0.08</v>
          </cell>
        </row>
        <row r="59">
          <cell r="B59" t="str">
            <v>TERMS
Č. Budějovice</v>
          </cell>
          <cell r="C59">
            <v>0</v>
          </cell>
          <cell r="D59">
            <v>0.18</v>
          </cell>
        </row>
        <row r="60">
          <cell r="B60" t="str">
            <v>Transformátory
Blatná</v>
          </cell>
          <cell r="C60">
            <v>0</v>
          </cell>
          <cell r="D60">
            <v>0.15</v>
          </cell>
        </row>
        <row r="61">
          <cell r="B61" t="str">
            <v>Bola</v>
          </cell>
          <cell r="C61">
            <v>0</v>
          </cell>
          <cell r="D61">
            <v>0.15</v>
          </cell>
        </row>
        <row r="62">
          <cell r="B62" t="str">
            <v>J.T.O. System</v>
          </cell>
          <cell r="C62">
            <v>0</v>
          </cell>
          <cell r="D62">
            <v>0.15</v>
          </cell>
        </row>
        <row r="63">
          <cell r="B63" t="str">
            <v>X</v>
          </cell>
          <cell r="C63">
            <v>0</v>
          </cell>
          <cell r="D63">
            <v>0</v>
          </cell>
        </row>
        <row r="64">
          <cell r="B64" t="str">
            <v>XX</v>
          </cell>
          <cell r="C64">
            <v>0</v>
          </cell>
          <cell r="D64">
            <v>0</v>
          </cell>
        </row>
        <row r="65">
          <cell r="B65" t="str">
            <v>CATV Olomouc</v>
          </cell>
          <cell r="C65">
            <v>0</v>
          </cell>
          <cell r="D65">
            <v>0.12</v>
          </cell>
        </row>
        <row r="66">
          <cell r="B66" t="str">
            <v>el-servis
Spálovský</v>
          </cell>
          <cell r="C66">
            <v>0</v>
          </cell>
          <cell r="D66">
            <v>0.15</v>
          </cell>
        </row>
        <row r="67">
          <cell r="B67" t="str">
            <v>Danfoss</v>
          </cell>
          <cell r="C67">
            <v>0</v>
          </cell>
          <cell r="D67">
            <v>0.15</v>
          </cell>
        </row>
        <row r="68">
          <cell r="B68" t="str">
            <v>Remak
Trade a.s.</v>
          </cell>
          <cell r="C68">
            <v>0</v>
          </cell>
          <cell r="D68">
            <v>0.15</v>
          </cell>
        </row>
        <row r="69">
          <cell r="B69" t="str">
            <v>Landis &amp; Staefa</v>
          </cell>
          <cell r="C69">
            <v>0.3</v>
          </cell>
          <cell r="D69">
            <v>0.15</v>
          </cell>
        </row>
        <row r="70">
          <cell r="B70" t="str">
            <v>AutoCont</v>
          </cell>
          <cell r="C70">
            <v>0</v>
          </cell>
          <cell r="D70">
            <v>0.08</v>
          </cell>
        </row>
        <row r="71">
          <cell r="B71" t="str">
            <v>M+D</v>
          </cell>
          <cell r="C71">
            <v>0</v>
          </cell>
          <cell r="D71">
            <v>0.15</v>
          </cell>
        </row>
        <row r="72">
          <cell r="B72" t="str">
            <v>FINDER</v>
          </cell>
          <cell r="C72">
            <v>0</v>
          </cell>
          <cell r="D72">
            <v>0.15</v>
          </cell>
        </row>
        <row r="73">
          <cell r="B73" t="str">
            <v>RAMI cz s.r.o.</v>
          </cell>
          <cell r="C73">
            <v>0</v>
          </cell>
          <cell r="D73">
            <v>0.15</v>
          </cell>
        </row>
        <row r="74">
          <cell r="B74" t="str">
            <v>XXX</v>
          </cell>
          <cell r="C74">
            <v>0</v>
          </cell>
          <cell r="D74">
            <v>0.15</v>
          </cell>
        </row>
        <row r="75">
          <cell r="B75" t="str">
            <v>MAVE &amp; spol.</v>
          </cell>
          <cell r="C75">
            <v>0</v>
          </cell>
          <cell r="D75">
            <v>0.15</v>
          </cell>
        </row>
        <row r="76">
          <cell r="B76" t="str">
            <v>rozv</v>
          </cell>
          <cell r="C76">
            <v>0</v>
          </cell>
          <cell r="D76">
            <v>0</v>
          </cell>
        </row>
        <row r="77">
          <cell r="B77" t="str">
            <v>ZPA CZ Trutnov</v>
          </cell>
          <cell r="C77">
            <v>0</v>
          </cell>
          <cell r="D77">
            <v>0.12</v>
          </cell>
        </row>
        <row r="78">
          <cell r="B78" t="str">
            <v>SALTEK</v>
          </cell>
          <cell r="C78">
            <v>0</v>
          </cell>
          <cell r="D78">
            <v>0.15</v>
          </cell>
        </row>
        <row r="79">
          <cell r="B79" t="str">
            <v>BELIMO CZ</v>
          </cell>
          <cell r="C79">
            <v>0</v>
          </cell>
          <cell r="D79">
            <v>0.15</v>
          </cell>
        </row>
        <row r="80">
          <cell r="B80" t="str">
            <v>M&amp;D ELEKTRO</v>
          </cell>
          <cell r="C80">
            <v>0</v>
          </cell>
          <cell r="D80">
            <v>0.15</v>
          </cell>
        </row>
        <row r="81">
          <cell r="B81" t="str">
            <v>REGMET</v>
          </cell>
          <cell r="C81">
            <v>0</v>
          </cell>
          <cell r="D81">
            <v>0.15</v>
          </cell>
        </row>
        <row r="82">
          <cell r="B82" t="str">
            <v>ENBRA</v>
          </cell>
          <cell r="C82">
            <v>0</v>
          </cell>
          <cell r="D82">
            <v>0.15</v>
          </cell>
        </row>
        <row r="83">
          <cell r="B83" t="str">
            <v>AVOS
automation</v>
          </cell>
          <cell r="C83">
            <v>0</v>
          </cell>
          <cell r="D83">
            <v>0.15</v>
          </cell>
        </row>
        <row r="84">
          <cell r="B84" t="str">
            <v>Jablotron</v>
          </cell>
          <cell r="C84">
            <v>0</v>
          </cell>
          <cell r="D84">
            <v>0.15</v>
          </cell>
        </row>
        <row r="85">
          <cell r="B85" t="str">
            <v>Luka systém</v>
          </cell>
          <cell r="C85">
            <v>0</v>
          </cell>
          <cell r="D85">
            <v>0.15</v>
          </cell>
        </row>
        <row r="86">
          <cell r="B86" t="str">
            <v>PRO-REG</v>
          </cell>
          <cell r="C86">
            <v>0</v>
          </cell>
          <cell r="D86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dav"/>
      <sheetName val="KABELN "/>
      <sheetName val="KOTN"/>
      <sheetName val="RKOTN "/>
      <sheetName val="ROZVN"/>
      <sheetName val="KOT STEPN"/>
      <sheetName val="RKOT STEPN"/>
      <sheetName val="KOT STEPN(2)"/>
      <sheetName val="RKOT STEPN(2)"/>
      <sheetName val="103"/>
      <sheetName val="DATA"/>
      <sheetName val="obj. (2)"/>
      <sheetName val="obj. (3)"/>
    </sheetNames>
    <sheetDataSet>
      <sheetData sheetId="0" refreshError="1">
        <row r="1">
          <cell r="B1" t="str">
            <v xml:space="preserve"> Vězeňská služba ČR, Věznice  Horní Slavkov</v>
          </cell>
        </row>
        <row r="2">
          <cell r="B2" t="str">
            <v>Systém reg. a řízení před. stanic s napoj. na dispečink</v>
          </cell>
        </row>
        <row r="4">
          <cell r="B4" t="str">
            <v>DODAVATEL</v>
          </cell>
          <cell r="C4" t="str">
            <v>RABAT</v>
          </cell>
          <cell r="D4" t="str">
            <v>MARŽE</v>
          </cell>
        </row>
        <row r="6">
          <cell r="B6" t="str">
            <v>ZPA Nová Paka</v>
          </cell>
          <cell r="C6">
            <v>0.15</v>
          </cell>
          <cell r="D6">
            <v>0.15</v>
          </cell>
          <cell r="E6">
            <v>4.5</v>
          </cell>
        </row>
        <row r="7">
          <cell r="B7" t="str">
            <v>BD Sensors</v>
          </cell>
          <cell r="C7">
            <v>0.1</v>
          </cell>
          <cell r="D7">
            <v>0.12</v>
          </cell>
        </row>
        <row r="8">
          <cell r="B8" t="str">
            <v>CLAUHAN
Brno</v>
          </cell>
          <cell r="C8">
            <v>0</v>
          </cell>
          <cell r="D8">
            <v>0.3</v>
          </cell>
        </row>
        <row r="9">
          <cell r="B9" t="str">
            <v>Comel</v>
          </cell>
          <cell r="C9">
            <v>0</v>
          </cell>
          <cell r="D9">
            <v>0.15</v>
          </cell>
        </row>
        <row r="10">
          <cell r="B10" t="str">
            <v>DA Ostrava</v>
          </cell>
          <cell r="C10">
            <v>0</v>
          </cell>
          <cell r="D10">
            <v>0.15</v>
          </cell>
        </row>
        <row r="11">
          <cell r="B11" t="str">
            <v>dodávka 
investora</v>
          </cell>
          <cell r="C11">
            <v>0</v>
          </cell>
          <cell r="D11">
            <v>0</v>
          </cell>
        </row>
        <row r="12">
          <cell r="B12" t="str">
            <v xml:space="preserve">Eko-Ekviterm </v>
          </cell>
          <cell r="C12">
            <v>0.1</v>
          </cell>
          <cell r="D12">
            <v>0.15</v>
          </cell>
        </row>
        <row r="13">
          <cell r="B13" t="str">
            <v>Ekorex+
Nová Paka</v>
          </cell>
          <cell r="C13">
            <v>0.17</v>
          </cell>
          <cell r="D13">
            <v>0.21</v>
          </cell>
        </row>
        <row r="14">
          <cell r="B14" t="str">
            <v>Eleco</v>
          </cell>
          <cell r="C14">
            <v>0</v>
          </cell>
          <cell r="D14">
            <v>0.2</v>
          </cell>
        </row>
        <row r="15">
          <cell r="B15" t="str">
            <v>Elektram</v>
          </cell>
          <cell r="C15">
            <v>7.0000000000000007E-2</v>
          </cell>
          <cell r="D15">
            <v>0.15</v>
          </cell>
        </row>
        <row r="16">
          <cell r="B16" t="str">
            <v>Elektram/kab</v>
          </cell>
          <cell r="C16">
            <v>0</v>
          </cell>
          <cell r="D16">
            <v>0.2</v>
          </cell>
        </row>
        <row r="17">
          <cell r="B17" t="str">
            <v>Elektropřístroj
Písek</v>
          </cell>
          <cell r="C17">
            <v>0</v>
          </cell>
          <cell r="D17">
            <v>0.2</v>
          </cell>
        </row>
        <row r="18">
          <cell r="B18" t="str">
            <v>EP Písek</v>
          </cell>
          <cell r="C18">
            <v>0</v>
          </cell>
          <cell r="D18">
            <v>0.2</v>
          </cell>
        </row>
        <row r="19">
          <cell r="B19" t="str">
            <v>ENERGIE MaR</v>
          </cell>
          <cell r="C19">
            <v>0</v>
          </cell>
          <cell r="D19">
            <v>0</v>
          </cell>
        </row>
        <row r="20">
          <cell r="B20" t="str">
            <v>Entrelec</v>
          </cell>
          <cell r="C20">
            <v>0</v>
          </cell>
          <cell r="D20">
            <v>0.15</v>
          </cell>
        </row>
        <row r="21">
          <cell r="B21" t="str">
            <v>EO Pardubice</v>
          </cell>
          <cell r="C21">
            <v>0</v>
          </cell>
          <cell r="D21">
            <v>0.15</v>
          </cell>
        </row>
        <row r="22">
          <cell r="B22" t="str">
            <v>ERAB</v>
          </cell>
          <cell r="C22">
            <v>0</v>
          </cell>
          <cell r="D22">
            <v>0.15</v>
          </cell>
        </row>
        <row r="23">
          <cell r="B23" t="str">
            <v>F&amp;G</v>
          </cell>
          <cell r="C23">
            <v>0</v>
          </cell>
          <cell r="D23">
            <v>0.15</v>
          </cell>
        </row>
        <row r="24">
          <cell r="B24" t="str">
            <v>Groupe-
Schneider</v>
          </cell>
          <cell r="C24">
            <v>0</v>
          </cell>
          <cell r="D24">
            <v>0.08</v>
          </cell>
        </row>
        <row r="25">
          <cell r="B25" t="str">
            <v>HAKEL</v>
          </cell>
          <cell r="C25">
            <v>0.3</v>
          </cell>
          <cell r="D25">
            <v>0.3</v>
          </cell>
        </row>
        <row r="26">
          <cell r="B26" t="str">
            <v>Johnson 
Controls</v>
          </cell>
          <cell r="C26">
            <v>0.3</v>
          </cell>
          <cell r="D26">
            <v>0.12</v>
          </cell>
        </row>
        <row r="27">
          <cell r="B27" t="str">
            <v>Končar</v>
          </cell>
          <cell r="C27">
            <v>0</v>
          </cell>
          <cell r="D27">
            <v>0.15</v>
          </cell>
        </row>
        <row r="28">
          <cell r="B28" t="str">
            <v>LDM 
Č. Třebová</v>
          </cell>
          <cell r="C28">
            <v>0.18</v>
          </cell>
          <cell r="D28">
            <v>0.15</v>
          </cell>
        </row>
        <row r="29">
          <cell r="B29" t="str">
            <v>MARTECH
Hradec Králové</v>
          </cell>
          <cell r="C29">
            <v>0</v>
          </cell>
          <cell r="D29">
            <v>0.15</v>
          </cell>
        </row>
        <row r="30">
          <cell r="B30" t="str">
            <v>OEZ Letohrad</v>
          </cell>
          <cell r="C30">
            <v>0</v>
          </cell>
          <cell r="D30">
            <v>0.15</v>
          </cell>
        </row>
        <row r="31">
          <cell r="B31" t="str">
            <v>ostatní</v>
          </cell>
          <cell r="C31">
            <v>0</v>
          </cell>
          <cell r="D31">
            <v>0.15</v>
          </cell>
        </row>
        <row r="32">
          <cell r="B32" t="str">
            <v>PEVEKO
Boršice u B.</v>
          </cell>
          <cell r="C32">
            <v>0.1</v>
          </cell>
          <cell r="D32">
            <v>0.15</v>
          </cell>
        </row>
        <row r="33">
          <cell r="B33" t="str">
            <v>Remagg
Vyškov</v>
          </cell>
          <cell r="C33">
            <v>0</v>
          </cell>
          <cell r="D33">
            <v>0.15</v>
          </cell>
        </row>
        <row r="34">
          <cell r="B34" t="str">
            <v>SENSIT
Rožnov p. R.</v>
          </cell>
          <cell r="C34">
            <v>0.23</v>
          </cell>
          <cell r="D34">
            <v>0.25</v>
          </cell>
        </row>
        <row r="35">
          <cell r="B35" t="str">
            <v>Schrack</v>
          </cell>
          <cell r="C35">
            <v>0</v>
          </cell>
          <cell r="D35">
            <v>0.15</v>
          </cell>
        </row>
        <row r="36">
          <cell r="B36" t="str">
            <v>stávající</v>
          </cell>
          <cell r="C36">
            <v>0</v>
          </cell>
          <cell r="D36">
            <v>0</v>
          </cell>
        </row>
        <row r="37">
          <cell r="B37" t="str">
            <v>strojní
dodávka</v>
          </cell>
          <cell r="C37">
            <v>0</v>
          </cell>
          <cell r="D37">
            <v>0</v>
          </cell>
        </row>
        <row r="38">
          <cell r="B38" t="str">
            <v>Teco</v>
          </cell>
          <cell r="C38">
            <v>0</v>
          </cell>
          <cell r="D38">
            <v>0.12</v>
          </cell>
        </row>
        <row r="39">
          <cell r="B39" t="str">
            <v>Tecont</v>
          </cell>
          <cell r="C39">
            <v>0.18</v>
          </cell>
          <cell r="D39">
            <v>0.15</v>
          </cell>
        </row>
        <row r="40">
          <cell r="B40" t="str">
            <v>výroba roz.</v>
          </cell>
          <cell r="C40">
            <v>0</v>
          </cell>
          <cell r="D40">
            <v>0</v>
          </cell>
        </row>
        <row r="41">
          <cell r="B41" t="str">
            <v>ZPA Ekoreg
Ústí n/L</v>
          </cell>
          <cell r="C41">
            <v>0.1</v>
          </cell>
          <cell r="D41">
            <v>0.15</v>
          </cell>
        </row>
        <row r="42">
          <cell r="B42" t="str">
            <v>ZPA
Nová Paka</v>
          </cell>
          <cell r="C42">
            <v>0.15</v>
          </cell>
          <cell r="D42">
            <v>0.18</v>
          </cell>
        </row>
        <row r="43">
          <cell r="B43" t="str">
            <v>JSP
Nová Paka</v>
          </cell>
          <cell r="C43">
            <v>0</v>
          </cell>
          <cell r="D43">
            <v>0.15</v>
          </cell>
        </row>
        <row r="44">
          <cell r="B44" t="str">
            <v>ZPA Prešov</v>
          </cell>
          <cell r="C44">
            <v>0</v>
          </cell>
          <cell r="D44">
            <v>0.15</v>
          </cell>
        </row>
        <row r="45">
          <cell r="B45" t="str">
            <v>Ekorex Lázně
Bohdaneč</v>
          </cell>
          <cell r="C45">
            <v>0.15</v>
          </cell>
          <cell r="D45">
            <v>0.15</v>
          </cell>
        </row>
        <row r="46">
          <cell r="B46" t="str">
            <v>Raab Karcher</v>
          </cell>
          <cell r="C46">
            <v>0.36</v>
          </cell>
          <cell r="D46">
            <v>0.25</v>
          </cell>
        </row>
        <row r="47">
          <cell r="B47" t="str">
            <v>Axima</v>
          </cell>
          <cell r="C47">
            <v>0</v>
          </cell>
          <cell r="D47">
            <v>0.15</v>
          </cell>
        </row>
        <row r="48">
          <cell r="B48" t="str">
            <v>Merlin&amp;G</v>
          </cell>
          <cell r="C48">
            <v>0</v>
          </cell>
          <cell r="D48">
            <v>0.15</v>
          </cell>
        </row>
        <row r="49">
          <cell r="B49" t="str">
            <v>MaR Plus</v>
          </cell>
          <cell r="C49">
            <v>0</v>
          </cell>
          <cell r="D49">
            <v>0.2</v>
          </cell>
        </row>
        <row r="50">
          <cell r="B50" t="str">
            <v>ZPA Pečky</v>
          </cell>
          <cell r="C50">
            <v>0</v>
          </cell>
          <cell r="D50">
            <v>0.15</v>
          </cell>
        </row>
        <row r="51">
          <cell r="B51" t="str">
            <v>EESA
Lomnice n.P.</v>
          </cell>
          <cell r="C51">
            <v>0</v>
          </cell>
          <cell r="D51">
            <v>0.15</v>
          </cell>
        </row>
        <row r="52">
          <cell r="B52" t="str">
            <v>REMAG trade</v>
          </cell>
          <cell r="C52">
            <v>0</v>
          </cell>
          <cell r="D52">
            <v>0.15</v>
          </cell>
        </row>
        <row r="53">
          <cell r="B53" t="str">
            <v>LOGITRON</v>
          </cell>
          <cell r="C53">
            <v>0</v>
          </cell>
          <cell r="D53">
            <v>0.15</v>
          </cell>
        </row>
        <row r="54">
          <cell r="B54" t="str">
            <v>MIWA Praha</v>
          </cell>
          <cell r="C54">
            <v>0</v>
          </cell>
          <cell r="D54">
            <v>0.15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T_3kolo"/>
      <sheetName val="prům_ckab (2)"/>
      <sheetName val="prům_ckab"/>
      <sheetName val="rozv"/>
      <sheetName val="BUILDING"/>
      <sheetName val="Nabídka"/>
      <sheetName val="Nabídka_výpočty"/>
      <sheetName val="Nabídka_výpočty_ŘS"/>
      <sheetName val="rm dle H "/>
      <sheetName val="Nabídka_H_z"/>
      <sheetName val="KASTT_H"/>
      <sheetName val="rm a ventily nab dle H "/>
      <sheetName val="rm a ventily nab dle H_z"/>
      <sheetName val="rm a ventily nab dle H  (2)"/>
      <sheetName val="AMIT"/>
      <sheetName val="DATA"/>
      <sheetName val="MON+KAB"/>
      <sheetName val="ŽLABY"/>
      <sheetName val="MON"/>
      <sheetName val="mont"/>
      <sheetName val="DATA_INSTR"/>
      <sheetName val="rozv_RKOT2"/>
      <sheetName val="Dodávky_3kolo"/>
      <sheetName val="PANKRAC_DOD_ÚPR1_3kolo"/>
      <sheetName val="PANKRAC_DOD_ÚPR1_2kolo"/>
      <sheetName val="BUILDING2náhrady"/>
      <sheetName val="PANKRAC_DOD_NAB2"/>
      <sheetName val="PankracAB_kabely"/>
      <sheetName val="PankracAB_kabely_NAB"/>
      <sheetName val="PankracAB_kabely_NAB2"/>
      <sheetName val="dodav"/>
      <sheetName val="DATA_ROZV"/>
      <sheetName val="rozv_RMARV7"/>
      <sheetName val="rozv_RMARCH"/>
      <sheetName val="rozv_RMARK"/>
      <sheetName val="rozv_RMAR02"/>
      <sheetName val="rozp"/>
      <sheetName val="RM"/>
      <sheetName val="PANKRAC_DOD"/>
      <sheetName val="PANKRAC_DOD_ÚPR1"/>
      <sheetName val="PANKRAC_DOD_ÚPR1_NAB"/>
      <sheetName val="PANKRAC_DOD_MONT"/>
      <sheetName val="PANKRAC_DOD_NAB"/>
      <sheetName val="rekap"/>
      <sheetName val="rozv_saia"/>
      <sheetName val="přehled"/>
      <sheetName val="rozp (2)"/>
      <sheetName val="rekap (2)"/>
      <sheetName val="rozp_specifikace"/>
      <sheetName val="rozp_specifikace_náhrady"/>
      <sheetName val="DATA_ROZV (2)"/>
      <sheetName val="rozv_VZT"/>
      <sheetName val="DATA_KAB"/>
      <sheetName val="ZPRAVA_spec (2)"/>
      <sheetName val="List1"/>
      <sheetName val="skříňky"/>
      <sheetName val="PANKRAC_NAB_3kolo_z"/>
      <sheetName val="Dodávky_3kolo (2)"/>
      <sheetName val="Dodávky_3kolo (3)"/>
      <sheetName val="PANKRAC_NAB_3kolo_z_opr4"/>
      <sheetName val="PANKRAC_NAB_3kolo_z_opr3"/>
      <sheetName val="PANKRAC_NAB_3kolo_z_opr"/>
      <sheetName val="PANKRAC_NAB_3kolo_z_opr2"/>
      <sheetName val="rozv_RMAR01"/>
      <sheetName val="rozv_RMAR2"/>
      <sheetName val="rozv_RMAR7"/>
      <sheetName val="rozv_RA"/>
      <sheetName val="MaR"/>
      <sheetName val="MaR (2)"/>
      <sheetName val="FRIGERA_NAB"/>
      <sheetName val="MONT_Frigera"/>
      <sheetName val="rozv_RMAR"/>
      <sheetName val="rozv_RKOT1"/>
      <sheetName val="rozv_RB"/>
      <sheetName val="rekapitulace_nab"/>
      <sheetName val="MaR (3)_z"/>
      <sheetName val="prům_ckab (3)"/>
      <sheetName val="DATA (2)"/>
      <sheetName val="OCS vejvoda rozp"/>
      <sheetName val="OCS vejvoda rozp_z"/>
      <sheetName val="Čechtice-rozp"/>
      <sheetName val="Čechtice-rozvaděč"/>
      <sheetName val="kabelák"/>
      <sheetName val="rozvaděč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">
          <cell r="D3" t="str">
            <v>DT1</v>
          </cell>
        </row>
        <row r="4">
          <cell r="C4">
            <v>1</v>
          </cell>
          <cell r="D4">
            <v>1</v>
          </cell>
        </row>
        <row r="5">
          <cell r="D5">
            <v>2</v>
          </cell>
        </row>
        <row r="6">
          <cell r="D6">
            <v>3</v>
          </cell>
        </row>
        <row r="7">
          <cell r="D7">
            <v>4</v>
          </cell>
        </row>
        <row r="8">
          <cell r="D8">
            <v>5</v>
          </cell>
        </row>
        <row r="9">
          <cell r="D9">
            <v>6</v>
          </cell>
        </row>
        <row r="10">
          <cell r="D10">
            <v>7</v>
          </cell>
        </row>
        <row r="11">
          <cell r="D11">
            <v>8</v>
          </cell>
        </row>
        <row r="12">
          <cell r="D12">
            <v>9</v>
          </cell>
        </row>
        <row r="13">
          <cell r="D13">
            <v>10</v>
          </cell>
        </row>
        <row r="14">
          <cell r="D14">
            <v>11</v>
          </cell>
        </row>
        <row r="15">
          <cell r="D15">
            <v>12</v>
          </cell>
        </row>
        <row r="16">
          <cell r="D16">
            <v>13</v>
          </cell>
        </row>
        <row r="17">
          <cell r="D17">
            <v>14</v>
          </cell>
        </row>
        <row r="18">
          <cell r="D18">
            <v>15</v>
          </cell>
        </row>
        <row r="19">
          <cell r="D19">
            <v>16</v>
          </cell>
        </row>
        <row r="21">
          <cell r="C21">
            <v>2</v>
          </cell>
          <cell r="D21">
            <v>18</v>
          </cell>
        </row>
        <row r="22">
          <cell r="D22">
            <v>19</v>
          </cell>
        </row>
        <row r="23">
          <cell r="D23">
            <v>20</v>
          </cell>
        </row>
        <row r="24">
          <cell r="D24">
            <v>21</v>
          </cell>
        </row>
        <row r="25">
          <cell r="D25">
            <v>22</v>
          </cell>
        </row>
        <row r="26">
          <cell r="D26">
            <v>23</v>
          </cell>
        </row>
        <row r="27">
          <cell r="D27">
            <v>24</v>
          </cell>
        </row>
        <row r="28">
          <cell r="D28">
            <v>25</v>
          </cell>
        </row>
        <row r="29">
          <cell r="D29">
            <v>26</v>
          </cell>
        </row>
        <row r="30">
          <cell r="D30">
            <v>27</v>
          </cell>
        </row>
        <row r="31">
          <cell r="D31">
            <v>28</v>
          </cell>
        </row>
        <row r="32">
          <cell r="D32">
            <v>29</v>
          </cell>
        </row>
        <row r="33">
          <cell r="D33">
            <v>30</v>
          </cell>
        </row>
        <row r="34">
          <cell r="D34">
            <v>31</v>
          </cell>
        </row>
        <row r="35">
          <cell r="D35">
            <v>32</v>
          </cell>
        </row>
        <row r="36">
          <cell r="D36">
            <v>33</v>
          </cell>
        </row>
        <row r="37">
          <cell r="D37">
            <v>34</v>
          </cell>
        </row>
        <row r="38">
          <cell r="D38">
            <v>35</v>
          </cell>
        </row>
        <row r="39">
          <cell r="D39">
            <v>36</v>
          </cell>
        </row>
        <row r="40">
          <cell r="D40">
            <v>37</v>
          </cell>
        </row>
        <row r="42">
          <cell r="C42">
            <v>3</v>
          </cell>
          <cell r="D42">
            <v>38</v>
          </cell>
        </row>
        <row r="43">
          <cell r="D43">
            <v>39</v>
          </cell>
        </row>
        <row r="44">
          <cell r="D44">
            <v>40</v>
          </cell>
        </row>
        <row r="45">
          <cell r="D45">
            <v>41</v>
          </cell>
        </row>
        <row r="46">
          <cell r="D46">
            <v>42</v>
          </cell>
        </row>
        <row r="47">
          <cell r="D47">
            <v>43</v>
          </cell>
        </row>
        <row r="48">
          <cell r="D48">
            <v>44</v>
          </cell>
        </row>
        <row r="49">
          <cell r="D49">
            <v>45</v>
          </cell>
        </row>
        <row r="50">
          <cell r="D50">
            <v>46</v>
          </cell>
        </row>
        <row r="51">
          <cell r="D51">
            <v>47</v>
          </cell>
        </row>
        <row r="52">
          <cell r="D52">
            <v>48</v>
          </cell>
        </row>
        <row r="53">
          <cell r="D53">
            <v>49</v>
          </cell>
        </row>
        <row r="54">
          <cell r="D54">
            <v>50</v>
          </cell>
        </row>
        <row r="55">
          <cell r="D55">
            <v>51</v>
          </cell>
        </row>
        <row r="56">
          <cell r="D56">
            <v>52</v>
          </cell>
        </row>
        <row r="57">
          <cell r="D57">
            <v>53</v>
          </cell>
        </row>
        <row r="58">
          <cell r="D58">
            <v>54</v>
          </cell>
        </row>
        <row r="59">
          <cell r="D59">
            <v>55</v>
          </cell>
        </row>
        <row r="60">
          <cell r="D60">
            <v>56</v>
          </cell>
        </row>
        <row r="61">
          <cell r="D61">
            <v>57</v>
          </cell>
        </row>
        <row r="63">
          <cell r="C63">
            <v>4</v>
          </cell>
          <cell r="D63">
            <v>58</v>
          </cell>
        </row>
        <row r="64">
          <cell r="D64">
            <v>59</v>
          </cell>
        </row>
        <row r="65">
          <cell r="D65">
            <v>60</v>
          </cell>
        </row>
        <row r="66">
          <cell r="D66">
            <v>61</v>
          </cell>
        </row>
        <row r="67">
          <cell r="D67">
            <v>62</v>
          </cell>
        </row>
        <row r="68">
          <cell r="D68">
            <v>63</v>
          </cell>
        </row>
        <row r="69">
          <cell r="D69">
            <v>64</v>
          </cell>
        </row>
        <row r="70">
          <cell r="D70">
            <v>65</v>
          </cell>
        </row>
        <row r="71">
          <cell r="D71">
            <v>66</v>
          </cell>
        </row>
        <row r="72">
          <cell r="D72">
            <v>67</v>
          </cell>
        </row>
        <row r="73">
          <cell r="D73">
            <v>68</v>
          </cell>
        </row>
        <row r="74">
          <cell r="D74">
            <v>69</v>
          </cell>
        </row>
        <row r="75">
          <cell r="D75">
            <v>70</v>
          </cell>
        </row>
        <row r="76">
          <cell r="D76">
            <v>71</v>
          </cell>
        </row>
        <row r="77">
          <cell r="D77">
            <v>72</v>
          </cell>
        </row>
        <row r="78">
          <cell r="D78">
            <v>73</v>
          </cell>
        </row>
        <row r="79">
          <cell r="D79">
            <v>74</v>
          </cell>
        </row>
        <row r="80">
          <cell r="D80">
            <v>75</v>
          </cell>
        </row>
        <row r="81">
          <cell r="D81">
            <v>76</v>
          </cell>
        </row>
        <row r="82">
          <cell r="D82">
            <v>77</v>
          </cell>
        </row>
        <row r="84">
          <cell r="C84">
            <v>5</v>
          </cell>
          <cell r="D84">
            <v>78</v>
          </cell>
        </row>
        <row r="85">
          <cell r="D85">
            <v>79</v>
          </cell>
        </row>
        <row r="86">
          <cell r="D86">
            <v>80</v>
          </cell>
        </row>
        <row r="87">
          <cell r="D87">
            <v>81</v>
          </cell>
        </row>
        <row r="88">
          <cell r="D88">
            <v>82</v>
          </cell>
        </row>
        <row r="89">
          <cell r="D89">
            <v>83</v>
          </cell>
        </row>
        <row r="90">
          <cell r="D90">
            <v>84</v>
          </cell>
        </row>
        <row r="91">
          <cell r="D91">
            <v>85</v>
          </cell>
        </row>
        <row r="92">
          <cell r="D92">
            <v>86</v>
          </cell>
        </row>
        <row r="93">
          <cell r="D93">
            <v>87</v>
          </cell>
        </row>
        <row r="94">
          <cell r="D94">
            <v>88</v>
          </cell>
        </row>
        <row r="95">
          <cell r="D95">
            <v>89</v>
          </cell>
        </row>
        <row r="96">
          <cell r="D96">
            <v>90</v>
          </cell>
        </row>
        <row r="97">
          <cell r="D97">
            <v>91</v>
          </cell>
        </row>
        <row r="98">
          <cell r="D98">
            <v>92</v>
          </cell>
        </row>
        <row r="99">
          <cell r="D99">
            <v>93</v>
          </cell>
        </row>
        <row r="100">
          <cell r="D100">
            <v>94</v>
          </cell>
        </row>
        <row r="101">
          <cell r="D101">
            <v>95</v>
          </cell>
        </row>
        <row r="102">
          <cell r="D102">
            <v>96</v>
          </cell>
        </row>
        <row r="103">
          <cell r="D103">
            <v>97</v>
          </cell>
        </row>
        <row r="105">
          <cell r="C105">
            <v>6</v>
          </cell>
          <cell r="D105">
            <v>98</v>
          </cell>
        </row>
        <row r="106">
          <cell r="D106">
            <v>99</v>
          </cell>
        </row>
        <row r="107">
          <cell r="D107">
            <v>100</v>
          </cell>
        </row>
        <row r="108">
          <cell r="D108">
            <v>101</v>
          </cell>
        </row>
        <row r="109">
          <cell r="D109">
            <v>102</v>
          </cell>
        </row>
        <row r="110">
          <cell r="D110">
            <v>103</v>
          </cell>
        </row>
        <row r="111">
          <cell r="D111">
            <v>104</v>
          </cell>
        </row>
        <row r="112">
          <cell r="D112">
            <v>105</v>
          </cell>
        </row>
        <row r="113">
          <cell r="D113">
            <v>106</v>
          </cell>
        </row>
        <row r="114">
          <cell r="D114">
            <v>107</v>
          </cell>
        </row>
        <row r="115">
          <cell r="D115">
            <v>108</v>
          </cell>
        </row>
        <row r="116">
          <cell r="D116">
            <v>109</v>
          </cell>
        </row>
        <row r="117">
          <cell r="D117">
            <v>110</v>
          </cell>
        </row>
        <row r="118">
          <cell r="D118">
            <v>111</v>
          </cell>
        </row>
        <row r="119">
          <cell r="D119">
            <v>112</v>
          </cell>
        </row>
        <row r="120">
          <cell r="D120">
            <v>113</v>
          </cell>
        </row>
        <row r="121">
          <cell r="D121">
            <v>114</v>
          </cell>
        </row>
        <row r="122">
          <cell r="D122">
            <v>115</v>
          </cell>
        </row>
        <row r="123">
          <cell r="D123">
            <v>116</v>
          </cell>
        </row>
        <row r="124">
          <cell r="D124">
            <v>117</v>
          </cell>
        </row>
        <row r="126">
          <cell r="C126">
            <v>7</v>
          </cell>
          <cell r="D126">
            <v>118</v>
          </cell>
        </row>
        <row r="127">
          <cell r="D127">
            <v>119</v>
          </cell>
        </row>
        <row r="128">
          <cell r="D128">
            <v>120</v>
          </cell>
        </row>
        <row r="129">
          <cell r="D129">
            <v>121</v>
          </cell>
        </row>
        <row r="130">
          <cell r="D130">
            <v>122</v>
          </cell>
        </row>
        <row r="131">
          <cell r="D131">
            <v>123</v>
          </cell>
        </row>
        <row r="132">
          <cell r="D132">
            <v>124</v>
          </cell>
        </row>
        <row r="133">
          <cell r="D133">
            <v>125</v>
          </cell>
        </row>
        <row r="134">
          <cell r="D134">
            <v>126</v>
          </cell>
        </row>
        <row r="135">
          <cell r="D135">
            <v>127</v>
          </cell>
        </row>
        <row r="136">
          <cell r="D136">
            <v>128</v>
          </cell>
        </row>
        <row r="137">
          <cell r="D137">
            <v>129</v>
          </cell>
        </row>
        <row r="138">
          <cell r="D138">
            <v>130</v>
          </cell>
        </row>
        <row r="139">
          <cell r="D139">
            <v>131</v>
          </cell>
        </row>
        <row r="140">
          <cell r="D140">
            <v>132</v>
          </cell>
        </row>
        <row r="141">
          <cell r="D141">
            <v>133</v>
          </cell>
        </row>
        <row r="142">
          <cell r="D142">
            <v>134</v>
          </cell>
        </row>
        <row r="143">
          <cell r="D143">
            <v>135</v>
          </cell>
        </row>
        <row r="144">
          <cell r="D144">
            <v>136</v>
          </cell>
        </row>
        <row r="145">
          <cell r="D145">
            <v>137</v>
          </cell>
        </row>
        <row r="147">
          <cell r="C147">
            <v>8</v>
          </cell>
          <cell r="D147">
            <v>138</v>
          </cell>
        </row>
        <row r="148">
          <cell r="D148">
            <v>139</v>
          </cell>
        </row>
        <row r="149">
          <cell r="D149">
            <v>140</v>
          </cell>
        </row>
        <row r="150">
          <cell r="D150">
            <v>141</v>
          </cell>
        </row>
        <row r="151">
          <cell r="D151">
            <v>142</v>
          </cell>
        </row>
        <row r="152">
          <cell r="D152">
            <v>143</v>
          </cell>
        </row>
        <row r="153">
          <cell r="D153">
            <v>144</v>
          </cell>
        </row>
        <row r="154">
          <cell r="D154">
            <v>145</v>
          </cell>
        </row>
        <row r="155">
          <cell r="D155">
            <v>146</v>
          </cell>
        </row>
        <row r="156">
          <cell r="D156">
            <v>147</v>
          </cell>
        </row>
        <row r="157">
          <cell r="D157">
            <v>148</v>
          </cell>
        </row>
        <row r="158">
          <cell r="D158">
            <v>149</v>
          </cell>
        </row>
        <row r="159">
          <cell r="D159">
            <v>150</v>
          </cell>
        </row>
        <row r="160">
          <cell r="D160">
            <v>151</v>
          </cell>
        </row>
        <row r="161">
          <cell r="D161">
            <v>152</v>
          </cell>
        </row>
        <row r="162">
          <cell r="D162">
            <v>153</v>
          </cell>
        </row>
        <row r="163">
          <cell r="D163">
            <v>154</v>
          </cell>
        </row>
        <row r="164">
          <cell r="D164">
            <v>155</v>
          </cell>
        </row>
        <row r="165">
          <cell r="D165">
            <v>156</v>
          </cell>
        </row>
        <row r="166">
          <cell r="D166">
            <v>157</v>
          </cell>
        </row>
        <row r="168">
          <cell r="C168">
            <v>9</v>
          </cell>
          <cell r="D168">
            <v>158</v>
          </cell>
        </row>
        <row r="169">
          <cell r="D169">
            <v>159</v>
          </cell>
        </row>
        <row r="170">
          <cell r="D170">
            <v>160</v>
          </cell>
        </row>
        <row r="171">
          <cell r="D171">
            <v>161</v>
          </cell>
        </row>
        <row r="172">
          <cell r="D172">
            <v>162</v>
          </cell>
        </row>
        <row r="173">
          <cell r="D173">
            <v>163</v>
          </cell>
        </row>
        <row r="174">
          <cell r="D174">
            <v>164</v>
          </cell>
        </row>
        <row r="175">
          <cell r="D175">
            <v>165</v>
          </cell>
        </row>
        <row r="176">
          <cell r="D176">
            <v>166</v>
          </cell>
        </row>
        <row r="177">
          <cell r="D177">
            <v>167</v>
          </cell>
        </row>
        <row r="178">
          <cell r="D178">
            <v>168</v>
          </cell>
        </row>
        <row r="179">
          <cell r="D179">
            <v>169</v>
          </cell>
        </row>
        <row r="180">
          <cell r="D180">
            <v>170</v>
          </cell>
        </row>
        <row r="181">
          <cell r="D181">
            <v>171</v>
          </cell>
        </row>
        <row r="182">
          <cell r="D182">
            <v>172</v>
          </cell>
        </row>
        <row r="183">
          <cell r="D183">
            <v>173</v>
          </cell>
        </row>
        <row r="184">
          <cell r="D184">
            <v>174</v>
          </cell>
        </row>
        <row r="185">
          <cell r="D185">
            <v>175</v>
          </cell>
        </row>
        <row r="186">
          <cell r="D186">
            <v>176</v>
          </cell>
        </row>
        <row r="187">
          <cell r="D187">
            <v>177</v>
          </cell>
        </row>
        <row r="189">
          <cell r="C189">
            <v>10</v>
          </cell>
          <cell r="D189">
            <v>178</v>
          </cell>
        </row>
        <row r="190">
          <cell r="D190">
            <v>179</v>
          </cell>
        </row>
        <row r="191">
          <cell r="D191">
            <v>180</v>
          </cell>
        </row>
        <row r="192">
          <cell r="D192">
            <v>181</v>
          </cell>
        </row>
        <row r="193">
          <cell r="D193">
            <v>182</v>
          </cell>
        </row>
        <row r="194">
          <cell r="D194">
            <v>183</v>
          </cell>
        </row>
        <row r="195">
          <cell r="D195">
            <v>184</v>
          </cell>
        </row>
        <row r="196">
          <cell r="D196">
            <v>185</v>
          </cell>
        </row>
        <row r="197">
          <cell r="D197">
            <v>186</v>
          </cell>
        </row>
        <row r="198">
          <cell r="D198">
            <v>187</v>
          </cell>
        </row>
        <row r="199">
          <cell r="D199">
            <v>188</v>
          </cell>
        </row>
        <row r="200">
          <cell r="D200">
            <v>189</v>
          </cell>
        </row>
        <row r="270">
          <cell r="D270">
            <v>189</v>
          </cell>
        </row>
        <row r="272">
          <cell r="B272">
            <v>11</v>
          </cell>
          <cell r="C272" t="str">
            <v>D K+MM</v>
          </cell>
          <cell r="D272">
            <v>19</v>
          </cell>
        </row>
        <row r="273">
          <cell r="B273">
            <v>11</v>
          </cell>
          <cell r="C273" t="str">
            <v>M K+MM</v>
          </cell>
          <cell r="D273">
            <v>20</v>
          </cell>
        </row>
        <row r="275">
          <cell r="C275" t="str">
            <v>Instrumentace</v>
          </cell>
          <cell r="D275">
            <v>250</v>
          </cell>
        </row>
        <row r="276">
          <cell r="C276" t="str">
            <v>Instr ostat</v>
          </cell>
          <cell r="D276">
            <v>160</v>
          </cell>
        </row>
        <row r="277">
          <cell r="C277" t="str">
            <v>instr speciál</v>
          </cell>
          <cell r="D277">
            <v>600</v>
          </cell>
        </row>
        <row r="278">
          <cell r="C278" t="str">
            <v>rozv</v>
          </cell>
          <cell r="D278">
            <v>1200</v>
          </cell>
        </row>
        <row r="280">
          <cell r="C280" t="str">
            <v>SW</v>
          </cell>
          <cell r="D280">
            <v>350</v>
          </cell>
        </row>
        <row r="282">
          <cell r="C282" t="str">
            <v>ČM pi</v>
          </cell>
        </row>
        <row r="283">
          <cell r="C283" t="str">
            <v>ČM celkem</v>
          </cell>
        </row>
        <row r="286">
          <cell r="C286" t="str">
            <v>Revize, zkoušky, zaškolení obsluhy, spolupráce při oživení</v>
          </cell>
          <cell r="D286">
            <v>90</v>
          </cell>
        </row>
        <row r="287">
          <cell r="C287" t="str">
            <v>nebo</v>
          </cell>
          <cell r="D287">
            <v>0.3</v>
          </cell>
        </row>
        <row r="288">
          <cell r="C288" t="str">
            <v>základ</v>
          </cell>
          <cell r="D288">
            <v>1200</v>
          </cell>
        </row>
        <row r="292">
          <cell r="C292" t="str">
            <v>VRN</v>
          </cell>
          <cell r="D292" t="str">
            <v>réžie</v>
          </cell>
        </row>
        <row r="293">
          <cell r="C293" t="str">
            <v>VRN</v>
          </cell>
          <cell r="D293">
            <v>2000</v>
          </cell>
        </row>
        <row r="294">
          <cell r="C294" t="str">
            <v>VRN</v>
          </cell>
        </row>
        <row r="295">
          <cell r="C295" t="str">
            <v>VRN</v>
          </cell>
          <cell r="D295" t="str">
            <v>současnost</v>
          </cell>
        </row>
        <row r="296">
          <cell r="C296" t="str">
            <v>VRN</v>
          </cell>
          <cell r="D296">
            <v>4</v>
          </cell>
        </row>
        <row r="297">
          <cell r="C297" t="str">
            <v>VRN</v>
          </cell>
        </row>
        <row r="298">
          <cell r="C298" t="str">
            <v>VRN</v>
          </cell>
          <cell r="D298" t="str">
            <v>km</v>
          </cell>
        </row>
        <row r="299">
          <cell r="D299">
            <v>170</v>
          </cell>
        </row>
        <row r="302">
          <cell r="C302" t="str">
            <v>D K+MM</v>
          </cell>
          <cell r="D302">
            <v>23</v>
          </cell>
        </row>
        <row r="303">
          <cell r="C303" t="str">
            <v>M K+MM</v>
          </cell>
          <cell r="D303">
            <v>21</v>
          </cell>
        </row>
      </sheetData>
      <sheetData sheetId="20" refreshError="1">
        <row r="4">
          <cell r="C4" t="str">
            <v>provedení do potrubí, délka 160mm, IP54</v>
          </cell>
          <cell r="D4">
            <v>1754</v>
          </cell>
        </row>
        <row r="5">
          <cell r="B5" t="str">
            <v>A13I-160 T1/T2</v>
          </cell>
          <cell r="C5" t="str">
            <v>Odporový snímač teploty s kovovou halvicí A13I-160
provedení do potrubí, rozsah 0°C až 35°C
výstup 4 - 20 mA, délka jímky 160 mm</v>
          </cell>
          <cell r="D5" t="str">
            <v>REGMET</v>
          </cell>
          <cell r="E5">
            <v>1754</v>
          </cell>
          <cell r="F5">
            <v>19</v>
          </cell>
        </row>
        <row r="6">
          <cell r="B6" t="str">
            <v>Indukční průtokoměr DN 250</v>
          </cell>
          <cell r="C6" t="str">
            <v>Indukční průtokoměr DN 250, PN 16, provedení D/K
s příslušenstvím, 230V/50Hz
médium - demivoda, teplota 5 až 28 °C
výstelka, výstup 4 - 20 mA a impulsní</v>
          </cell>
          <cell r="D6" t="str">
            <v>KROHNE</v>
          </cell>
          <cell r="E6">
            <v>112608</v>
          </cell>
          <cell r="F6">
            <v>80</v>
          </cell>
        </row>
        <row r="7">
          <cell r="B7" t="str">
            <v>JET 23 F</v>
          </cell>
          <cell r="C7" t="str">
            <v>Prostorový termostat JET 23 F, rozsah -15...+30 C, dif. 1 K , 15A/250V, IP 65, vnitřní nastavení</v>
          </cell>
          <cell r="D7" t="str">
            <v>SENTRON CZ</v>
          </cell>
          <cell r="E7">
            <v>1400</v>
          </cell>
          <cell r="F7">
            <v>50</v>
          </cell>
        </row>
        <row r="8">
          <cell r="B8" t="str">
            <v>P11I T1/T2</v>
          </cell>
          <cell r="C8" t="str">
            <v>Snímač teploty venkovní P11I T1/T2
rozsah -30°C až 60°C, výstup 4 - 20 mA</v>
          </cell>
          <cell r="D8" t="str">
            <v>REGMET</v>
          </cell>
          <cell r="E8">
            <v>1220</v>
          </cell>
          <cell r="F8">
            <v>19</v>
          </cell>
        </row>
        <row r="9">
          <cell r="B9" t="str">
            <v>EGH120F001</v>
          </cell>
          <cell r="C9" t="str">
            <v xml:space="preserve">Čidlo rel. vl. (0-10V) prostorové EGH120F001 </v>
          </cell>
          <cell r="D9" t="str">
            <v>Sauter</v>
          </cell>
          <cell r="E9">
            <v>7174</v>
          </cell>
          <cell r="F9">
            <v>50</v>
          </cell>
        </row>
        <row r="11">
          <cell r="B11" t="str">
            <v>DMP 331 110-1602-1-5-1-1-1-000 přísl.</v>
          </cell>
          <cell r="C11" t="str">
            <v xml:space="preserve">Relativní snímač tlaku DMP 331
110-1602-1-5-1-1-1-000
rozsah 0…16 bar
výstup 4…20 mA/2 v
přesnost 0,5 %
elektrické připojení konektor DIN 43650
přípojka tlaku G1/2"
těsnění Viton
normální provedení
manometrický kohout, redukce,
vyhlazovací smyčka, tlumič </v>
          </cell>
          <cell r="D11" t="str">
            <v>BD Sensors</v>
          </cell>
          <cell r="E11">
            <v>10229</v>
          </cell>
          <cell r="F11">
            <v>162</v>
          </cell>
        </row>
        <row r="12">
          <cell r="C12" t="str">
            <v>Tlakoměrový kohout</v>
          </cell>
          <cell r="D12" t="str">
            <v>JSP
Nová Paka</v>
          </cell>
        </row>
        <row r="13">
          <cell r="C13" t="str">
            <v>Redukce</v>
          </cell>
          <cell r="D13" t="str">
            <v>JSP
Nová Paka</v>
          </cell>
        </row>
        <row r="14">
          <cell r="C14" t="str">
            <v>Tlumič tlakových rázů TTR</v>
          </cell>
          <cell r="D14" t="str">
            <v>BD Sensors</v>
          </cell>
        </row>
        <row r="15">
          <cell r="C15" t="str">
            <v>zobrazovací jednotka PA430</v>
          </cell>
          <cell r="D15" t="str">
            <v>BD Sensors</v>
          </cell>
        </row>
        <row r="17">
          <cell r="B17" t="str">
            <v>LD 301 H5 600 kPa</v>
          </cell>
          <cell r="C17" t="str">
            <v>Inteligentní snímač diferenčního tlaku LD301
rozsah 600 kPa
výstup 4…20 mA/2 v
držák, šroubení
vč. třícestné ventilové soupravy</v>
          </cell>
          <cell r="D17" t="str">
            <v>BD Sensors</v>
          </cell>
          <cell r="E17">
            <v>40231</v>
          </cell>
          <cell r="F17">
            <v>285</v>
          </cell>
        </row>
        <row r="18">
          <cell r="C18" t="str">
            <v>materiákl příruby nerez</v>
          </cell>
        </row>
        <row r="20">
          <cell r="C20" t="str">
            <v>nastavení</v>
          </cell>
        </row>
        <row r="21">
          <cell r="C21" t="str">
            <v>Třícestná ventilová souprava</v>
          </cell>
          <cell r="D21" t="str">
            <v>JSP
Nová Paka</v>
          </cell>
        </row>
        <row r="22">
          <cell r="C22" t="str">
            <v>Vsuvka</v>
          </cell>
          <cell r="D22" t="str">
            <v>JSP
Nová Paka</v>
          </cell>
        </row>
        <row r="23">
          <cell r="C23" t="str">
            <v>Šrouby</v>
          </cell>
          <cell r="D23" t="str">
            <v>JSP
Nová Paka</v>
          </cell>
        </row>
        <row r="24">
          <cell r="C24" t="str">
            <v>Držák na stěnu</v>
          </cell>
          <cell r="D24" t="str">
            <v>JSP
Nová Paka</v>
          </cell>
        </row>
        <row r="26">
          <cell r="B26" t="str">
            <v xml:space="preserve">DMP 331 110-6001-1-5-1-5-1-000
</v>
          </cell>
          <cell r="C26" t="str">
            <v>Snímač tlaku DMP 331
110-6001-1-5-1-5-1-000
rozsah 0…6 bar
výstup 4…20 mA/2 v
přesnost 0,5 %
elektrické připojení konektor DIN 43650
přípojka tlaku M 20 x 1,5 DIN 3852
těsnění Viton
normální provedení
manometrický kohout, redukce,
vyhlazovací smyčka, tlum</v>
          </cell>
          <cell r="D26" t="str">
            <v>BD Sensors</v>
          </cell>
          <cell r="E26">
            <v>10229</v>
          </cell>
          <cell r="F26">
            <v>162</v>
          </cell>
        </row>
        <row r="27">
          <cell r="C27" t="str">
            <v>Tlakoměrový kohout</v>
          </cell>
          <cell r="D27" t="str">
            <v>JSP
Nová Paka</v>
          </cell>
        </row>
        <row r="28">
          <cell r="C28" t="str">
            <v>Redukce</v>
          </cell>
          <cell r="D28" t="str">
            <v>JSP
Nová Paka</v>
          </cell>
        </row>
        <row r="29">
          <cell r="C29" t="str">
            <v>Tlumič tlakových rázů TTR</v>
          </cell>
          <cell r="D29" t="str">
            <v>BD Sensors</v>
          </cell>
        </row>
        <row r="30">
          <cell r="C30" t="str">
            <v>zobrazovací jednotka PA430</v>
          </cell>
          <cell r="D30" t="str">
            <v>BD Sensors</v>
          </cell>
        </row>
        <row r="32">
          <cell r="B32" t="str">
            <v xml:space="preserve">DMP 331 110-2500-1-5-1-5-1-000
</v>
          </cell>
          <cell r="C32" t="str">
            <v>Snímač tlaku DMP 331
110-2500-1-5-1-5-1-000
rozsah 0…0,20 bar
výstup 4…20 mA/2 v
přesnost 0,5 %
elektrické připojení konektor DIN 43650
přípojka tlaku M 20 x 1,5 DIN 3852
těsnění Viton
normální provedení
manometrický kohout, redukce,
vyhlazovací smyčka, t</v>
          </cell>
          <cell r="D32" t="str">
            <v>BD Sensors</v>
          </cell>
          <cell r="E32">
            <v>11229</v>
          </cell>
          <cell r="F32">
            <v>162</v>
          </cell>
        </row>
        <row r="33">
          <cell r="C33" t="str">
            <v>Tlakoměrový kohout</v>
          </cell>
          <cell r="D33" t="str">
            <v>JSP
Nová Paka</v>
          </cell>
        </row>
        <row r="34">
          <cell r="C34" t="str">
            <v>Redukce</v>
          </cell>
          <cell r="D34" t="str">
            <v>JSP
Nová Paka</v>
          </cell>
        </row>
        <row r="35">
          <cell r="C35" t="str">
            <v>Tlumič tlakových rázů TTR</v>
          </cell>
          <cell r="D35" t="str">
            <v>BD Sensors</v>
          </cell>
        </row>
        <row r="36">
          <cell r="C36" t="str">
            <v>zobrazovací jednotka PA430</v>
          </cell>
          <cell r="D36" t="str">
            <v>BD Sensors</v>
          </cell>
        </row>
        <row r="38">
          <cell r="B38" t="str">
            <v>RTL100</v>
          </cell>
          <cell r="C38" t="str">
            <v>405 612 146 032
Regulátor tlaku vlnovcový
provedení T 23
kontakty v provedení "A"
rozsah10 až 100 kPa
manometrický kohout, redukce,
vyhlazovací smyčka, tlumič tlakových rázů</v>
          </cell>
          <cell r="D38" t="str">
            <v>ZPA Ekoreg
Ústí n/L</v>
          </cell>
          <cell r="E38">
            <v>2479</v>
          </cell>
          <cell r="F38">
            <v>154</v>
          </cell>
        </row>
        <row r="39">
          <cell r="C39" t="str">
            <v>Tlakoměrový kohout</v>
          </cell>
          <cell r="D39" t="str">
            <v>JSP
Nová Paka</v>
          </cell>
        </row>
        <row r="40">
          <cell r="C40" t="str">
            <v>Redukce</v>
          </cell>
          <cell r="D40" t="str">
            <v>JSP
Nová Paka</v>
          </cell>
        </row>
        <row r="41">
          <cell r="C41" t="str">
            <v>Tlumič tlakových rázů TTR</v>
          </cell>
          <cell r="D41" t="str">
            <v>BD Sensors</v>
          </cell>
        </row>
        <row r="44">
          <cell r="B44" t="str">
            <v>112 851 147</v>
          </cell>
          <cell r="C44" t="str">
            <v>Odporový snímač teploty kabelový párovaný
typ 112 851 147
stíněný kabel 4m, provedení 4 drát, třída přesnosti 4,
vč.jímky nerez 100 mm, závit G1/2" 911 091 056</v>
          </cell>
          <cell r="D44" t="str">
            <v>JSP
Nová Paka</v>
          </cell>
          <cell r="E44">
            <v>2530</v>
          </cell>
          <cell r="F44">
            <v>19</v>
          </cell>
        </row>
        <row r="45">
          <cell r="C45" t="str">
            <v>2x jímka nerez 100 mm, závit G1/2" 911 091 056</v>
          </cell>
        </row>
        <row r="46">
          <cell r="B46" t="str">
            <v>PT021 131 021</v>
          </cell>
          <cell r="C46" t="str">
            <v>Programovatelný dvouvodičový převodník teploty
s digitální indikací PT021, typ 131 021,
provedení na stěnu, vč. nastavovací jenotky NJ12</v>
          </cell>
          <cell r="D46" t="str">
            <v>JSP
Nová Paka</v>
          </cell>
          <cell r="E46">
            <v>2960</v>
          </cell>
          <cell r="F46">
            <v>70</v>
          </cell>
        </row>
        <row r="47">
          <cell r="C47" t="str">
            <v>s diplejem</v>
          </cell>
        </row>
        <row r="48">
          <cell r="C48" t="str">
            <v>provedení na stěnu</v>
          </cell>
        </row>
        <row r="49">
          <cell r="C49" t="str">
            <v>Nastavovací jenotky NJ-12</v>
          </cell>
        </row>
        <row r="51">
          <cell r="B51" t="str">
            <v xml:space="preserve">RV 102 ELB 6311-16/140-40 jako
</v>
          </cell>
          <cell r="C51" t="str">
            <v>Trojcestný směšovací ventil DN 40, PN 16
závitové provedení, teplota média 130 stC,
charakteristika ekviprocentní
vč, el. pohonu 24VAC, 0-10V</v>
          </cell>
          <cell r="D51" t="str">
            <v>LDM 
Č. Třebová</v>
          </cell>
          <cell r="E51">
            <v>12800</v>
          </cell>
          <cell r="F51">
            <v>80</v>
          </cell>
        </row>
        <row r="52">
          <cell r="B52" t="str">
            <v xml:space="preserve">RV 102 ELB 6311-16/140-40
</v>
          </cell>
          <cell r="C52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52" t="str">
            <v>LDM 
Č. Třebová</v>
          </cell>
          <cell r="E52">
            <v>12800</v>
          </cell>
          <cell r="F52">
            <v>80</v>
          </cell>
        </row>
        <row r="54">
          <cell r="B54" t="str">
            <v>R250, DN 50, PN 16, NR 24-3
2-bod., PK</v>
          </cell>
          <cell r="C54" t="str">
            <v>Kulový kohout DN 50, PN 16
s el. sevopohonem NR 24-3, 
3-bod., polohový spínač</v>
          </cell>
          <cell r="D54" t="str">
            <v>BELIMO kul.k.</v>
          </cell>
          <cell r="E54">
            <v>10702</v>
          </cell>
          <cell r="F54">
            <v>80</v>
          </cell>
        </row>
        <row r="55">
          <cell r="B55" t="str">
            <v>SNR</v>
          </cell>
          <cell r="C55" t="str">
            <v>1 pomocný přepínací kontakt vestavěný k pohonům LF</v>
          </cell>
        </row>
        <row r="57">
          <cell r="B57" t="str">
            <v>RV213,PN16,DN100,24V,0-10V,hf</v>
          </cell>
          <cell r="C57" t="str">
            <v>Regulační ventil přímý RV 215, PN 16, DN 100,
char. ekviprocentní
s hydraulickým pohonem, řízení 0 - 10V, havarijní funkce</v>
          </cell>
          <cell r="D57" t="str">
            <v>LDM 
Č. Třebová</v>
          </cell>
          <cell r="E57">
            <v>85500</v>
          </cell>
          <cell r="F57">
            <v>50</v>
          </cell>
        </row>
        <row r="60">
          <cell r="B60" t="str">
            <v>Analyzátor1</v>
          </cell>
          <cell r="C60" t="str">
            <v>Programovatelný průmyslový analyzátor vodivosti,
provedení venkovní, IP 65
napájení 230V/50Hz, vč. sondy s kompenzací teploty
s kabelem 5m do potrubí, kompletní příslušenství, jímka
výstup 2x am¨nalogobý 4-20 mA</v>
          </cell>
          <cell r="D60" t="str">
            <v>ostatní</v>
          </cell>
          <cell r="E60">
            <v>60000</v>
          </cell>
          <cell r="F60">
            <v>250</v>
          </cell>
        </row>
        <row r="62">
          <cell r="B62" t="str">
            <v>KlapkaDN50+Belimo</v>
          </cell>
          <cell r="C62" t="str">
            <v>Klapka DN 50,   PN16,  typ 620B050,
vč. servopohonu Belimo 24 VAC, 3. bod. , polohový spínač</v>
          </cell>
          <cell r="D62" t="str">
            <v>ostatní</v>
          </cell>
          <cell r="E62">
            <v>4529</v>
          </cell>
          <cell r="F62">
            <v>80</v>
          </cell>
        </row>
        <row r="64">
          <cell r="B64" t="str">
            <v>DBK-AM</v>
          </cell>
          <cell r="C64" t="str">
            <v>držák servopohonu BELIMO AM</v>
          </cell>
        </row>
        <row r="65">
          <cell r="B65" t="str">
            <v>AM 24-S</v>
          </cell>
          <cell r="C65" t="str">
            <v xml:space="preserve">24V, 3-polohová regulace, dva pomocné kontakty </v>
          </cell>
        </row>
        <row r="67">
          <cell r="B67" t="str">
            <v>sol.v.DN25</v>
          </cell>
          <cell r="C67" t="str">
            <v>Soleniodový ventil DN 25, PN 6, cívka 230V/50Hz
bez napětí uzavřen</v>
          </cell>
          <cell r="D67" t="str">
            <v>ostatní</v>
          </cell>
          <cell r="E67">
            <v>2800</v>
          </cell>
          <cell r="F67">
            <v>50</v>
          </cell>
        </row>
        <row r="69">
          <cell r="B69" t="str">
            <v>čtop1</v>
          </cell>
          <cell r="C69" t="str">
            <v>Oběhové čerpadlo top .vody
230 VAC</v>
          </cell>
          <cell r="D69" t="str">
            <v>strojní
dodávka</v>
          </cell>
          <cell r="E69">
            <v>0</v>
          </cell>
          <cell r="F69">
            <v>50</v>
          </cell>
        </row>
        <row r="70">
          <cell r="B70" t="str">
            <v>čtop3</v>
          </cell>
          <cell r="C70" t="str">
            <v>Oběhové čerpadlo top .vody
3 x 400/230 VAC</v>
          </cell>
          <cell r="D70" t="str">
            <v>strojní
dodávka</v>
          </cell>
          <cell r="E70">
            <v>0</v>
          </cell>
          <cell r="F70">
            <v>80</v>
          </cell>
        </row>
        <row r="71">
          <cell r="B71" t="str">
            <v>čtuvtop1</v>
          </cell>
          <cell r="C71" t="str">
            <v>Oběhové čerpadlo top. v. pro ohř. TUV
230 VAC</v>
          </cell>
          <cell r="D71" t="str">
            <v>strojní
dodávka</v>
          </cell>
          <cell r="E71">
            <v>0</v>
          </cell>
          <cell r="F71">
            <v>50</v>
          </cell>
        </row>
        <row r="72">
          <cell r="B72" t="str">
            <v>čtuvtop3</v>
          </cell>
          <cell r="C72" t="str">
            <v>Oběhové čerpadlo top. v. pro ohř. TUV
3 x 400/230 VAC</v>
          </cell>
          <cell r="D72" t="str">
            <v>strojní
dodávka</v>
          </cell>
          <cell r="E72">
            <v>0</v>
          </cell>
          <cell r="F72">
            <v>80</v>
          </cell>
        </row>
        <row r="73">
          <cell r="B73" t="str">
            <v>očtop1,SSM</v>
          </cell>
          <cell r="C73" t="str">
            <v>Oběhové čerpadlo top .vody
230 VAC
tepelná ochrana SSM</v>
          </cell>
          <cell r="D73" t="str">
            <v>strojní
dodávka</v>
          </cell>
          <cell r="E73">
            <v>0</v>
          </cell>
          <cell r="F73">
            <v>70</v>
          </cell>
        </row>
        <row r="74">
          <cell r="B74" t="str">
            <v>očtop3, SSM</v>
          </cell>
          <cell r="C74" t="str">
            <v>Oběhové čerpadlo top .vody
3 x 400/230 VAC</v>
          </cell>
          <cell r="D74" t="str">
            <v>strojní
dodávka</v>
          </cell>
          <cell r="E74">
            <v>0</v>
          </cell>
          <cell r="F74">
            <v>100</v>
          </cell>
        </row>
        <row r="75">
          <cell r="B75" t="str">
            <v>očtop3</v>
          </cell>
          <cell r="C75" t="str">
            <v>Oběhové čerpadlo top .vody
3 x 400/230 VAC</v>
          </cell>
          <cell r="D75" t="str">
            <v>strojní
dodávka</v>
          </cell>
          <cell r="E75">
            <v>0</v>
          </cell>
          <cell r="F75">
            <v>80</v>
          </cell>
        </row>
        <row r="76">
          <cell r="B76" t="str">
            <v>očtuvtop1</v>
          </cell>
          <cell r="C76" t="str">
            <v>Oběhové čerpadlo top. v. pro ohř. TUV
230 VAC</v>
          </cell>
          <cell r="D76" t="str">
            <v>strojní
dodávka</v>
          </cell>
          <cell r="E76">
            <v>0</v>
          </cell>
          <cell r="F76">
            <v>50</v>
          </cell>
        </row>
        <row r="77">
          <cell r="B77" t="str">
            <v>očtuvtop1, SSM</v>
          </cell>
          <cell r="C77" t="str">
            <v>Oběhové čerpadlo top. v. pro ohř. TUV
230 VAC</v>
          </cell>
          <cell r="D77" t="str">
            <v>strojní
dodávka</v>
          </cell>
          <cell r="E77">
            <v>0</v>
          </cell>
          <cell r="F77">
            <v>80</v>
          </cell>
        </row>
        <row r="78">
          <cell r="B78" t="str">
            <v>očtuvtop3</v>
          </cell>
          <cell r="C78" t="str">
            <v>Oběhové čerpadlo top. v. pro ohř. TUV
3 x 400/230 VAC</v>
          </cell>
          <cell r="D78" t="str">
            <v>strojní
dodávka</v>
          </cell>
          <cell r="E78">
            <v>0</v>
          </cell>
          <cell r="F78">
            <v>80</v>
          </cell>
        </row>
        <row r="79">
          <cell r="B79" t="str">
            <v>očtop1</v>
          </cell>
          <cell r="C79" t="str">
            <v>Oběhové čerpadlo top .vody
230 VAC</v>
          </cell>
          <cell r="D79" t="str">
            <v>strojní
dodávka</v>
          </cell>
          <cell r="E79">
            <v>0</v>
          </cell>
          <cell r="F79">
            <v>50</v>
          </cell>
        </row>
        <row r="80">
          <cell r="B80" t="str">
            <v>očtop1stáv</v>
          </cell>
          <cell r="C80" t="str">
            <v>Oběhové čerpadlo top .vody
230 VAC</v>
          </cell>
          <cell r="D80" t="str">
            <v>stávající</v>
          </cell>
          <cell r="E80">
            <v>0</v>
          </cell>
        </row>
        <row r="81">
          <cell r="B81" t="str">
            <v>očtop3stáv</v>
          </cell>
          <cell r="C81" t="str">
            <v>Oběhové čerpadlo top .vody
3 x 400/230 VAC</v>
          </cell>
          <cell r="D81" t="str">
            <v>stávající</v>
          </cell>
          <cell r="E81">
            <v>0</v>
          </cell>
        </row>
        <row r="82">
          <cell r="B82" t="str">
            <v>očtuvtop1stáv</v>
          </cell>
          <cell r="C82" t="str">
            <v>Oběhové čerpadlo top. v. pro ohř. TUV
230 VAC</v>
          </cell>
          <cell r="D82" t="str">
            <v>stávající</v>
          </cell>
          <cell r="E82">
            <v>0</v>
          </cell>
        </row>
        <row r="83">
          <cell r="B83" t="str">
            <v>očtuvtop3stáv</v>
          </cell>
          <cell r="C83" t="str">
            <v>Oběhové čerpadlo top. v. pro ohř. TUV
3 x 400/230 VAC</v>
          </cell>
          <cell r="D83" t="str">
            <v>stávající</v>
          </cell>
          <cell r="E83">
            <v>0</v>
          </cell>
        </row>
        <row r="84">
          <cell r="B84" t="str">
            <v>cirkTUV3</v>
          </cell>
          <cell r="C84" t="str">
            <v>Cirkulační čerpadlo TUV
3 x 400/230 VAC</v>
          </cell>
          <cell r="D84" t="str">
            <v>strojní
dodávka</v>
          </cell>
          <cell r="E84">
            <v>0</v>
          </cell>
          <cell r="F84">
            <v>80</v>
          </cell>
        </row>
        <row r="85">
          <cell r="B85" t="str">
            <v>cirkTUV1</v>
          </cell>
          <cell r="C85" t="str">
            <v>Cirkulační čerpadlo TUV
230 VAC</v>
          </cell>
          <cell r="D85" t="str">
            <v>strojní
dodávka</v>
          </cell>
          <cell r="E85">
            <v>0</v>
          </cell>
          <cell r="F85">
            <v>50</v>
          </cell>
        </row>
        <row r="86">
          <cell r="B86" t="str">
            <v>cirkTUV1, SSM</v>
          </cell>
          <cell r="C86" t="str">
            <v>Cirkulační čerpadlo TUV
230 VAC</v>
          </cell>
          <cell r="D86" t="str">
            <v>strojní
dodávka</v>
          </cell>
          <cell r="E86">
            <v>0</v>
          </cell>
          <cell r="F86">
            <v>80</v>
          </cell>
        </row>
        <row r="87">
          <cell r="B87" t="str">
            <v>Ventilátor 1f</v>
          </cell>
          <cell r="C87" t="str">
            <v>Ventilátor 1f</v>
          </cell>
          <cell r="D87" t="str">
            <v>strojní
dodávka</v>
          </cell>
          <cell r="E87">
            <v>0</v>
          </cell>
          <cell r="F87">
            <v>50</v>
          </cell>
        </row>
        <row r="88">
          <cell r="A88" t="str">
            <v>Zásuvka 230V/10 A sv/tm. šedá</v>
          </cell>
          <cell r="B88" t="str">
            <v>Zás</v>
          </cell>
          <cell r="C88" t="str">
            <v>Zásuvka 230V/10 A sv/tm. Šedá</v>
          </cell>
          <cell r="D88" t="str">
            <v>E</v>
          </cell>
          <cell r="E88">
            <v>80</v>
          </cell>
          <cell r="F88">
            <v>40</v>
          </cell>
        </row>
        <row r="89">
          <cell r="B89" t="str">
            <v>RA2J-2_6180</v>
          </cell>
          <cell r="C89" t="str">
            <v>Teplotní snímač v zakázkovém pouzdru typ RA2J-2
typ čidla Ni 1000/6180 ppm, dvojvodičové připojení
pozdro typ RA, kabel 2m</v>
          </cell>
          <cell r="D89" t="str">
            <v>REGMET</v>
          </cell>
          <cell r="E89">
            <v>456</v>
          </cell>
          <cell r="F89">
            <v>19</v>
          </cell>
        </row>
        <row r="90">
          <cell r="B90" t="str">
            <v>RA2S-2_6180</v>
          </cell>
          <cell r="C90" t="str">
            <v>Teplotní snímač v zakázkovém pouzdru typ RA2S-2
typ čidla Ni 1000/6180 ppm, dvojvodičové připojení
pozdro typ RA2, průměr 6 mm, ponor 50 mm
závit M10 x 1,5, kabel 2m</v>
          </cell>
          <cell r="D90" t="str">
            <v>REGMET</v>
          </cell>
          <cell r="E90">
            <v>456</v>
          </cell>
          <cell r="F90">
            <v>19</v>
          </cell>
        </row>
        <row r="91">
          <cell r="B91" t="str">
            <v>RA2S-2_6180</v>
          </cell>
          <cell r="C91" t="str">
            <v>Teplotní snímač v zakázkovém pouzdru typ RA2S-2
typ čidla Ni 1000/6180 ppm, dvojvodičové připojení
pozdro typ RA2, průměr 6 mm, ponor 50 mm
závit M10 x 1,5, kabel 2m</v>
          </cell>
          <cell r="D91" t="str">
            <v>REGMET</v>
          </cell>
          <cell r="E91">
            <v>456</v>
          </cell>
          <cell r="F91">
            <v>19</v>
          </cell>
        </row>
        <row r="92">
          <cell r="B92" t="str">
            <v>P13S150-100</v>
          </cell>
          <cell r="C92" t="str">
            <v>Odporový snímač teploty do potrubí P13S150-100
typ čidla Ni 1000/6180 ppm
rozsah -30°C až 150°C
délka jímky 100 mm</v>
          </cell>
          <cell r="D92" t="str">
            <v>REGMET</v>
          </cell>
          <cell r="E92">
            <v>856</v>
          </cell>
          <cell r="F92">
            <v>19</v>
          </cell>
        </row>
        <row r="93">
          <cell r="B93" t="str">
            <v>P13S150-160</v>
          </cell>
          <cell r="C93" t="str">
            <v>Odporový snímač teploty do potrubí P13S150-160
typ čidla Ni 1000/6180 ppm
rozsah -30°C až 150°C
délka jímky 160 mm</v>
          </cell>
          <cell r="D93" t="str">
            <v>REGMET</v>
          </cell>
          <cell r="E93">
            <v>877</v>
          </cell>
          <cell r="F93">
            <v>19</v>
          </cell>
        </row>
        <row r="94">
          <cell r="B94" t="str">
            <v>P13S150-220</v>
          </cell>
          <cell r="C94" t="str">
            <v>Odporový snímač teploty do potrubí P13S150-220
typ čidla Ni 1000/6180 ppm
rozsah -30°C až 150°C
délka jímky 220 mm</v>
          </cell>
          <cell r="D94" t="str">
            <v>REGMET</v>
          </cell>
          <cell r="E94">
            <v>893</v>
          </cell>
          <cell r="F94">
            <v>19</v>
          </cell>
        </row>
        <row r="95">
          <cell r="B95" t="str">
            <v>P12PA-180</v>
          </cell>
          <cell r="C95" t="str">
            <v>Odporový snímač teploty do klimatizace P12PA-180
typ čidla Pt 1000/3850 ppm
rozsah -30°C až 250°C
délka jímky 180 mm</v>
          </cell>
          <cell r="D95" t="str">
            <v>REGMET</v>
          </cell>
          <cell r="E95">
            <v>698</v>
          </cell>
          <cell r="F95">
            <v>19</v>
          </cell>
        </row>
        <row r="96">
          <cell r="B96" t="str">
            <v>P12S-240</v>
          </cell>
          <cell r="C96" t="str">
            <v>Odporový snímač teploty do klimatizace P12S-240
typ čidla Ni 1000/6180 ppm
rozsah -30°C až 250°C
délka jímky 220 mm</v>
          </cell>
          <cell r="D96" t="str">
            <v>REGMET</v>
          </cell>
          <cell r="E96">
            <v>693</v>
          </cell>
          <cell r="F96">
            <v>19</v>
          </cell>
        </row>
        <row r="97">
          <cell r="B97" t="str">
            <v>P14S</v>
          </cell>
          <cell r="C97" t="str">
            <v>Odporový snímač teploty příložný s hlavicí P14S
typ čidla Ni 1000/6180 ppm
rozsah -30°C až 120°C</v>
          </cell>
          <cell r="D97" t="str">
            <v>REGMET</v>
          </cell>
          <cell r="E97">
            <v>693</v>
          </cell>
          <cell r="F97">
            <v>19</v>
          </cell>
        </row>
        <row r="98">
          <cell r="B98" t="str">
            <v>P11S</v>
          </cell>
          <cell r="C98" t="str">
            <v>Odporový snímač teploty venkovní P11S
typ čidla Ni 1000/6180 ppm
rozsah -30°C až 80°C</v>
          </cell>
          <cell r="D98" t="str">
            <v>REGMET</v>
          </cell>
          <cell r="E98">
            <v>667</v>
          </cell>
          <cell r="F98">
            <v>19</v>
          </cell>
        </row>
        <row r="99">
          <cell r="B99" t="str">
            <v>P10S</v>
          </cell>
          <cell r="C99" t="str">
            <v>Odporový snímač teploty interiérový P10S
typ čidla Ni 1000/6180 ppm
rozsah -30°C až 80°C</v>
          </cell>
          <cell r="D99" t="str">
            <v>REGMET</v>
          </cell>
          <cell r="E99">
            <v>305</v>
          </cell>
          <cell r="F99">
            <v>19</v>
          </cell>
        </row>
        <row r="100">
          <cell r="B100" t="str">
            <v>SK4S1</v>
          </cell>
          <cell r="C100" t="str">
            <v>Odporový snímač teploty s kabelovým vývodem SK4S-1
typ čidla Ni 1000/6180 ppm
rozsah -30°C až 80°C</v>
          </cell>
          <cell r="D100" t="str">
            <v>REGMET</v>
          </cell>
          <cell r="E100">
            <v>265</v>
          </cell>
          <cell r="F100">
            <v>19</v>
          </cell>
        </row>
        <row r="101">
          <cell r="B101" t="str">
            <v>P13I-100 0/150</v>
          </cell>
          <cell r="C101" t="str">
            <v>Snímač teploty do potrubí s proudovým výstupem  P13I-100 0/150
rozsah 0°C až 150°C
délka jímky 100 mm</v>
          </cell>
          <cell r="D101" t="str">
            <v>REGMET</v>
          </cell>
          <cell r="E101">
            <v>1670</v>
          </cell>
          <cell r="F101">
            <v>19</v>
          </cell>
        </row>
        <row r="103">
          <cell r="B103" t="str">
            <v>P12L-180</v>
          </cell>
          <cell r="C103" t="str">
            <v>Odporový snímač teploty do klimatizace P12L250-180
typ čidla Ni 1000/5000 ppm
rozsah -30°C až 250°C
délka 180 mm</v>
          </cell>
          <cell r="D103" t="str">
            <v>REGMET</v>
          </cell>
          <cell r="E103">
            <v>698</v>
          </cell>
          <cell r="F103">
            <v>19</v>
          </cell>
        </row>
        <row r="104">
          <cell r="B104" t="str">
            <v>P12L150-220</v>
          </cell>
          <cell r="C104" t="str">
            <v>Odporový snímač teploty do potrubí P12L150-220
typ čidla Ni 1000/5000 ppm
rozsah -30°C až 150°C
délka jímky 220 mm</v>
          </cell>
          <cell r="D104" t="str">
            <v>REGMET</v>
          </cell>
          <cell r="E104">
            <v>893</v>
          </cell>
          <cell r="F104">
            <v>19</v>
          </cell>
        </row>
        <row r="105">
          <cell r="C105" t="str">
            <v>Montážní materiál</v>
          </cell>
        </row>
        <row r="107">
          <cell r="B107" t="str">
            <v>DK+MK</v>
          </cell>
          <cell r="C107" t="str">
            <v>Celoplastové kabely s Cu jádrem</v>
          </cell>
          <cell r="D107" t="str">
            <v>E</v>
          </cell>
          <cell r="E107">
            <v>9</v>
          </cell>
          <cell r="F107">
            <v>2.5</v>
          </cell>
        </row>
        <row r="108">
          <cell r="B108" t="str">
            <v>DMM+MMM</v>
          </cell>
          <cell r="C108" t="str">
            <v>Montážní a elektroinstalační materiál</v>
          </cell>
          <cell r="D108" t="str">
            <v>E</v>
          </cell>
          <cell r="E108">
            <v>14</v>
          </cell>
          <cell r="F108">
            <v>3</v>
          </cell>
        </row>
        <row r="113">
          <cell r="B113" t="str">
            <v>Úprava stáv. roz.</v>
          </cell>
          <cell r="C113" t="str">
            <v>Úprava stávajícího rozvaděče</v>
          </cell>
          <cell r="D113" t="str">
            <v>E</v>
          </cell>
          <cell r="F113">
            <v>50</v>
          </cell>
        </row>
        <row r="114">
          <cell r="B114" t="str">
            <v>mont.DELTA C.</v>
          </cell>
          <cell r="C114" t="str">
            <v>Montáž a připojení rozvaděče DELTA CONTROL 2000</v>
          </cell>
          <cell r="D114" t="str">
            <v>E</v>
          </cell>
          <cell r="F114">
            <v>800</v>
          </cell>
        </row>
        <row r="115">
          <cell r="B115" t="str">
            <v>mont.DELTA C.2</v>
          </cell>
          <cell r="C115" t="str">
            <v>Montáž a připojení rozvaděče DELTA CONTROL 2000</v>
          </cell>
          <cell r="D115" t="str">
            <v>E</v>
          </cell>
          <cell r="F115">
            <v>300</v>
          </cell>
        </row>
        <row r="116">
          <cell r="B116" t="str">
            <v>Připojení čerpadla s FM</v>
          </cell>
          <cell r="C116" t="str">
            <v>Připojení čerpadla s FM</v>
          </cell>
          <cell r="D116" t="str">
            <v>E</v>
          </cell>
          <cell r="F116">
            <v>180</v>
          </cell>
        </row>
        <row r="117">
          <cell r="B117" t="str">
            <v>Připojení čerpadla s FM2</v>
          </cell>
          <cell r="C117" t="str">
            <v>Připojení čerpadla s FM</v>
          </cell>
          <cell r="D117" t="str">
            <v>E</v>
          </cell>
          <cell r="F117">
            <v>120</v>
          </cell>
        </row>
        <row r="118">
          <cell r="A118" t="str">
            <v>Software1</v>
          </cell>
          <cell r="B118" t="str">
            <v>úpr. Software</v>
          </cell>
          <cell r="C118" t="str">
            <v>Úprava stávajícího software ekv. regulace</v>
          </cell>
          <cell r="D118" t="str">
            <v>E</v>
          </cell>
          <cell r="F118">
            <v>100</v>
          </cell>
        </row>
        <row r="120">
          <cell r="A120" t="str">
            <v>Oživ, uved do pr</v>
          </cell>
          <cell r="B120" t="str">
            <v>Oživ, uved do pr</v>
          </cell>
          <cell r="C120" t="str">
            <v>Oživení, uvedení do provozu</v>
          </cell>
          <cell r="D120" t="str">
            <v>E</v>
          </cell>
          <cell r="E120">
            <v>180</v>
          </cell>
        </row>
        <row r="121">
          <cell r="A121" t="str">
            <v>revize</v>
          </cell>
          <cell r="B121" t="str">
            <v>revize</v>
          </cell>
          <cell r="C121" t="str">
            <v>Výchozí revize</v>
          </cell>
          <cell r="D121" t="str">
            <v>E</v>
          </cell>
          <cell r="E121">
            <v>250</v>
          </cell>
        </row>
        <row r="124">
          <cell r="A124" t="str">
            <v>Zkusebni provoz</v>
          </cell>
          <cell r="C124" t="str">
            <v>Zkusebni provoz</v>
          </cell>
          <cell r="E124">
            <v>150</v>
          </cell>
        </row>
        <row r="125">
          <cell r="A125" t="str">
            <v>Zauceni obsluhy</v>
          </cell>
          <cell r="C125" t="str">
            <v>Zauceni obsluhy</v>
          </cell>
          <cell r="E125">
            <v>250</v>
          </cell>
        </row>
        <row r="126">
          <cell r="A126" t="str">
            <v>Demontaz stavajiciho zarizeni</v>
          </cell>
          <cell r="C126" t="str">
            <v>Demontaz stavajiciho zarizeni</v>
          </cell>
          <cell r="E126">
            <v>150</v>
          </cell>
        </row>
        <row r="127">
          <cell r="C127">
            <v>0</v>
          </cell>
          <cell r="E127">
            <v>0</v>
          </cell>
        </row>
        <row r="128">
          <cell r="C128">
            <v>0</v>
          </cell>
          <cell r="E128">
            <v>0</v>
          </cell>
        </row>
        <row r="129">
          <cell r="A129" t="str">
            <v>S ostatnimi profesemi</v>
          </cell>
          <cell r="C129" t="str">
            <v>S ostatnimi profesemi</v>
          </cell>
          <cell r="E129">
            <v>250</v>
          </cell>
        </row>
        <row r="130">
          <cell r="C130">
            <v>0</v>
          </cell>
          <cell r="E130">
            <v>0</v>
          </cell>
        </row>
        <row r="131">
          <cell r="C131">
            <v>0</v>
          </cell>
          <cell r="E131">
            <v>0</v>
          </cell>
        </row>
        <row r="132">
          <cell r="C132">
            <v>0</v>
          </cell>
          <cell r="E132">
            <v>0</v>
          </cell>
        </row>
        <row r="133">
          <cell r="A133" t="str">
            <v>Revizni technik</v>
          </cell>
          <cell r="C133" t="str">
            <v>Revizni technik</v>
          </cell>
          <cell r="E133">
            <v>250</v>
          </cell>
        </row>
        <row r="134">
          <cell r="A134" t="str">
            <v>Montaz rozvadece na OPS</v>
          </cell>
          <cell r="C134" t="str">
            <v>Montaz rozvadece na OPS</v>
          </cell>
          <cell r="E134">
            <v>150</v>
          </cell>
        </row>
        <row r="135">
          <cell r="A135" t="str">
            <v>Aplikační SW SU+VR</v>
          </cell>
          <cell r="C135" t="str">
            <v>Aplikační SW SU+VR</v>
          </cell>
          <cell r="E135">
            <v>400</v>
          </cell>
        </row>
        <row r="138">
          <cell r="B138" t="str">
            <v>kotell2st_ovl</v>
          </cell>
          <cell r="C138" t="str">
            <v>Zapojení ovládání 2. st. kotle</v>
          </cell>
          <cell r="D138" t="str">
            <v>E</v>
          </cell>
          <cell r="F138">
            <v>120</v>
          </cell>
        </row>
        <row r="139">
          <cell r="B139" t="str">
            <v>silpřip_1f</v>
          </cell>
          <cell r="C139" t="str">
            <v>Silové připojení 1f kotle</v>
          </cell>
          <cell r="D139" t="str">
            <v>E</v>
          </cell>
          <cell r="F139">
            <v>50</v>
          </cell>
        </row>
        <row r="141">
          <cell r="B141" t="str">
            <v>RHV02</v>
          </cell>
          <cell r="C141" t="str">
            <v>Regulátor hladiny a el. vod. kapalin RHV 02</v>
          </cell>
          <cell r="D141" t="str">
            <v>ZPA Ekoreg
Ústí n/L</v>
          </cell>
          <cell r="E141">
            <v>1220</v>
          </cell>
          <cell r="F141">
            <v>60</v>
          </cell>
        </row>
        <row r="142">
          <cell r="B142" t="str">
            <v>SZ1</v>
          </cell>
          <cell r="C142" t="str">
            <v>405 613 106 954
Elektroda SZ1</v>
          </cell>
          <cell r="D142" t="str">
            <v>ZPA Ekoreg
Ústí n/L</v>
          </cell>
          <cell r="E142">
            <v>190</v>
          </cell>
          <cell r="F142">
            <v>30</v>
          </cell>
        </row>
        <row r="143">
          <cell r="B143" t="str">
            <v>RTPA20-40N22</v>
          </cell>
          <cell r="C143" t="str">
            <v>405 611 130 014
Regulátor teploty prostorový
provedení N22
kontakty v provedení "A"
rozsah 20 až 60 stC</v>
          </cell>
          <cell r="D143" t="str">
            <v>ZPA Ekoreg
Ústí n/L</v>
          </cell>
          <cell r="E143">
            <v>1150</v>
          </cell>
          <cell r="F143">
            <v>70</v>
          </cell>
        </row>
        <row r="144">
          <cell r="B144" t="str">
            <v>RAR 87501</v>
          </cell>
          <cell r="C144" t="str">
            <v>Omezovací termostat příložný RAR 87501</v>
          </cell>
          <cell r="D144" t="str">
            <v>Eberle</v>
          </cell>
          <cell r="E144">
            <v>560</v>
          </cell>
          <cell r="F144">
            <v>50</v>
          </cell>
        </row>
        <row r="145">
          <cell r="B145" t="str">
            <v>RTL250</v>
          </cell>
          <cell r="C145" t="str">
            <v>405 612 146 031
Regulátor tlaku vlnovcový
provedení T 23
kontakty v provedení "A"
rozsah 25 až 250 kPa</v>
          </cell>
          <cell r="D145" t="str">
            <v>ZPA Ekoreg
Ústí n/L</v>
          </cell>
          <cell r="E145">
            <v>1180</v>
          </cell>
          <cell r="F145">
            <v>70</v>
          </cell>
        </row>
        <row r="146">
          <cell r="B146" t="str">
            <v>Tlak_kohout</v>
          </cell>
          <cell r="C146" t="str">
            <v>Tlakoměrný kohout</v>
          </cell>
          <cell r="D146" t="str">
            <v>JSP
Nová Paka</v>
          </cell>
          <cell r="E146">
            <v>400</v>
          </cell>
          <cell r="F146">
            <v>30</v>
          </cell>
        </row>
        <row r="147">
          <cell r="B147" t="str">
            <v>HTL_zámek</v>
          </cell>
          <cell r="C147" t="str">
            <v>Havarijní tlačítko se zámkem</v>
          </cell>
          <cell r="D147" t="str">
            <v>EP Písek</v>
          </cell>
          <cell r="E147">
            <v>800</v>
          </cell>
          <cell r="F147">
            <v>50</v>
          </cell>
        </row>
        <row r="149">
          <cell r="B149" t="str">
            <v>GI30-2001</v>
          </cell>
          <cell r="C149" t="str">
            <v>Detektor úniku výbušných plynů GAS GI30</v>
          </cell>
          <cell r="D149" t="str">
            <v>J.T.O. System</v>
          </cell>
          <cell r="E149">
            <v>2900</v>
          </cell>
          <cell r="F149">
            <v>70</v>
          </cell>
        </row>
        <row r="150">
          <cell r="B150" t="str">
            <v>GAS EEx SNV1 GI31</v>
          </cell>
          <cell r="C150" t="str">
            <v>Detektor úniku výbušných plynů GAS GI31 pro prostředí ZONA2</v>
          </cell>
          <cell r="D150" t="str">
            <v>J.T.O. System</v>
          </cell>
          <cell r="E150">
            <v>3700</v>
          </cell>
          <cell r="F150">
            <v>70</v>
          </cell>
        </row>
        <row r="151">
          <cell r="B151" t="str">
            <v>Napájecí zdroj NZ 12 DIN</v>
          </cell>
          <cell r="C151" t="str">
            <v>Napájecí zdroj NZ 12 - DIN</v>
          </cell>
          <cell r="D151" t="str">
            <v>J.T.O. System</v>
          </cell>
          <cell r="E151">
            <v>1500</v>
          </cell>
        </row>
        <row r="152">
          <cell r="B152" t="str">
            <v>RTK70140</v>
          </cell>
          <cell r="C152" t="str">
            <v>405 611 266 052
Regulátor teploty kapilárový
provedení T23
kontakty v provedení "A"
rozsah 70 až 140 stC
kapilára 2,5 m
405 961 014 116
Mosazná ochranná jímka</v>
          </cell>
          <cell r="D152" t="str">
            <v>ZPA Ekoreg
Ústí n/L</v>
          </cell>
          <cell r="E152">
            <v>1250</v>
          </cell>
          <cell r="F152">
            <v>70</v>
          </cell>
        </row>
        <row r="154">
          <cell r="B154" t="str">
            <v>PVA 82.3</v>
          </cell>
          <cell r="C154" t="str">
            <v>Poruchová signalizace PVA 82.3</v>
          </cell>
          <cell r="D154" t="str">
            <v>BOLA-Siemens1</v>
          </cell>
          <cell r="E154">
            <v>3830</v>
          </cell>
        </row>
        <row r="155">
          <cell r="B155" t="str">
            <v>HZ-01</v>
          </cell>
          <cell r="C155" t="str">
            <v>Regulátor hladiny HZ-01pro krátkodobou detekci kapalin (havarijní hlášení), 24V</v>
          </cell>
          <cell r="D155" t="str">
            <v>BOLA-AM TECHNIC LINE</v>
          </cell>
          <cell r="E155">
            <v>580</v>
          </cell>
          <cell r="F155">
            <v>60</v>
          </cell>
        </row>
        <row r="156">
          <cell r="B156" t="str">
            <v>SE-1</v>
          </cell>
          <cell r="C156" t="str">
            <v xml:space="preserve">Sdružený dvojsondový snímač hladiny SE-1 (nerez) /v krabici/ </v>
          </cell>
          <cell r="D156" t="str">
            <v>BOLA-AM TECHNIC LINE</v>
          </cell>
          <cell r="E156">
            <v>80</v>
          </cell>
          <cell r="F156">
            <v>30</v>
          </cell>
        </row>
        <row r="157">
          <cell r="B157" t="str">
            <v>604.91</v>
          </cell>
          <cell r="C157" t="str">
            <v>Snímač tlakové diference
typ 604.91, rozsah 50-500 Pa
HUBA CONTROL</v>
          </cell>
          <cell r="D157" t="str">
            <v>BOLA-HUBA</v>
          </cell>
          <cell r="E157">
            <v>850</v>
          </cell>
          <cell r="F157">
            <v>120</v>
          </cell>
        </row>
        <row r="159">
          <cell r="B159" t="str">
            <v>TW115</v>
          </cell>
          <cell r="C159" t="str">
            <v>Protimrazový regulátor teploty kapilárový
typ TW 115, kapilára 6m, rozsah 4,5 - 20 stC
ALCO CONTROLS</v>
          </cell>
          <cell r="D159" t="str">
            <v>BOLA-ALCO</v>
          </cell>
          <cell r="E159">
            <v>1650</v>
          </cell>
          <cell r="F159">
            <v>120</v>
          </cell>
        </row>
        <row r="163">
          <cell r="A163" t="str">
            <v>CYKY 4Bx16-2000</v>
          </cell>
          <cell r="B163" t="str">
            <v>CYKY 4Bx16</v>
          </cell>
          <cell r="C163" t="str">
            <v>CYKY 4Bx16</v>
          </cell>
          <cell r="D163" t="str">
            <v>MM</v>
          </cell>
          <cell r="E163">
            <v>75</v>
          </cell>
          <cell r="F163">
            <v>3.8</v>
          </cell>
        </row>
        <row r="164">
          <cell r="A164" t="str">
            <v>jB10/3</v>
          </cell>
          <cell r="B164" t="str">
            <v>jB10/3</v>
          </cell>
          <cell r="C164" t="str">
            <v>Třípólový jistič 10A/B</v>
          </cell>
          <cell r="D164" t="str">
            <v>MM</v>
          </cell>
          <cell r="E164">
            <v>346</v>
          </cell>
          <cell r="F164">
            <v>60</v>
          </cell>
        </row>
        <row r="165">
          <cell r="A165" t="str">
            <v>jB32/3</v>
          </cell>
          <cell r="B165" t="str">
            <v>jB32/3</v>
          </cell>
          <cell r="C165" t="str">
            <v>Třípólový jistič 32A/B</v>
          </cell>
          <cell r="D165" t="str">
            <v>MM</v>
          </cell>
          <cell r="E165">
            <v>410</v>
          </cell>
        </row>
        <row r="166">
          <cell r="A166" t="str">
            <v>JYTY 2Dx1-2001</v>
          </cell>
          <cell r="B166" t="str">
            <v>JYTY 2Dx1</v>
          </cell>
          <cell r="C166" t="str">
            <v>JYTY 2Dx1</v>
          </cell>
          <cell r="D166" t="str">
            <v>MM</v>
          </cell>
          <cell r="E166">
            <v>5.8</v>
          </cell>
          <cell r="F166">
            <v>2.5</v>
          </cell>
        </row>
        <row r="167">
          <cell r="A167" t="str">
            <v>JYTY 4Dx1-2001</v>
          </cell>
          <cell r="B167" t="str">
            <v>JYTY 4Dx1</v>
          </cell>
          <cell r="C167" t="str">
            <v>JYTY 4Dx1</v>
          </cell>
          <cell r="D167" t="str">
            <v>MM</v>
          </cell>
          <cell r="E167">
            <v>9.1999999999999993</v>
          </cell>
          <cell r="F167">
            <v>2.5</v>
          </cell>
        </row>
        <row r="168">
          <cell r="A168" t="str">
            <v>JYStY 1x2x0,8</v>
          </cell>
          <cell r="B168" t="str">
            <v>JYStY 1x2x0,8</v>
          </cell>
          <cell r="C168" t="str">
            <v>JYStY 1x2x0,8</v>
          </cell>
          <cell r="D168" t="str">
            <v>Elektram/kab</v>
          </cell>
          <cell r="E168">
            <v>6</v>
          </cell>
          <cell r="F168">
            <v>2.5</v>
          </cell>
        </row>
        <row r="169">
          <cell r="A169" t="str">
            <v>JYStY 2x2x0,8</v>
          </cell>
          <cell r="B169" t="str">
            <v>JYStY 2x2x0,8</v>
          </cell>
          <cell r="C169" t="str">
            <v>JYStY 2x2x0,8</v>
          </cell>
          <cell r="D169" t="str">
            <v>Elektram/kab</v>
          </cell>
          <cell r="E169">
            <v>8</v>
          </cell>
          <cell r="F169">
            <v>2.5</v>
          </cell>
        </row>
        <row r="170">
          <cell r="A170" t="str">
            <v>JYStY 1x2x0,8</v>
          </cell>
          <cell r="B170" t="str">
            <v>JYStY 1x2x0,8</v>
          </cell>
          <cell r="C170" t="str">
            <v>JYStY 1x2x0,8</v>
          </cell>
          <cell r="D170" t="str">
            <v>MM</v>
          </cell>
          <cell r="E170">
            <v>6</v>
          </cell>
          <cell r="F170">
            <v>2.5</v>
          </cell>
        </row>
        <row r="171">
          <cell r="A171" t="str">
            <v>CYKY 3Cx1,5-2001</v>
          </cell>
          <cell r="B171" t="str">
            <v>CYKY 3Cx1,5</v>
          </cell>
          <cell r="C171" t="str">
            <v>CYKY 3Cx1,5</v>
          </cell>
          <cell r="D171" t="str">
            <v>MM</v>
          </cell>
          <cell r="E171">
            <v>7.9</v>
          </cell>
          <cell r="F171">
            <v>2.5</v>
          </cell>
        </row>
        <row r="172">
          <cell r="A172" t="str">
            <v>CYKY 3Cx2,5</v>
          </cell>
          <cell r="B172" t="str">
            <v>CYKY 3Cx2,5</v>
          </cell>
          <cell r="C172" t="str">
            <v>CYKY 3Cx2,5</v>
          </cell>
          <cell r="D172" t="str">
            <v>MM</v>
          </cell>
          <cell r="E172">
            <v>16</v>
          </cell>
          <cell r="F172">
            <v>2.5</v>
          </cell>
        </row>
        <row r="173">
          <cell r="A173" t="str">
            <v>CYKY 7Cx1,5</v>
          </cell>
          <cell r="B173" t="str">
            <v>CYKY 7Cx1,5</v>
          </cell>
          <cell r="C173" t="str">
            <v>CYKY 7Cx1,5</v>
          </cell>
          <cell r="D173" t="str">
            <v>MM</v>
          </cell>
          <cell r="E173">
            <v>17.2</v>
          </cell>
          <cell r="F173">
            <v>2.5</v>
          </cell>
        </row>
        <row r="174">
          <cell r="A174" t="str">
            <v>CYKY 5Cx1,5-2001</v>
          </cell>
          <cell r="B174" t="str">
            <v>CYKY 5Cx1,5</v>
          </cell>
          <cell r="C174" t="str">
            <v>CYKY 5Cx1,5</v>
          </cell>
          <cell r="D174" t="str">
            <v>MM</v>
          </cell>
          <cell r="E174">
            <v>11.9</v>
          </cell>
          <cell r="F174">
            <v>2.5</v>
          </cell>
        </row>
        <row r="175">
          <cell r="A175" t="str">
            <v>CYKY 3Bx1,5</v>
          </cell>
          <cell r="B175" t="str">
            <v>CYKY 3Bx1,5</v>
          </cell>
          <cell r="C175" t="str">
            <v>CYKY 3Bx1,5</v>
          </cell>
          <cell r="D175" t="str">
            <v>MM</v>
          </cell>
          <cell r="E175">
            <v>9.6</v>
          </cell>
          <cell r="F175">
            <v>2.5</v>
          </cell>
        </row>
        <row r="176">
          <cell r="A176" t="str">
            <v>CYKY 5Cx2,5</v>
          </cell>
          <cell r="B176" t="str">
            <v>CYKY 5Cx2,5</v>
          </cell>
          <cell r="C176" t="str">
            <v>CYKY 5Cx2,5</v>
          </cell>
          <cell r="D176" t="str">
            <v>MM</v>
          </cell>
          <cell r="E176">
            <v>23.8</v>
          </cell>
          <cell r="F176">
            <v>2.5</v>
          </cell>
        </row>
        <row r="177">
          <cell r="A177" t="str">
            <v>CYKY 4Bx2,5-2000</v>
          </cell>
          <cell r="B177" t="str">
            <v>CYKY 4Bx2,5</v>
          </cell>
          <cell r="C177" t="str">
            <v>CYKY 4Bx2,5</v>
          </cell>
          <cell r="D177" t="str">
            <v>MM</v>
          </cell>
          <cell r="E177">
            <v>15</v>
          </cell>
          <cell r="F177">
            <v>2.5</v>
          </cell>
        </row>
        <row r="178">
          <cell r="A178" t="str">
            <v>CYKY 4Bx10-2000</v>
          </cell>
          <cell r="B178" t="str">
            <v>CYKY 4Bx10</v>
          </cell>
          <cell r="C178" t="str">
            <v>CYKY 4Bx10</v>
          </cell>
          <cell r="D178" t="str">
            <v>MM</v>
          </cell>
          <cell r="E178">
            <v>55</v>
          </cell>
          <cell r="F178">
            <v>3.8</v>
          </cell>
        </row>
        <row r="179">
          <cell r="A179" t="str">
            <v>PZ21</v>
          </cell>
          <cell r="B179" t="str">
            <v>PZ21</v>
          </cell>
          <cell r="C179" t="str">
            <v>Pancéřová trubka PZ 21 /m/</v>
          </cell>
          <cell r="D179" t="str">
            <v>MM</v>
          </cell>
          <cell r="E179">
            <v>40</v>
          </cell>
          <cell r="F179">
            <v>8.4499999999999993</v>
          </cell>
        </row>
        <row r="180">
          <cell r="A180" t="str">
            <v>PZ16</v>
          </cell>
          <cell r="B180" t="str">
            <v>PZ16</v>
          </cell>
          <cell r="C180" t="str">
            <v>Pancéřová trubka PZ 16 /m/</v>
          </cell>
          <cell r="D180" t="str">
            <v>MM</v>
          </cell>
          <cell r="E180">
            <v>30</v>
          </cell>
          <cell r="F180">
            <v>5</v>
          </cell>
        </row>
        <row r="181">
          <cell r="A181" t="str">
            <v>LV 24x22</v>
          </cell>
          <cell r="B181" t="str">
            <v>LV 24x22</v>
          </cell>
          <cell r="C181" t="str">
            <v>Plastový instalační žlab LV 24x22</v>
          </cell>
          <cell r="D181" t="str">
            <v>MM</v>
          </cell>
          <cell r="E181">
            <v>30</v>
          </cell>
          <cell r="F181">
            <v>7</v>
          </cell>
        </row>
        <row r="182">
          <cell r="A182" t="str">
            <v>LV 18x13</v>
          </cell>
          <cell r="B182" t="str">
            <v>LV 18x13</v>
          </cell>
          <cell r="C182" t="str">
            <v>Plastový instalační žlab LV 18x13</v>
          </cell>
          <cell r="D182" t="str">
            <v>MM</v>
          </cell>
          <cell r="E182">
            <v>15</v>
          </cell>
          <cell r="F182">
            <v>7</v>
          </cell>
        </row>
        <row r="183">
          <cell r="A183" t="str">
            <v>LV 40x15</v>
          </cell>
          <cell r="B183" t="str">
            <v>;</v>
          </cell>
          <cell r="C183" t="str">
            <v>Plastový instalační žlab LV 40x15</v>
          </cell>
          <cell r="D183" t="str">
            <v>MM</v>
          </cell>
          <cell r="E183">
            <v>34</v>
          </cell>
          <cell r="F183">
            <v>7</v>
          </cell>
        </row>
        <row r="184">
          <cell r="A184" t="str">
            <v>PVC60x40</v>
          </cell>
          <cell r="B184" t="str">
            <v>PVC60x40</v>
          </cell>
          <cell r="C184" t="str">
            <v>Lišta PVC 60x40 vč. víka</v>
          </cell>
          <cell r="D184" t="str">
            <v>MM</v>
          </cell>
          <cell r="E184">
            <v>44</v>
          </cell>
          <cell r="F184">
            <v>8</v>
          </cell>
        </row>
        <row r="185">
          <cell r="A185" t="str">
            <v>RK9062/CR 4 mm2, 12 svorek</v>
          </cell>
          <cell r="B185" t="str">
            <v>RK9062/CR 4 mm2, 12 svorek</v>
          </cell>
          <cell r="C185" t="str">
            <v>Plastová odbočná krabice</v>
          </cell>
          <cell r="D185" t="str">
            <v>MM</v>
          </cell>
          <cell r="E185">
            <v>80</v>
          </cell>
          <cell r="F185">
            <v>40</v>
          </cell>
        </row>
        <row r="186">
          <cell r="A186" t="str">
            <v>žl50</v>
          </cell>
          <cell r="B186" t="str">
            <v>žl50</v>
          </cell>
          <cell r="C186" t="str">
            <v>Kabelový žlab 62x50 vč. víka /2m ks/</v>
          </cell>
          <cell r="D186" t="str">
            <v>MM</v>
          </cell>
          <cell r="E186">
            <v>135</v>
          </cell>
          <cell r="F186">
            <v>46.6</v>
          </cell>
        </row>
        <row r="187">
          <cell r="A187" t="str">
            <v>žl125</v>
          </cell>
          <cell r="B187" t="str">
            <v>žl125</v>
          </cell>
          <cell r="C187" t="str">
            <v>Kabelový žlab 125x50 vč. víka /2m ks/</v>
          </cell>
          <cell r="D187" t="str">
            <v>MM</v>
          </cell>
          <cell r="E187">
            <v>172</v>
          </cell>
          <cell r="F187">
            <v>46.6</v>
          </cell>
        </row>
        <row r="188">
          <cell r="A188" t="str">
            <v>uk4</v>
          </cell>
          <cell r="B188" t="str">
            <v>uk4</v>
          </cell>
          <cell r="C188" t="str">
            <v>Ukončení kabelu do 4x4mm2</v>
          </cell>
          <cell r="D188" t="str">
            <v>MM</v>
          </cell>
          <cell r="E188">
            <v>0</v>
          </cell>
          <cell r="F188">
            <v>13.2</v>
          </cell>
        </row>
        <row r="189">
          <cell r="A189" t="str">
            <v>ukst4</v>
          </cell>
          <cell r="B189" t="str">
            <v>ukst4</v>
          </cell>
          <cell r="C189" t="str">
            <v>Ukončení stíněného kabelu do 4x1mm2</v>
          </cell>
          <cell r="D189" t="str">
            <v>MM</v>
          </cell>
          <cell r="E189">
            <v>0</v>
          </cell>
          <cell r="F189">
            <v>32</v>
          </cell>
        </row>
        <row r="190">
          <cell r="A190" t="str">
            <v>CY6</v>
          </cell>
          <cell r="B190" t="str">
            <v>CY6</v>
          </cell>
          <cell r="C190" t="str">
            <v>Vodič CY 6mm2 ŽZ</v>
          </cell>
          <cell r="D190" t="str">
            <v>MM</v>
          </cell>
          <cell r="E190">
            <v>8.9</v>
          </cell>
          <cell r="F190">
            <v>5.2</v>
          </cell>
        </row>
        <row r="191">
          <cell r="A191" t="str">
            <v>Zsv</v>
          </cell>
          <cell r="B191" t="str">
            <v>Zsv</v>
          </cell>
          <cell r="C191" t="str">
            <v>Zemnící svorky vč. CU pásků</v>
          </cell>
          <cell r="D191" t="str">
            <v>MM</v>
          </cell>
          <cell r="E191">
            <v>11</v>
          </cell>
          <cell r="F191">
            <v>4.5</v>
          </cell>
        </row>
        <row r="192">
          <cell r="A192" t="str">
            <v>H</v>
          </cell>
          <cell r="B192" t="str">
            <v>H</v>
          </cell>
          <cell r="C192" t="str">
            <v>Upevňovací bod hmoždinkou</v>
          </cell>
          <cell r="D192" t="str">
            <v>MM</v>
          </cell>
          <cell r="E192">
            <v>5.5</v>
          </cell>
          <cell r="F192">
            <v>2.1</v>
          </cell>
        </row>
        <row r="193">
          <cell r="B193" t="str">
            <v>Třípólový jistič Schrack 63A/B</v>
          </cell>
          <cell r="C193" t="str">
            <v>Třípólový jistič Schrack 63A/B</v>
          </cell>
          <cell r="D193" t="str">
            <v>Schrack</v>
          </cell>
          <cell r="E193">
            <v>1128</v>
          </cell>
        </row>
        <row r="195">
          <cell r="B195" t="str">
            <v>AM 24-SR</v>
          </cell>
          <cell r="C195" t="str">
            <v xml:space="preserve">Klapkový servopohon 24V, 0-10V, multifunkční technologie </v>
          </cell>
          <cell r="D195" t="str">
            <v>BOLA pohony</v>
          </cell>
          <cell r="E195">
            <v>7351</v>
          </cell>
          <cell r="F195">
            <v>80</v>
          </cell>
        </row>
        <row r="196">
          <cell r="B196" t="str">
            <v>NM 24-SR</v>
          </cell>
          <cell r="C196" t="str">
            <v>Klapkový servopohon NM 24-SR, 24V, 0-10V, 150s</v>
          </cell>
          <cell r="D196" t="str">
            <v>BOLA pohony</v>
          </cell>
          <cell r="E196">
            <v>6053</v>
          </cell>
          <cell r="F196">
            <v>80</v>
          </cell>
        </row>
        <row r="197">
          <cell r="B197" t="str">
            <v>LM 24-SR</v>
          </cell>
          <cell r="C197" t="str">
            <v>Klapkový servopohon 24V, 0-10V, 110s</v>
          </cell>
          <cell r="D197" t="str">
            <v>BOLA pohony</v>
          </cell>
          <cell r="E197">
            <v>4628</v>
          </cell>
          <cell r="F197">
            <v>80</v>
          </cell>
        </row>
        <row r="199">
          <cell r="B199" t="str">
            <v>LF 24</v>
          </cell>
          <cell r="C199" t="str">
            <v>Klapkový servopohon 24V, 2-polohová regulace, havarijní funkce</v>
          </cell>
          <cell r="D199" t="str">
            <v>BOLA pohony</v>
          </cell>
          <cell r="E199">
            <v>5622</v>
          </cell>
          <cell r="F199">
            <v>80</v>
          </cell>
        </row>
        <row r="200">
          <cell r="B200" t="str">
            <v>AF 230</v>
          </cell>
          <cell r="C200" t="str">
            <v>Klapkový servopohon 230V, 2-polohová regulace, 150s/16s, havarijní funkce</v>
          </cell>
          <cell r="D200" t="str">
            <v>BOLA pohony</v>
          </cell>
          <cell r="E200">
            <v>9246</v>
          </cell>
          <cell r="F200">
            <v>80</v>
          </cell>
        </row>
        <row r="202">
          <cell r="B202" t="str">
            <v xml:space="preserve">RV 102 ELB 6311-16/140-15
</v>
          </cell>
          <cell r="C202" t="str">
            <v>Regulační ventil RV 102 L, DN 15, PN 16
RV 102 ELB 6311-16/140-15
s el. pohonem SQX 62, 24 VAC
řízení 0 ... 10 V
provedení přírubové trojcestné směšovací
materiál tělesa šedá litina
průtočná charakteristika lineární, Kvs = 6,3 m3/h</v>
          </cell>
          <cell r="D202" t="str">
            <v>LDM 
Č. Třebová</v>
          </cell>
          <cell r="E202">
            <v>11320</v>
          </cell>
          <cell r="F202">
            <v>80</v>
          </cell>
        </row>
        <row r="203">
          <cell r="B203" t="str">
            <v xml:space="preserve">RV 102 ELB 6311-16/140-40
</v>
          </cell>
          <cell r="C203" t="str">
            <v>Regulační ventil RV 102 L, DN 40, PN 16
RV 102 ELB 6311-16/140-40
s el. pohonem SQX 62, 24 VAC
řízení 0 ... 10 V
provedení přírubové trojcestné směšovací
materiál tělesa šedá litina
průtočná charakteristika lineární, Kvs = 25 m3/h</v>
          </cell>
          <cell r="D203" t="str">
            <v>LDM 
Č. Třebová</v>
          </cell>
          <cell r="E203">
            <v>12800</v>
          </cell>
          <cell r="F203">
            <v>80</v>
          </cell>
        </row>
        <row r="204">
          <cell r="B204" t="str">
            <v xml:space="preserve">RV 103 ELB 6311-16/140-50
</v>
          </cell>
          <cell r="C204" t="str">
            <v>Regulační ventil RV 103 L, DN 50, PN 16
RV 102 ELB 6311-16/140-50
s el. pohonem SQX 62, 24 VAC
řízení 0 ... 10 V
provedení přírubové trojcestné směšovací
materiál tělesa šedá litina
průtočná charakteristika lineární, Kvs = 40 m3/h</v>
          </cell>
          <cell r="D204" t="str">
            <v>LDM 
Č. Třebová</v>
          </cell>
          <cell r="E204">
            <v>15100</v>
          </cell>
          <cell r="F204">
            <v>80</v>
          </cell>
        </row>
        <row r="206">
          <cell r="B206" t="str">
            <v>QAF81.3</v>
          </cell>
          <cell r="C206" t="str">
            <v>Protimrazový termostat QAF81.3, rozsah -5...10 stC, délka kapiláry 3 m</v>
          </cell>
          <cell r="D206" t="str">
            <v>Landis &amp; Staefa</v>
          </cell>
          <cell r="E206">
            <v>3317</v>
          </cell>
          <cell r="F206">
            <v>120</v>
          </cell>
        </row>
        <row r="208">
          <cell r="B208" t="str">
            <v>Snímač tlakové diference P33AB-9202</v>
          </cell>
          <cell r="C208" t="str">
            <v>Snímač tlakové diference, typ P33AB-9202</v>
          </cell>
          <cell r="D208" t="str">
            <v>Johnson 
Controls</v>
          </cell>
          <cell r="E208">
            <v>1239</v>
          </cell>
          <cell r="F208">
            <v>60</v>
          </cell>
        </row>
        <row r="209">
          <cell r="B209" t="str">
            <v>ventilátor 50 kW H-T</v>
          </cell>
          <cell r="C209" t="str">
            <v>Ventilátor 50 kW</v>
          </cell>
          <cell r="D209" t="str">
            <v>strojní
dodávka</v>
          </cell>
          <cell r="E209">
            <v>0</v>
          </cell>
          <cell r="F209">
            <v>160</v>
          </cell>
        </row>
        <row r="210">
          <cell r="B210" t="str">
            <v>ventilátor 4 kW H-T</v>
          </cell>
          <cell r="C210" t="str">
            <v>Ventilátor 4 kW</v>
          </cell>
          <cell r="D210" t="str">
            <v>strojní
dodávka</v>
          </cell>
          <cell r="E210">
            <v>0</v>
          </cell>
          <cell r="F210">
            <v>120</v>
          </cell>
        </row>
        <row r="211">
          <cell r="B211" t="str">
            <v xml:space="preserve">ventilátor 3 kW </v>
          </cell>
          <cell r="C211" t="str">
            <v>Ventilátor 3 kW</v>
          </cell>
          <cell r="D211" t="str">
            <v>strojní
dodávka</v>
          </cell>
          <cell r="E211">
            <v>0</v>
          </cell>
          <cell r="F211">
            <v>80</v>
          </cell>
        </row>
        <row r="214">
          <cell r="B214" t="str">
            <v>řs303</v>
          </cell>
          <cell r="C214" t="str">
            <v>Regulátor TR 303</v>
          </cell>
          <cell r="D214" t="str">
            <v>Tecont</v>
          </cell>
          <cell r="E214">
            <v>20500</v>
          </cell>
        </row>
        <row r="215">
          <cell r="B215" t="str">
            <v>řs304</v>
          </cell>
          <cell r="C215" t="str">
            <v>Regulátor TR 304</v>
          </cell>
          <cell r="D215" t="str">
            <v>Tecont</v>
          </cell>
          <cell r="E215">
            <v>23500</v>
          </cell>
        </row>
        <row r="216">
          <cell r="B216" t="str">
            <v>modul322</v>
          </cell>
          <cell r="C216" t="str">
            <v>Rozšiřující modul TR 322</v>
          </cell>
          <cell r="D216" t="str">
            <v>Tecont</v>
          </cell>
          <cell r="E216">
            <v>13500</v>
          </cell>
        </row>
        <row r="217">
          <cell r="B217" t="str">
            <v>ID05</v>
          </cell>
          <cell r="C217" t="str">
            <v>Operátorský panel ID-05, LCD 2x16, RS-232</v>
          </cell>
          <cell r="D217" t="str">
            <v>Teco</v>
          </cell>
          <cell r="E217">
            <v>3750</v>
          </cell>
        </row>
        <row r="219">
          <cell r="B219" t="str">
            <v>SWTECOREG</v>
          </cell>
          <cell r="C219" t="str">
            <v>Aplikační SW pro ŘS TECOREG</v>
          </cell>
          <cell r="D219" t="str">
            <v>Energie MaR</v>
          </cell>
          <cell r="E219">
            <v>500</v>
          </cell>
        </row>
        <row r="221">
          <cell r="B221" t="str">
            <v>CYKY 2Ax1,5-2001</v>
          </cell>
          <cell r="C221" t="str">
            <v>CYKY 2Ax1,5</v>
          </cell>
          <cell r="D221" t="str">
            <v>Elektram/kab</v>
          </cell>
          <cell r="E221">
            <v>5.8</v>
          </cell>
          <cell r="F221">
            <v>2.5</v>
          </cell>
        </row>
        <row r="222">
          <cell r="B222" t="str">
            <v>CYKY 3Cx1,5-2001</v>
          </cell>
          <cell r="C222" t="str">
            <v>CYKY 3Cx1,5</v>
          </cell>
          <cell r="D222" t="str">
            <v>Elektram/kab</v>
          </cell>
          <cell r="E222">
            <v>7.9</v>
          </cell>
          <cell r="F222">
            <v>2.5</v>
          </cell>
        </row>
        <row r="223">
          <cell r="B223" t="str">
            <v>CYKY 3Dx1,5-2001</v>
          </cell>
          <cell r="C223" t="str">
            <v>CYKY 3Cx1,5</v>
          </cell>
          <cell r="D223" t="str">
            <v>Elektram/kab</v>
          </cell>
          <cell r="E223">
            <v>7.9</v>
          </cell>
          <cell r="F223">
            <v>2.5</v>
          </cell>
        </row>
        <row r="224">
          <cell r="B224" t="str">
            <v>CYKY 4Bx1,5-2001</v>
          </cell>
          <cell r="C224" t="str">
            <v>CYKY 4Bx1,5</v>
          </cell>
          <cell r="D224" t="str">
            <v>Elektram/kab</v>
          </cell>
          <cell r="E224">
            <v>10.1</v>
          </cell>
          <cell r="F224">
            <v>2.5</v>
          </cell>
        </row>
        <row r="225">
          <cell r="B225" t="str">
            <v>CYKY 4Bx2,5-2001</v>
          </cell>
          <cell r="C225" t="str">
            <v>CYKY 4Bx2,5</v>
          </cell>
          <cell r="D225" t="str">
            <v>Elektram/kab</v>
          </cell>
          <cell r="E225">
            <v>14.7</v>
          </cell>
          <cell r="F225">
            <v>2.5</v>
          </cell>
        </row>
        <row r="226">
          <cell r="B226" t="str">
            <v>CYKY 4Bx4-2001</v>
          </cell>
          <cell r="C226" t="str">
            <v>CYKY 4Bx4</v>
          </cell>
          <cell r="D226" t="str">
            <v>Elektram/kab</v>
          </cell>
          <cell r="E226">
            <v>22.4</v>
          </cell>
          <cell r="F226">
            <v>3.8</v>
          </cell>
        </row>
        <row r="227">
          <cell r="B227" t="str">
            <v>CYKY 5Cx1,5-2001</v>
          </cell>
          <cell r="C227" t="str">
            <v>CYKY 5Cx1,5</v>
          </cell>
          <cell r="D227" t="str">
            <v>Elektram/kab</v>
          </cell>
          <cell r="E227">
            <v>11.9</v>
          </cell>
          <cell r="F227">
            <v>2.5</v>
          </cell>
        </row>
        <row r="228">
          <cell r="B228" t="str">
            <v>CYKY 5Dx1,5-2001</v>
          </cell>
          <cell r="C228" t="str">
            <v>CYKY 5Dx1,5</v>
          </cell>
          <cell r="D228" t="str">
            <v>Elektram/kab</v>
          </cell>
          <cell r="E228">
            <v>11.9</v>
          </cell>
          <cell r="F228">
            <v>2.5</v>
          </cell>
        </row>
        <row r="229">
          <cell r="B229" t="str">
            <v>CYKY 5Cx35-2001</v>
          </cell>
          <cell r="C229" t="str">
            <v>CYKY 5Cx35</v>
          </cell>
          <cell r="D229" t="str">
            <v>Elektram/kab</v>
          </cell>
          <cell r="E229">
            <v>231.4</v>
          </cell>
          <cell r="F229">
            <v>2.5</v>
          </cell>
        </row>
        <row r="230">
          <cell r="B230" t="str">
            <v>CYKY 2Ax1,5</v>
          </cell>
          <cell r="C230" t="str">
            <v>CYKY 2Ax1,5</v>
          </cell>
          <cell r="D230" t="str">
            <v>Elektram/kab</v>
          </cell>
          <cell r="E230">
            <v>6.5</v>
          </cell>
          <cell r="F230">
            <v>2.5</v>
          </cell>
        </row>
        <row r="231">
          <cell r="B231" t="str">
            <v>CYKY 2Ax2,5</v>
          </cell>
          <cell r="C231" t="str">
            <v>CYKY 2Ax2,5</v>
          </cell>
          <cell r="D231" t="str">
            <v>Elektram/kab</v>
          </cell>
          <cell r="E231">
            <v>9</v>
          </cell>
          <cell r="F231">
            <v>2.5</v>
          </cell>
        </row>
        <row r="232">
          <cell r="B232" t="str">
            <v>CYKY 2Dx1,5</v>
          </cell>
          <cell r="C232" t="str">
            <v>CYKY 2Dx1,5</v>
          </cell>
          <cell r="D232" t="str">
            <v>Elektram/kab</v>
          </cell>
          <cell r="E232">
            <v>7</v>
          </cell>
          <cell r="F232">
            <v>2.5</v>
          </cell>
        </row>
        <row r="233">
          <cell r="B233" t="str">
            <v>CYKY 3Ax1,5-2002</v>
          </cell>
          <cell r="C233" t="str">
            <v>CYKY 3Ax1,5</v>
          </cell>
          <cell r="D233" t="str">
            <v>Elektram/kab</v>
          </cell>
          <cell r="E233">
            <v>7.9</v>
          </cell>
          <cell r="F233">
            <v>2.5</v>
          </cell>
        </row>
        <row r="234">
          <cell r="B234" t="str">
            <v>CYKY 3Bx1,5</v>
          </cell>
          <cell r="C234" t="str">
            <v>CYKY 3Bx1,5</v>
          </cell>
          <cell r="D234" t="str">
            <v>Elektram/kab</v>
          </cell>
          <cell r="E234">
            <v>9.6</v>
          </cell>
          <cell r="F234">
            <v>2.5</v>
          </cell>
        </row>
        <row r="235">
          <cell r="B235" t="str">
            <v>CYKY 3Cx1,5</v>
          </cell>
          <cell r="C235" t="str">
            <v>CYKY 3Cx1,5</v>
          </cell>
          <cell r="D235" t="str">
            <v>Elektram/kab</v>
          </cell>
          <cell r="E235">
            <v>9.6</v>
          </cell>
          <cell r="F235">
            <v>2.5</v>
          </cell>
        </row>
        <row r="236">
          <cell r="B236" t="str">
            <v>CYKY 3Dx1,5</v>
          </cell>
          <cell r="C236" t="str">
            <v>CYKY 3Dx1,5</v>
          </cell>
          <cell r="D236" t="str">
            <v>Elektram/kab</v>
          </cell>
          <cell r="E236">
            <v>8</v>
          </cell>
          <cell r="F236">
            <v>2.5</v>
          </cell>
        </row>
        <row r="237">
          <cell r="B237" t="str">
            <v>CYKY 3Cx2,5</v>
          </cell>
          <cell r="C237" t="str">
            <v>CYKY 3Cx2,5</v>
          </cell>
          <cell r="D237" t="str">
            <v>Elektram/kab</v>
          </cell>
          <cell r="E237">
            <v>16</v>
          </cell>
          <cell r="F237">
            <v>2.5</v>
          </cell>
        </row>
        <row r="238">
          <cell r="B238" t="str">
            <v>CYKY 3Ax2,5</v>
          </cell>
          <cell r="C238" t="str">
            <v>CYKY 3Ax2,5</v>
          </cell>
          <cell r="D238" t="str">
            <v>Elektram/kab</v>
          </cell>
          <cell r="E238">
            <v>16</v>
          </cell>
          <cell r="F238">
            <v>2.5</v>
          </cell>
        </row>
        <row r="239">
          <cell r="B239" t="str">
            <v>CYKY 3Cx4</v>
          </cell>
          <cell r="C239" t="str">
            <v>CYKY 3Cx4</v>
          </cell>
          <cell r="D239" t="str">
            <v>Elektram/kab</v>
          </cell>
          <cell r="E239">
            <v>19</v>
          </cell>
          <cell r="F239">
            <v>2.5</v>
          </cell>
        </row>
        <row r="240">
          <cell r="B240" t="str">
            <v>CYKY 4Cx1,5</v>
          </cell>
          <cell r="C240" t="str">
            <v>CYKY 4Cx1,5</v>
          </cell>
          <cell r="D240" t="str">
            <v>Elektram/kab</v>
          </cell>
          <cell r="E240">
            <v>11</v>
          </cell>
          <cell r="F240">
            <v>2.5</v>
          </cell>
        </row>
        <row r="241">
          <cell r="B241" t="str">
            <v>CYKY 4Bx1,5</v>
          </cell>
          <cell r="C241" t="str">
            <v>CYKY 4Bx1,5</v>
          </cell>
          <cell r="D241" t="str">
            <v>Elektram/kab</v>
          </cell>
          <cell r="E241">
            <v>11</v>
          </cell>
          <cell r="F241">
            <v>2.5</v>
          </cell>
        </row>
        <row r="242">
          <cell r="B242" t="str">
            <v>CYKY 4Bx2,5</v>
          </cell>
          <cell r="C242" t="str">
            <v>CYKY 4Bx2,5</v>
          </cell>
          <cell r="D242" t="str">
            <v>Elektram/kab</v>
          </cell>
          <cell r="E242">
            <v>15</v>
          </cell>
          <cell r="F242">
            <v>2.5</v>
          </cell>
        </row>
        <row r="243">
          <cell r="B243" t="str">
            <v>CYKY 4Bx10</v>
          </cell>
          <cell r="C243" t="str">
            <v>CYKY 4Bx10</v>
          </cell>
          <cell r="D243" t="str">
            <v>Elektram/kab</v>
          </cell>
          <cell r="E243">
            <v>55</v>
          </cell>
          <cell r="F243">
            <v>3.8</v>
          </cell>
        </row>
        <row r="244">
          <cell r="B244" t="str">
            <v>CYKY 4Bx4</v>
          </cell>
          <cell r="C244" t="str">
            <v>CYKY 4Bx4</v>
          </cell>
          <cell r="D244" t="str">
            <v>Elektram/kab</v>
          </cell>
          <cell r="E244">
            <v>32</v>
          </cell>
          <cell r="F244">
            <v>3.8</v>
          </cell>
        </row>
        <row r="245">
          <cell r="B245" t="str">
            <v>CYKY 5Cx1,5</v>
          </cell>
          <cell r="C245" t="str">
            <v>CYKY 5Cx1,5</v>
          </cell>
          <cell r="D245" t="str">
            <v>Elektram/kab</v>
          </cell>
          <cell r="E245">
            <v>15</v>
          </cell>
          <cell r="F245">
            <v>2.5</v>
          </cell>
        </row>
        <row r="246">
          <cell r="B246" t="str">
            <v>CYKY 5Cx2,5</v>
          </cell>
          <cell r="C246" t="str">
            <v>CYKY 5Cx2,5</v>
          </cell>
          <cell r="D246" t="str">
            <v>Elektram/kab</v>
          </cell>
          <cell r="E246">
            <v>23.8</v>
          </cell>
          <cell r="F246">
            <v>2.5</v>
          </cell>
        </row>
        <row r="247">
          <cell r="B247" t="str">
            <v>CYKY 5Cx4</v>
          </cell>
          <cell r="C247" t="str">
            <v>CYKY 5Cx4</v>
          </cell>
          <cell r="D247" t="str">
            <v>Elektram/kab</v>
          </cell>
          <cell r="E247">
            <v>34.299999999999997</v>
          </cell>
          <cell r="F247">
            <v>2.5</v>
          </cell>
        </row>
        <row r="248">
          <cell r="B248" t="str">
            <v>CYKY 5Cx6</v>
          </cell>
          <cell r="C248" t="str">
            <v>CYKY 5Cx6</v>
          </cell>
          <cell r="D248" t="str">
            <v>Elektram/kab</v>
          </cell>
          <cell r="E248">
            <v>38</v>
          </cell>
          <cell r="F248">
            <v>3.8</v>
          </cell>
        </row>
        <row r="249">
          <cell r="B249" t="str">
            <v>CYKY 5Cx10</v>
          </cell>
          <cell r="C249" t="str">
            <v>CYKY 5Cx10</v>
          </cell>
          <cell r="D249" t="str">
            <v>Elektram/kab</v>
          </cell>
          <cell r="E249">
            <v>72</v>
          </cell>
          <cell r="F249">
            <v>3.8</v>
          </cell>
        </row>
        <row r="250">
          <cell r="B250" t="str">
            <v>CYKY 5C x 10</v>
          </cell>
          <cell r="C250" t="str">
            <v>CYKY 5Cx10</v>
          </cell>
          <cell r="D250" t="str">
            <v>Elektram/kab</v>
          </cell>
          <cell r="E250">
            <v>62</v>
          </cell>
          <cell r="F250">
            <v>3.8</v>
          </cell>
        </row>
        <row r="251">
          <cell r="B251" t="str">
            <v>CYKY 7Cx1,5</v>
          </cell>
          <cell r="C251" t="str">
            <v>CYKY 7Cx1,5</v>
          </cell>
          <cell r="D251" t="str">
            <v>Elektram/kab</v>
          </cell>
          <cell r="E251">
            <v>17.2</v>
          </cell>
          <cell r="F251">
            <v>2.5</v>
          </cell>
        </row>
        <row r="252">
          <cell r="B252" t="str">
            <v>CYKY 12Cx1,5</v>
          </cell>
          <cell r="C252" t="str">
            <v>CYKY 12Cx1,5</v>
          </cell>
          <cell r="D252" t="str">
            <v>Elektram/kab</v>
          </cell>
          <cell r="E252">
            <v>34</v>
          </cell>
          <cell r="F252">
            <v>2.5</v>
          </cell>
        </row>
        <row r="253">
          <cell r="B253" t="str">
            <v>CYKY 12x1,5</v>
          </cell>
          <cell r="C253" t="str">
            <v>CYKY 12x1,5</v>
          </cell>
          <cell r="D253" t="str">
            <v>Elektram/kab</v>
          </cell>
          <cell r="E253">
            <v>34</v>
          </cell>
          <cell r="F253">
            <v>2.5</v>
          </cell>
        </row>
        <row r="254">
          <cell r="B254" t="str">
            <v>CYKY 19Cx1,5</v>
          </cell>
          <cell r="C254" t="str">
            <v xml:space="preserve">CYKY 19Cx1,5 </v>
          </cell>
          <cell r="D254" t="str">
            <v>Elektram/kab</v>
          </cell>
          <cell r="E254">
            <v>50.4</v>
          </cell>
          <cell r="F254">
            <v>2.5</v>
          </cell>
        </row>
        <row r="255">
          <cell r="B255" t="str">
            <v>CYKY 4Bx25</v>
          </cell>
          <cell r="C255" t="str">
            <v>CYKY 4Bx25</v>
          </cell>
          <cell r="D255" t="str">
            <v>Elektram/kab</v>
          </cell>
          <cell r="E255">
            <v>50.4</v>
          </cell>
          <cell r="F255">
            <v>2.5</v>
          </cell>
        </row>
        <row r="256">
          <cell r="B256" t="str">
            <v>CGSG 4Bx6</v>
          </cell>
          <cell r="C256" t="str">
            <v>CGSG 4Bx6</v>
          </cell>
          <cell r="D256" t="str">
            <v>Elektram/kab</v>
          </cell>
          <cell r="E256">
            <v>50.4</v>
          </cell>
          <cell r="F256">
            <v>2.5</v>
          </cell>
        </row>
        <row r="258">
          <cell r="B258" t="str">
            <v>TCEPKPFLE 3x4x0,8-DR</v>
          </cell>
          <cell r="C258" t="str">
            <v>TCEPKPFLE 3x4x0,8</v>
          </cell>
          <cell r="D258" t="str">
            <v>Elektram/kab</v>
          </cell>
          <cell r="E258">
            <v>21.3</v>
          </cell>
          <cell r="F258">
            <v>2.5</v>
          </cell>
        </row>
        <row r="259">
          <cell r="B259" t="str">
            <v>TCEPKPFLE 1x4x0,8-DR</v>
          </cell>
          <cell r="C259" t="str">
            <v>TCEPKPFLE 1x4x0,8</v>
          </cell>
          <cell r="D259" t="str">
            <v>Elektram/kab</v>
          </cell>
          <cell r="E259">
            <v>10.3</v>
          </cell>
          <cell r="F259">
            <v>2.5</v>
          </cell>
        </row>
        <row r="260">
          <cell r="B260" t="str">
            <v>Kabelový žlab drátěný FN60</v>
          </cell>
          <cell r="C260" t="str">
            <v>Kabelový žlab drátěný FN60</v>
          </cell>
          <cell r="D260" t="str">
            <v>Elektram/kab</v>
          </cell>
          <cell r="E260">
            <v>110</v>
          </cell>
          <cell r="F260">
            <v>46.6</v>
          </cell>
        </row>
        <row r="261">
          <cell r="B261" t="str">
            <v>Kabelová chránička</v>
          </cell>
          <cell r="C261" t="str">
            <v>Kabelová chránička</v>
          </cell>
          <cell r="D261" t="str">
            <v>Elektram/kab</v>
          </cell>
          <cell r="E261">
            <v>60</v>
          </cell>
          <cell r="F261">
            <v>2.5</v>
          </cell>
        </row>
        <row r="262">
          <cell r="B262" t="str">
            <v>Ukončovací skříně MX</v>
          </cell>
          <cell r="C262" t="str">
            <v>Ukončovací skříně MX</v>
          </cell>
          <cell r="D262" t="str">
            <v>Elektram/kab</v>
          </cell>
          <cell r="E262">
            <v>1300</v>
          </cell>
          <cell r="F262">
            <v>170</v>
          </cell>
        </row>
        <row r="263">
          <cell r="B263" t="str">
            <v>Zatažení a ukončení v objektu</v>
          </cell>
          <cell r="C263" t="str">
            <v>Zatažení a ukončení v objektu</v>
          </cell>
          <cell r="D263" t="str">
            <v>Elektram/kab</v>
          </cell>
          <cell r="E263">
            <v>200</v>
          </cell>
          <cell r="F263">
            <v>50</v>
          </cell>
        </row>
        <row r="264">
          <cell r="B264" t="str">
            <v>Krycí fólie</v>
          </cell>
          <cell r="C264" t="str">
            <v>Krycí fólie</v>
          </cell>
          <cell r="D264" t="str">
            <v>Elektram/kab</v>
          </cell>
          <cell r="E264">
            <v>3</v>
          </cell>
          <cell r="F264">
            <v>0.5</v>
          </cell>
        </row>
        <row r="265">
          <cell r="B265" t="str">
            <v>Kabelová spojka</v>
          </cell>
          <cell r="C265" t="str">
            <v>Kabelová spojka</v>
          </cell>
          <cell r="D265" t="str">
            <v>Elektram/kab</v>
          </cell>
          <cell r="E265">
            <v>1200</v>
          </cell>
          <cell r="F265">
            <v>200</v>
          </cell>
        </row>
        <row r="266">
          <cell r="B266" t="str">
            <v>Proměření kabelů a vystavení protokolů</v>
          </cell>
          <cell r="C266" t="str">
            <v>Proměření kabelů a vystavení protokolů</v>
          </cell>
          <cell r="D266" t="str">
            <v>Energie MaR</v>
          </cell>
          <cell r="E266">
            <v>0</v>
          </cell>
          <cell r="F266">
            <v>35</v>
          </cell>
        </row>
        <row r="268">
          <cell r="B268" t="str">
            <v>V05J-K 16 GNZE</v>
          </cell>
          <cell r="C268" t="str">
            <v>Kabely propojovací a zemnící V05J-K 16 GNZE</v>
          </cell>
          <cell r="D268" t="str">
            <v>MM</v>
          </cell>
        </row>
        <row r="269">
          <cell r="B269" t="str">
            <v>4x1 LAM-DATAPÁR</v>
          </cell>
          <cell r="C269" t="str">
            <v>Kabely komunikační 4x1 LAM-DATAPÁR opletený</v>
          </cell>
          <cell r="D269" t="str">
            <v>MM</v>
          </cell>
        </row>
        <row r="273">
          <cell r="B273" t="str">
            <v>Kabely silové CYKY 4B 2,5qmm</v>
          </cell>
          <cell r="C273" t="str">
            <v>Kabely silové CYKY 4B 2,5qmm</v>
          </cell>
          <cell r="D273" t="str">
            <v>Elektram/kab</v>
          </cell>
          <cell r="E273">
            <v>13.478260869565219</v>
          </cell>
          <cell r="F273">
            <v>2.5</v>
          </cell>
        </row>
        <row r="274">
          <cell r="B274" t="str">
            <v>Kabely silové CYKY 4B 4qmm</v>
          </cell>
          <cell r="C274" t="str">
            <v>Kabely silové CYKY 4B 4qmm</v>
          </cell>
          <cell r="D274" t="str">
            <v>Elektram/kab</v>
          </cell>
          <cell r="E274">
            <v>23.913043478260871</v>
          </cell>
          <cell r="F274">
            <v>2.5</v>
          </cell>
        </row>
        <row r="275">
          <cell r="B275" t="str">
            <v>Kabely silové CYKY 3C 1,5qmm</v>
          </cell>
          <cell r="C275" t="str">
            <v>Kabely silové CYKY 3C 1,5qmm</v>
          </cell>
          <cell r="D275" t="str">
            <v>Elektram/kab</v>
          </cell>
          <cell r="E275">
            <v>8.6956521739130448</v>
          </cell>
          <cell r="F275">
            <v>2.5</v>
          </cell>
        </row>
        <row r="276">
          <cell r="B276" t="str">
            <v>Kabely silové CYKY 3A 1,5qmm</v>
          </cell>
          <cell r="C276" t="str">
            <v>Kabely silové CYKY 3A 1,5qmm</v>
          </cell>
          <cell r="D276" t="str">
            <v>Elektram/kab</v>
          </cell>
          <cell r="E276">
            <v>8.6956521739130448</v>
          </cell>
          <cell r="F276">
            <v>2.5</v>
          </cell>
        </row>
        <row r="277">
          <cell r="B277" t="str">
            <v>Kabely silové CYKY 2A 1,5qmm</v>
          </cell>
          <cell r="C277" t="str">
            <v>Kabely silové CYKY 2A 1,5qmm</v>
          </cell>
          <cell r="D277" t="str">
            <v>Elektram/kab</v>
          </cell>
          <cell r="E277">
            <v>6.6086956521739131</v>
          </cell>
          <cell r="F277">
            <v>2.5</v>
          </cell>
        </row>
        <row r="278">
          <cell r="B278" t="str">
            <v>Kabely měření a regulace JY(ST)Y 1x2x0,8</v>
          </cell>
          <cell r="C278" t="str">
            <v>Kabely měření a regulace JY(ST)Y 1x2x0,8</v>
          </cell>
          <cell r="D278" t="str">
            <v>Elektram/kab</v>
          </cell>
          <cell r="E278">
            <v>4.8695652173913047</v>
          </cell>
          <cell r="F278">
            <v>2.5</v>
          </cell>
        </row>
        <row r="279">
          <cell r="B279" t="str">
            <v>Kabely měření a regulace JY(ST)Y 2x2x0,8</v>
          </cell>
          <cell r="C279" t="str">
            <v>Kabely měření a regulace JY(ST)Y 2x2x0,8</v>
          </cell>
          <cell r="D279" t="str">
            <v>Elektram/kab</v>
          </cell>
          <cell r="E279">
            <v>6.3478260869565224</v>
          </cell>
          <cell r="F279">
            <v>2.5</v>
          </cell>
        </row>
        <row r="280">
          <cell r="B280" t="str">
            <v>Kabely měření do země TCEKFE 4P-0,8</v>
          </cell>
          <cell r="C280" t="str">
            <v>Kabely měření do země TCEKFE 4P-0,8</v>
          </cell>
          <cell r="D280" t="str">
            <v>Elektram/kab</v>
          </cell>
          <cell r="E280">
            <v>20.869565217391305</v>
          </cell>
          <cell r="F280">
            <v>2.5</v>
          </cell>
        </row>
        <row r="281">
          <cell r="B281" t="str">
            <v>Kabely měření do země TCEKFE 1P-0,8</v>
          </cell>
          <cell r="C281" t="str">
            <v>Kabely měření do země TCEKFE 1P-0,8</v>
          </cell>
          <cell r="D281" t="str">
            <v>Elektram/kab</v>
          </cell>
          <cell r="E281">
            <v>10</v>
          </cell>
          <cell r="F281">
            <v>2.5</v>
          </cell>
        </row>
        <row r="282">
          <cell r="B282" t="str">
            <v>Kabely propojovací a zemnící V05J-K 16 GNYE</v>
          </cell>
          <cell r="C282" t="str">
            <v>Kabely propojovací a zemnící V05J-K 16 GNYE</v>
          </cell>
          <cell r="D282" t="str">
            <v>Elektram/kab</v>
          </cell>
          <cell r="E282">
            <v>13.043478260869566</v>
          </cell>
          <cell r="F282">
            <v>2.5</v>
          </cell>
        </row>
        <row r="283">
          <cell r="B283" t="str">
            <v>Kabely komunikační 4x1 LAM-DATAPÁR opletený</v>
          </cell>
          <cell r="C283" t="str">
            <v>Kabely komunikační 4x1 LAM-DATAPÁR opletený</v>
          </cell>
          <cell r="D283" t="str">
            <v>Elektram/kab</v>
          </cell>
          <cell r="E283">
            <v>14.782608695652176</v>
          </cell>
          <cell r="F283">
            <v>2.5</v>
          </cell>
        </row>
        <row r="284">
          <cell r="D284" t="str">
            <v>MM</v>
          </cell>
        </row>
        <row r="285">
          <cell r="B285" t="str">
            <v>Spojovací a montážní materiál, nosné pomocné</v>
          </cell>
          <cell r="C285" t="str">
            <v>Spojovací a montážní materiál, nosné pomocné
ocelové konstrukce pro kabelové vedení MaR</v>
          </cell>
          <cell r="D285" t="str">
            <v>MM</v>
          </cell>
          <cell r="E285">
            <v>869.56521739130437</v>
          </cell>
          <cell r="F285">
            <v>0</v>
          </cell>
        </row>
        <row r="286">
          <cell r="B286" t="str">
            <v>Kabelové žlaby vč. Víka MARS 62x50 měření a regul.</v>
          </cell>
          <cell r="C286" t="str">
            <v>Kabelové žlaby vč. Víka MARS 62x50 měření a regul.</v>
          </cell>
          <cell r="D286" t="str">
            <v>MM</v>
          </cell>
          <cell r="E286">
            <v>170.43478260869566</v>
          </cell>
          <cell r="F286">
            <v>50</v>
          </cell>
        </row>
        <row r="287">
          <cell r="B287" t="str">
            <v>Kabelový ocelový rošt š 400mm pro vedení MaR</v>
          </cell>
          <cell r="C287" t="str">
            <v>Kabelový ocelový rošt š 400mm pro vedení MaR
vč. závěsu pro uchycení na stěnu do betonu</v>
          </cell>
          <cell r="D287" t="str">
            <v>MM</v>
          </cell>
          <cell r="E287">
            <v>165.21739130434784</v>
          </cell>
          <cell r="F287">
            <v>50</v>
          </cell>
        </row>
        <row r="288">
          <cell r="B288" t="str">
            <v>Kabelové žlaby vč. Víka MARS 62x50 silnoproud</v>
          </cell>
          <cell r="C288" t="str">
            <v>Kabelové žlaby vč. Víka MARS 62x50 silnoproud</v>
          </cell>
          <cell r="D288" t="str">
            <v>MM</v>
          </cell>
          <cell r="E288">
            <v>170.43478260869566</v>
          </cell>
          <cell r="F288">
            <v>50</v>
          </cell>
        </row>
        <row r="289">
          <cell r="B289" t="str">
            <v>Koleno MARS 62x50 žlabu vč.víka</v>
          </cell>
          <cell r="C289" t="str">
            <v>Koleno MARS 62x50 žlabu vč.víka</v>
          </cell>
          <cell r="D289" t="str">
            <v>MM</v>
          </cell>
          <cell r="E289">
            <v>160.86956521739131</v>
          </cell>
          <cell r="F289">
            <v>50</v>
          </cell>
        </row>
        <row r="290">
          <cell r="B290" t="str">
            <v>T kus MARS 62x50 žlabu vč.víka</v>
          </cell>
          <cell r="C290" t="str">
            <v>T kus MARS 62x50 žlabu vč.víka</v>
          </cell>
          <cell r="D290" t="str">
            <v>MM</v>
          </cell>
          <cell r="E290">
            <v>173.91304347826087</v>
          </cell>
          <cell r="F290">
            <v>50</v>
          </cell>
        </row>
        <row r="291">
          <cell r="B291" t="str">
            <v>Lišta DIN TS 35/50</v>
          </cell>
          <cell r="C291" t="str">
            <v>Lišta DIN TS 35/50</v>
          </cell>
          <cell r="D291" t="str">
            <v>MM</v>
          </cell>
          <cell r="E291">
            <v>39.130434782608695</v>
          </cell>
          <cell r="F291">
            <v>6.25</v>
          </cell>
        </row>
        <row r="292">
          <cell r="B292" t="str">
            <v>Příchytka M-Quick 2</v>
          </cell>
          <cell r="C292" t="str">
            <v>Příchytka M-Quick 2</v>
          </cell>
          <cell r="D292" t="str">
            <v>MM</v>
          </cell>
          <cell r="E292">
            <v>3.0434782608695654</v>
          </cell>
          <cell r="F292">
            <v>2.5</v>
          </cell>
        </row>
        <row r="293">
          <cell r="B293" t="str">
            <v>Příchytka M-Quick 3</v>
          </cell>
          <cell r="C293" t="str">
            <v>Příchytka M-Quick 3</v>
          </cell>
          <cell r="D293" t="str">
            <v>MM</v>
          </cell>
          <cell r="E293">
            <v>3.9130434782608701</v>
          </cell>
          <cell r="F293">
            <v>2.5</v>
          </cell>
        </row>
        <row r="294">
          <cell r="B294" t="str">
            <v>PVC novodurová roura 2323</v>
          </cell>
          <cell r="C294" t="str">
            <v>PVC novodurová roura 2323</v>
          </cell>
          <cell r="D294" t="str">
            <v>MM</v>
          </cell>
          <cell r="E294">
            <v>6.9565217391304355</v>
          </cell>
          <cell r="F294">
            <v>3</v>
          </cell>
        </row>
        <row r="295">
          <cell r="B295" t="str">
            <v>PVC novodurová roura 2329</v>
          </cell>
          <cell r="C295" t="str">
            <v>PVC novodurová roura 2329</v>
          </cell>
          <cell r="D295" t="str">
            <v>MM</v>
          </cell>
          <cell r="E295">
            <v>10.869565217391305</v>
          </cell>
          <cell r="F295">
            <v>3</v>
          </cell>
        </row>
        <row r="296">
          <cell r="B296" t="str">
            <v>PVC novodurová roura 2336</v>
          </cell>
          <cell r="C296" t="str">
            <v>PVC novodurová roura 2336</v>
          </cell>
          <cell r="D296" t="str">
            <v>MM</v>
          </cell>
          <cell r="E296">
            <v>12.173913043478262</v>
          </cell>
          <cell r="F296">
            <v>3</v>
          </cell>
        </row>
        <row r="297">
          <cell r="B297" t="str">
            <v>Vývodky Pg 13,5 komplet</v>
          </cell>
          <cell r="C297" t="str">
            <v>Vývodky Pg 13,5 komplet</v>
          </cell>
          <cell r="D297" t="str">
            <v>MM</v>
          </cell>
          <cell r="E297">
            <v>7.8260869565217401</v>
          </cell>
          <cell r="F297">
            <v>2.5</v>
          </cell>
        </row>
        <row r="298">
          <cell r="B298" t="str">
            <v>Trhací nýt 4x8</v>
          </cell>
          <cell r="C298" t="str">
            <v>Trhací nýt 4x8</v>
          </cell>
          <cell r="D298" t="str">
            <v>MM</v>
          </cell>
          <cell r="E298">
            <v>1.7391304347826089</v>
          </cell>
          <cell r="F298">
            <v>1.25</v>
          </cell>
        </row>
        <row r="299">
          <cell r="B299" t="str">
            <v>PE držák rour</v>
          </cell>
          <cell r="C299" t="str">
            <v>PE držák rour</v>
          </cell>
          <cell r="D299" t="str">
            <v>MM</v>
          </cell>
          <cell r="E299">
            <v>4.3478260869565224</v>
          </cell>
          <cell r="F299">
            <v>2.5</v>
          </cell>
        </row>
        <row r="300">
          <cell r="B300" t="str">
            <v>Páska DYMO 40913 9 mm</v>
          </cell>
          <cell r="C300" t="str">
            <v>Páska DYMO 40913 9 mm</v>
          </cell>
          <cell r="D300" t="str">
            <v>MM</v>
          </cell>
          <cell r="E300">
            <v>52.173913043478265</v>
          </cell>
          <cell r="F300">
            <v>0</v>
          </cell>
        </row>
        <row r="301">
          <cell r="B301" t="str">
            <v>Drobný spojovací matriál</v>
          </cell>
          <cell r="C301" t="str">
            <v>Drobný spojovací matriál</v>
          </cell>
          <cell r="D301" t="str">
            <v>MM</v>
          </cell>
          <cell r="E301">
            <v>86.956521739130437</v>
          </cell>
          <cell r="F301">
            <v>0</v>
          </cell>
        </row>
        <row r="302">
          <cell r="B302" t="str">
            <v>Trubky ocelové pr.30mm</v>
          </cell>
          <cell r="C302" t="str">
            <v>Trubky ocelové pr.30mm</v>
          </cell>
          <cell r="D302" t="str">
            <v>MM</v>
          </cell>
          <cell r="E302">
            <v>48.695652173913047</v>
          </cell>
          <cell r="F302">
            <v>7.5</v>
          </cell>
        </row>
        <row r="303">
          <cell r="B303" t="str">
            <v>Ocelové příchytky SONAP</v>
          </cell>
          <cell r="C303" t="str">
            <v>Ocelové příchytky SONAP</v>
          </cell>
          <cell r="D303" t="str">
            <v>MM</v>
          </cell>
          <cell r="E303">
            <v>13.043478260869566</v>
          </cell>
          <cell r="F303">
            <v>2.5</v>
          </cell>
        </row>
        <row r="304">
          <cell r="B304" t="str">
            <v>Elektroinstalační krabice Hensel s řadovými</v>
          </cell>
          <cell r="C304" t="str">
            <v>Elektroinstalační krabice Hensel s řadovými
svorkami K9101/CR, vč.6ks Pg16 vývodek</v>
          </cell>
          <cell r="D304" t="str">
            <v>MM</v>
          </cell>
          <cell r="E304">
            <v>534.78260869565224</v>
          </cell>
          <cell r="F304">
            <v>37.5</v>
          </cell>
        </row>
        <row r="305">
          <cell r="B305" t="str">
            <v>PVC chránička průměr 100 pod silnicí</v>
          </cell>
          <cell r="C305" t="str">
            <v>PVC chránička průměr 100 pod silnicí</v>
          </cell>
          <cell r="D305" t="str">
            <v>MM</v>
          </cell>
          <cell r="E305">
            <v>69.565217391304358</v>
          </cell>
          <cell r="F305">
            <v>3</v>
          </cell>
        </row>
        <row r="306">
          <cell r="B306" t="str">
            <v>PVC ohebná kabelová ochranná roura pr.50  KOPOS</v>
          </cell>
          <cell r="C306" t="str">
            <v>PVC ohebná kabelová ochranná roura pr.50  KOPOS</v>
          </cell>
          <cell r="D306" t="str">
            <v>MM</v>
          </cell>
          <cell r="E306">
            <v>13.739130434782611</v>
          </cell>
          <cell r="F306">
            <v>3</v>
          </cell>
        </row>
        <row r="307">
          <cell r="B307" t="str">
            <v>Kabelový výkop hl 80 š 50 pro kabelové vedení</v>
          </cell>
          <cell r="C307" t="str">
            <v>Kabelový výkop hl 80 š 50 pro kabelové vedení
vč.pískového lože</v>
          </cell>
          <cell r="D307" t="str">
            <v>MM</v>
          </cell>
          <cell r="E307">
            <v>0</v>
          </cell>
          <cell r="F307">
            <v>100</v>
          </cell>
        </row>
        <row r="308">
          <cell r="B308" t="str">
            <v>PE výstražná folie pro el.zemní vedení</v>
          </cell>
          <cell r="C308" t="str">
            <v>PE výstražná folie pro el.zemní vedení</v>
          </cell>
          <cell r="D308" t="str">
            <v>MM</v>
          </cell>
          <cell r="E308">
            <v>2.6086956521739131</v>
          </cell>
          <cell r="F308">
            <v>0.5</v>
          </cell>
        </row>
        <row r="309">
          <cell r="B309" t="str">
            <v>Nátěrová hmota na železo</v>
          </cell>
          <cell r="C309" t="str">
            <v>Nátěrová hmota na železo</v>
          </cell>
          <cell r="D309" t="str">
            <v>MM</v>
          </cell>
          <cell r="E309">
            <v>173.91304347826087</v>
          </cell>
          <cell r="F309">
            <v>75</v>
          </cell>
        </row>
        <row r="310">
          <cell r="B310" t="str">
            <v>PU pěna nebo těsnící materiál</v>
          </cell>
          <cell r="C310" t="str">
            <v>PU pěna nebo těsnící materiál</v>
          </cell>
          <cell r="D310" t="str">
            <v>MM</v>
          </cell>
          <cell r="E310">
            <v>434.78260869565219</v>
          </cell>
          <cell r="F310">
            <v>25</v>
          </cell>
        </row>
        <row r="313">
          <cell r="B313" t="str">
            <v>Skříňový rozvaděč 2000x800x600 sokl 100
krytí IP40, vývod spodem, RAL7032, kompletní</v>
          </cell>
          <cell r="C313" t="str">
            <v>Skříňový rozvaděč 2000x800x600 sokl 100
krytí IP40, vývod spodem, RAL7032, kompletní</v>
          </cell>
          <cell r="D313" t="str">
            <v>rozv</v>
          </cell>
          <cell r="E313">
            <v>29910</v>
          </cell>
          <cell r="F313">
            <v>400</v>
          </cell>
        </row>
        <row r="314">
          <cell r="B314" t="str">
            <v>Jištění 6A/230V s pom. Kontakty</v>
          </cell>
          <cell r="C314" t="str">
            <v>Jištění 6A/230V s pom. Kontakty</v>
          </cell>
          <cell r="D314" t="str">
            <v>rozv</v>
          </cell>
          <cell r="E314">
            <v>266</v>
          </cell>
        </row>
        <row r="315">
          <cell r="B315" t="str">
            <v>Jištění 16A/230V s pom. Kontakty</v>
          </cell>
          <cell r="C315" t="str">
            <v>Jištění 16A/230V s pom. Kontakty</v>
          </cell>
          <cell r="D315" t="str">
            <v>rozv</v>
          </cell>
          <cell r="E315">
            <v>252</v>
          </cell>
        </row>
        <row r="316">
          <cell r="B316" t="str">
            <v>Řídící systém PDC2 SAIA * viz bod b)</v>
          </cell>
          <cell r="C316" t="str">
            <v>Řídící systém PDC2 SAIA * viz bod b)</v>
          </cell>
          <cell r="D316" t="str">
            <v>rozv</v>
          </cell>
        </row>
        <row r="317">
          <cell r="B317" t="str">
            <v>Svorky Phoenix do 2,5qmm</v>
          </cell>
          <cell r="C317" t="str">
            <v>Svorky Phoenix do 2,5qmm</v>
          </cell>
          <cell r="D317" t="str">
            <v>rozv</v>
          </cell>
          <cell r="E317">
            <v>20</v>
          </cell>
        </row>
        <row r="318">
          <cell r="B318" t="str">
            <v>Pomocné napájecí vývody do 4A/230V</v>
          </cell>
          <cell r="C318" t="str">
            <v>Pomocné napájecí vývody do 4A/230V</v>
          </cell>
          <cell r="D318" t="str">
            <v>rozv</v>
          </cell>
          <cell r="E318">
            <v>380</v>
          </cell>
        </row>
        <row r="319">
          <cell r="B319" t="str">
            <v>Rozjišťovací desky pojistek 24V s optickým
výstupem sumární poruchy</v>
          </cell>
          <cell r="C319" t="str">
            <v>Rozjišťovací desky pojistek 24V s optickým
výstupem sumární poruchy</v>
          </cell>
          <cell r="D319" t="str">
            <v>rozv</v>
          </cell>
          <cell r="E319">
            <v>1500</v>
          </cell>
        </row>
        <row r="320">
          <cell r="B320" t="str">
            <v>Mikrorelé Finder 6mm 24VDC vč. Patice</v>
          </cell>
          <cell r="C320" t="str">
            <v>Mikrorelé Finder 6mm 24VDC vč. Patice</v>
          </cell>
          <cell r="D320" t="str">
            <v>rozv</v>
          </cell>
          <cell r="E320">
            <v>150</v>
          </cell>
        </row>
        <row r="321">
          <cell r="B321" t="str">
            <v>Napájecí zdroj 24VDC-8A</v>
          </cell>
          <cell r="C321" t="str">
            <v>Napájecí zdroj 24VDC-8A</v>
          </cell>
          <cell r="D321" t="str">
            <v>rozv</v>
          </cell>
          <cell r="E321">
            <v>900</v>
          </cell>
        </row>
        <row r="322">
          <cell r="B322" t="str">
            <v>Napájecí zdroj 24VAC-300VA</v>
          </cell>
          <cell r="C322" t="str">
            <v>Napájecí zdroj 24VAC-300VA</v>
          </cell>
          <cell r="D322" t="str">
            <v>rozv</v>
          </cell>
          <cell r="E322">
            <v>5750</v>
          </cell>
        </row>
        <row r="323">
          <cell r="B323" t="str">
            <v>Vnitřní osvětlení skříně - zářivková trubice kompl.</v>
          </cell>
          <cell r="C323" t="str">
            <v>Vnitřní osvětlení skříně - zářivková trubice kompl.</v>
          </cell>
          <cell r="D323" t="str">
            <v>rozv</v>
          </cell>
          <cell r="E323">
            <v>1025</v>
          </cell>
        </row>
        <row r="324">
          <cell r="B324" t="str">
            <v>Servisní zásuvka 230V/10A</v>
          </cell>
          <cell r="C324" t="str">
            <v>Servisní zásuvka 230V/10A</v>
          </cell>
          <cell r="D324" t="str">
            <v>rozv</v>
          </cell>
          <cell r="E324">
            <v>147</v>
          </cell>
        </row>
        <row r="325">
          <cell r="B325" t="str">
            <v>Přepěťová ochrana sítě 230V 3.stupně</v>
          </cell>
          <cell r="C325" t="str">
            <v>Přepěťová ochrana sítě 230V 3.stupně</v>
          </cell>
          <cell r="D325" t="str">
            <v>rozv</v>
          </cell>
          <cell r="E325">
            <v>1725</v>
          </cell>
        </row>
        <row r="326">
          <cell r="B326" t="str">
            <v>Přepěťová ochrana linky komunikace RS485</v>
          </cell>
          <cell r="C326" t="str">
            <v>Přepěťová ochrana linky komunikace RS485</v>
          </cell>
          <cell r="D326" t="str">
            <v>rozv</v>
          </cell>
          <cell r="E326">
            <v>1245</v>
          </cell>
        </row>
      </sheetData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položky"/>
      <sheetName val="app_6"/>
      <sheetName val="dodav"/>
    </sheetNames>
    <sheetDataSet>
      <sheetData sheetId="0"/>
      <sheetData sheetId="1"/>
      <sheetData sheetId="2"/>
      <sheetData sheetId="3">
        <row r="22">
          <cell r="C22">
            <v>24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</sheetNames>
    <sheetDataSet>
      <sheetData sheetId="0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Ost"/>
      <sheetName val="NabMakra"/>
      <sheetName val="mar"/>
      <sheetName val="dodav"/>
    </sheetNames>
    <sheetDataSet>
      <sheetData sheetId="0"/>
      <sheetData sheetId="1"/>
      <sheetData sheetId="2"/>
      <sheetData sheetId="3">
        <row r="22">
          <cell r="I22">
            <v>1.2950190000000001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TERIAL"/>
      <sheetName val="MZDY"/>
      <sheetName val="KONSTRUKCE"/>
      <sheetName val="SEZNAM"/>
      <sheetName val="soupis mezd"/>
      <sheetName val="List4"/>
      <sheetName val="List1"/>
      <sheetName val="SOUPIS MAT."/>
      <sheetName val="OBALKA"/>
      <sheetName val="chybí"/>
      <sheetName val="mar"/>
      <sheetName val="dodav"/>
      <sheetName val="Rekapitulace"/>
    </sheetNames>
    <sheetDataSet>
      <sheetData sheetId="0">
        <row r="87">
          <cell r="B87" t="str">
            <v>Donn Novatone Fissured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dum A"/>
      <sheetName val="dum B"/>
      <sheetName val="dum C"/>
      <sheetName val="Hrubá"/>
      <sheetName val="Místnosti"/>
      <sheetName val="Povrchy"/>
      <sheetName val="Tabulky"/>
      <sheetName val="Piloty"/>
      <sheetName val="Kritéria"/>
      <sheetName val="úprava faktury"/>
      <sheetName val="dodav"/>
      <sheetName val="Stavba"/>
    </sheetNames>
    <sheetDataSet>
      <sheetData sheetId="0"/>
      <sheetData sheetId="1"/>
      <sheetData sheetId="2"/>
      <sheetData sheetId="3"/>
      <sheetData sheetId="4">
        <row r="11">
          <cell r="G11">
            <v>129.1</v>
          </cell>
        </row>
      </sheetData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.  SO 02"/>
      <sheetName val="Sešit3"/>
      <sheetName val="Rekapitulace"/>
      <sheetName val="položky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. elektr."/>
      <sheetName val="Rob. zewn. i budowl."/>
      <sheetName val="Instalacje sanitarne, ppoż."/>
      <sheetName val="Sieci zewn."/>
      <sheetName val="Inst. energetyczne"/>
      <sheetName val="Rob_ elektr_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a"/>
      <sheetName val="Lbc"/>
      <sheetName val="Nákl"/>
      <sheetName val="Rozp"/>
      <sheetName val="CS"/>
      <sheetName val="LON"/>
      <sheetName val="Hwl"/>
      <sheetName val="Lan"/>
      <sheetName val="Rozv"/>
      <sheetName val="COP"/>
      <sheetName val="Silno"/>
      <sheetName val="AnlgSním"/>
      <sheetName val="Kab"/>
      <sheetName val="BinSním"/>
      <sheetName val="VentPoh"/>
      <sheetName val="KabelyElis"/>
      <sheetName val="Ost"/>
      <sheetName val="NabMak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boty sanitarne"/>
      <sheetName val="Roboty budowlane"/>
      <sheetName val="Roboty elektryczne"/>
    </sheetNames>
    <sheetDataSet>
      <sheetData sheetId="0"/>
      <sheetData sheetId="1"/>
      <sheetData sheetId="2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O 51.4 Výkaz výměr"/>
      <sheetName val="SO 51_4 Výkaz výměr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BB149"/>
  <sheetViews>
    <sheetView showGridLines="0" view="pageBreakPreview" zoomScaleNormal="100" zoomScaleSheetLayoutView="100" workbookViewId="0">
      <pane ySplit="1" topLeftCell="A2" activePane="bottomLeft" state="frozen"/>
      <selection activeCell="C2" sqref="C2:AP2"/>
      <selection pane="bottomLeft" activeCell="K4" sqref="K4:AO4"/>
    </sheetView>
  </sheetViews>
  <sheetFormatPr defaultColWidth="9.33203125" defaultRowHeight="11.25" outlineLevelCol="1"/>
  <cols>
    <col min="1" max="1" width="8.33203125" style="236" customWidth="1"/>
    <col min="2" max="2" width="1.6640625" style="236" customWidth="1"/>
    <col min="3" max="3" width="4.1640625" style="236" customWidth="1"/>
    <col min="4" max="7" width="2.5" style="236" customWidth="1"/>
    <col min="8" max="8" width="9.33203125" style="236" customWidth="1"/>
    <col min="9" max="25" width="2.5" style="236" customWidth="1"/>
    <col min="26" max="26" width="4.5" style="236" customWidth="1"/>
    <col min="27" max="33" width="2.5" style="236" customWidth="1"/>
    <col min="34" max="34" width="3.33203125" style="236" customWidth="1"/>
    <col min="35" max="37" width="2.5" style="236" customWidth="1"/>
    <col min="38" max="38" width="8.33203125" style="236" customWidth="1"/>
    <col min="39" max="39" width="3.33203125" style="236" customWidth="1"/>
    <col min="40" max="40" width="13.33203125" style="236" customWidth="1"/>
    <col min="41" max="41" width="7.5" style="236" customWidth="1"/>
    <col min="42" max="42" width="4.1640625" style="236" customWidth="1"/>
    <col min="43" max="43" width="1.6640625" style="236" customWidth="1"/>
    <col min="44" max="44" width="3" style="236" customWidth="1"/>
    <col min="45" max="45" width="13.83203125" style="236" hidden="1" customWidth="1" outlineLevel="1"/>
    <col min="46" max="46" width="28.1640625" style="236" hidden="1" customWidth="1" outlineLevel="1"/>
    <col min="47" max="48" width="0" style="236" hidden="1" customWidth="1" outlineLevel="1"/>
    <col min="49" max="49" width="28.1640625" style="236" hidden="1" customWidth="1" outlineLevel="1"/>
    <col min="50" max="50" width="0" style="236" hidden="1" customWidth="1" outlineLevel="1"/>
    <col min="51" max="51" width="13.83203125" style="236" hidden="1" customWidth="1" outlineLevel="1"/>
    <col min="52" max="53" width="0" style="236" hidden="1" customWidth="1" outlineLevel="1"/>
    <col min="54" max="54" width="9.33203125" style="236" collapsed="1"/>
    <col min="55" max="16384" width="9.33203125" style="236"/>
  </cols>
  <sheetData>
    <row r="1" spans="2:43" ht="6.95" customHeight="1">
      <c r="B1" s="233"/>
      <c r="C1" s="234"/>
      <c r="D1" s="234"/>
      <c r="E1" s="234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4"/>
      <c r="U1" s="234"/>
      <c r="V1" s="234"/>
      <c r="W1" s="234"/>
      <c r="X1" s="234"/>
      <c r="Y1" s="234"/>
      <c r="Z1" s="234"/>
      <c r="AA1" s="234"/>
      <c r="AB1" s="234"/>
      <c r="AC1" s="234"/>
      <c r="AD1" s="234"/>
      <c r="AE1" s="234"/>
      <c r="AF1" s="234"/>
      <c r="AG1" s="234"/>
      <c r="AH1" s="234"/>
      <c r="AI1" s="234"/>
      <c r="AJ1" s="234"/>
      <c r="AK1" s="234"/>
      <c r="AL1" s="234"/>
      <c r="AM1" s="234"/>
      <c r="AN1" s="234"/>
      <c r="AO1" s="234"/>
      <c r="AP1" s="234"/>
      <c r="AQ1" s="235"/>
    </row>
    <row r="2" spans="2:43" ht="36.950000000000003" customHeight="1">
      <c r="B2" s="237"/>
      <c r="C2" s="697" t="s">
        <v>1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698"/>
      <c r="U2" s="698"/>
      <c r="V2" s="698"/>
      <c r="W2" s="698"/>
      <c r="X2" s="698"/>
      <c r="Y2" s="698"/>
      <c r="Z2" s="698"/>
      <c r="AA2" s="698"/>
      <c r="AB2" s="698"/>
      <c r="AC2" s="698"/>
      <c r="AD2" s="698"/>
      <c r="AE2" s="698"/>
      <c r="AF2" s="698"/>
      <c r="AG2" s="698"/>
      <c r="AH2" s="698"/>
      <c r="AI2" s="698"/>
      <c r="AJ2" s="698"/>
      <c r="AK2" s="698"/>
      <c r="AL2" s="698"/>
      <c r="AM2" s="698"/>
      <c r="AN2" s="698"/>
      <c r="AO2" s="698"/>
      <c r="AP2" s="698"/>
      <c r="AQ2" s="238"/>
    </row>
    <row r="3" spans="2:43" ht="14.45" customHeight="1">
      <c r="B3" s="237"/>
      <c r="D3" s="239" t="s">
        <v>2</v>
      </c>
      <c r="K3" s="692">
        <v>2205</v>
      </c>
      <c r="L3" s="671"/>
      <c r="M3" s="671"/>
      <c r="N3" s="671"/>
      <c r="O3" s="671"/>
      <c r="P3" s="671"/>
      <c r="Q3" s="671"/>
      <c r="R3" s="671"/>
      <c r="S3" s="671"/>
      <c r="T3" s="671"/>
      <c r="U3" s="671"/>
      <c r="V3" s="671"/>
      <c r="W3" s="671"/>
      <c r="X3" s="671"/>
      <c r="Y3" s="671"/>
      <c r="Z3" s="671"/>
      <c r="AA3" s="671"/>
      <c r="AB3" s="671"/>
      <c r="AC3" s="671"/>
      <c r="AD3" s="671"/>
      <c r="AE3" s="671"/>
      <c r="AF3" s="671"/>
      <c r="AG3" s="671"/>
      <c r="AH3" s="671"/>
      <c r="AI3" s="671"/>
      <c r="AJ3" s="671"/>
      <c r="AK3" s="671"/>
      <c r="AL3" s="671"/>
      <c r="AM3" s="671"/>
      <c r="AN3" s="671"/>
      <c r="AO3" s="671"/>
      <c r="AQ3" s="238"/>
    </row>
    <row r="4" spans="2:43" ht="36.950000000000003" customHeight="1">
      <c r="B4" s="237"/>
      <c r="D4" s="241" t="s">
        <v>3</v>
      </c>
      <c r="K4" s="691" t="s">
        <v>595</v>
      </c>
      <c r="L4" s="671"/>
      <c r="M4" s="671"/>
      <c r="N4" s="671"/>
      <c r="O4" s="671"/>
      <c r="P4" s="671"/>
      <c r="Q4" s="671"/>
      <c r="R4" s="671"/>
      <c r="S4" s="671"/>
      <c r="T4" s="671"/>
      <c r="U4" s="671"/>
      <c r="V4" s="671"/>
      <c r="W4" s="671"/>
      <c r="X4" s="671"/>
      <c r="Y4" s="671"/>
      <c r="Z4" s="671"/>
      <c r="AA4" s="671"/>
      <c r="AB4" s="671"/>
      <c r="AC4" s="671"/>
      <c r="AD4" s="671"/>
      <c r="AE4" s="671"/>
      <c r="AF4" s="671"/>
      <c r="AG4" s="671"/>
      <c r="AH4" s="671"/>
      <c r="AI4" s="671"/>
      <c r="AJ4" s="671"/>
      <c r="AK4" s="671"/>
      <c r="AL4" s="671"/>
      <c r="AM4" s="671"/>
      <c r="AN4" s="671"/>
      <c r="AO4" s="671"/>
      <c r="AQ4" s="238"/>
    </row>
    <row r="5" spans="2:43" ht="14.45" customHeight="1">
      <c r="B5" s="237"/>
      <c r="D5" s="239" t="s">
        <v>4</v>
      </c>
      <c r="K5" s="240" t="s">
        <v>0</v>
      </c>
      <c r="AK5" s="239" t="s">
        <v>5</v>
      </c>
      <c r="AN5" s="240" t="s">
        <v>0</v>
      </c>
      <c r="AQ5" s="238"/>
    </row>
    <row r="6" spans="2:43" ht="36" customHeight="1">
      <c r="B6" s="237"/>
      <c r="D6" s="239" t="s">
        <v>6</v>
      </c>
      <c r="K6" s="706" t="s">
        <v>596</v>
      </c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6"/>
      <c r="AA6" s="706"/>
      <c r="AB6" s="706"/>
      <c r="AC6" s="706"/>
      <c r="AD6" s="706"/>
      <c r="AE6" s="706"/>
      <c r="AF6" s="706"/>
      <c r="AG6" s="706"/>
      <c r="AH6" s="706"/>
      <c r="AI6" s="706"/>
      <c r="AJ6" s="706"/>
      <c r="AK6" s="239" t="s">
        <v>7</v>
      </c>
      <c r="AN6" s="71"/>
      <c r="AQ6" s="238"/>
    </row>
    <row r="7" spans="2:43" ht="14.45" customHeight="1">
      <c r="B7" s="237"/>
      <c r="AQ7" s="238"/>
    </row>
    <row r="8" spans="2:43" ht="14.45" customHeight="1">
      <c r="B8" s="237"/>
      <c r="D8" s="239" t="s">
        <v>8</v>
      </c>
      <c r="K8" s="236" t="s">
        <v>597</v>
      </c>
      <c r="AK8" s="239" t="s">
        <v>9</v>
      </c>
      <c r="AN8" s="240" t="s">
        <v>0</v>
      </c>
      <c r="AQ8" s="238"/>
    </row>
    <row r="9" spans="2:43" ht="18.399999999999999" customHeight="1">
      <c r="B9" s="237"/>
      <c r="E9" s="240"/>
      <c r="AK9" s="239" t="s">
        <v>10</v>
      </c>
      <c r="AN9" s="240" t="s">
        <v>0</v>
      </c>
      <c r="AQ9" s="238"/>
    </row>
    <row r="10" spans="2:43" ht="6.95" customHeight="1">
      <c r="B10" s="237"/>
      <c r="AQ10" s="238"/>
    </row>
    <row r="11" spans="2:43" ht="14.45" customHeight="1">
      <c r="B11" s="237"/>
      <c r="D11" s="239" t="s">
        <v>11</v>
      </c>
      <c r="K11" s="707"/>
      <c r="L11" s="707"/>
      <c r="M11" s="707"/>
      <c r="N11" s="707"/>
      <c r="O11" s="707"/>
      <c r="P11" s="707"/>
      <c r="Q11" s="707"/>
      <c r="R11" s="707"/>
      <c r="S11" s="707"/>
      <c r="T11" s="707"/>
      <c r="U11" s="707"/>
      <c r="V11" s="707"/>
      <c r="W11" s="707"/>
      <c r="X11" s="707"/>
      <c r="Y11" s="707"/>
      <c r="Z11" s="707"/>
      <c r="AA11" s="707"/>
      <c r="AB11" s="707"/>
      <c r="AC11" s="707"/>
      <c r="AD11" s="707"/>
      <c r="AE11" s="707"/>
      <c r="AF11" s="707"/>
      <c r="AG11" s="707"/>
      <c r="AH11" s="707"/>
      <c r="AK11" s="239" t="s">
        <v>9</v>
      </c>
      <c r="AN11" s="240" t="s">
        <v>0</v>
      </c>
      <c r="AQ11" s="238"/>
    </row>
    <row r="12" spans="2:43" ht="12">
      <c r="B12" s="237"/>
      <c r="E12" s="240" t="s">
        <v>12</v>
      </c>
      <c r="AK12" s="239" t="s">
        <v>10</v>
      </c>
      <c r="AN12" s="240" t="s">
        <v>0</v>
      </c>
      <c r="AQ12" s="238"/>
    </row>
    <row r="13" spans="2:43" ht="6.95" customHeight="1">
      <c r="B13" s="237"/>
      <c r="AQ13" s="238"/>
    </row>
    <row r="14" spans="2:43" ht="14.45" customHeight="1">
      <c r="B14" s="237"/>
      <c r="D14" s="239" t="s">
        <v>13</v>
      </c>
      <c r="AK14" s="239" t="s">
        <v>9</v>
      </c>
      <c r="AN14" s="240" t="s">
        <v>0</v>
      </c>
      <c r="AQ14" s="238"/>
    </row>
    <row r="15" spans="2:43" ht="18.399999999999999" customHeight="1">
      <c r="B15" s="237"/>
      <c r="E15" s="240" t="s">
        <v>2043</v>
      </c>
      <c r="AK15" s="239" t="s">
        <v>10</v>
      </c>
      <c r="AN15" s="240" t="s">
        <v>0</v>
      </c>
      <c r="AQ15" s="238"/>
    </row>
    <row r="16" spans="2:43" ht="6.95" customHeight="1">
      <c r="B16" s="237"/>
      <c r="AQ16" s="238"/>
    </row>
    <row r="17" spans="2:43" ht="14.45" customHeight="1">
      <c r="B17" s="237"/>
      <c r="D17" s="239" t="s">
        <v>14</v>
      </c>
      <c r="AK17" s="239" t="s">
        <v>9</v>
      </c>
      <c r="AN17" s="240" t="s">
        <v>0</v>
      </c>
      <c r="AQ17" s="238"/>
    </row>
    <row r="18" spans="2:43" ht="18.399999999999999" customHeight="1">
      <c r="B18" s="237"/>
      <c r="E18" s="240" t="s">
        <v>15</v>
      </c>
      <c r="AK18" s="239" t="s">
        <v>10</v>
      </c>
      <c r="AN18" s="240" t="s">
        <v>0</v>
      </c>
      <c r="AQ18" s="238"/>
    </row>
    <row r="19" spans="2:43" ht="6.95" customHeight="1">
      <c r="B19" s="237"/>
      <c r="AQ19" s="238"/>
    </row>
    <row r="20" spans="2:43" ht="14.45" customHeight="1">
      <c r="B20" s="237"/>
      <c r="D20" s="239" t="s">
        <v>185</v>
      </c>
      <c r="AK20" s="239"/>
      <c r="AN20" s="240" t="s">
        <v>0</v>
      </c>
      <c r="AQ20" s="238"/>
    </row>
    <row r="21" spans="2:43" ht="18.399999999999999" customHeight="1">
      <c r="B21" s="237"/>
      <c r="E21" s="240" t="s">
        <v>2334</v>
      </c>
      <c r="AK21" s="239"/>
      <c r="AN21" s="240" t="s">
        <v>0</v>
      </c>
      <c r="AQ21" s="238"/>
    </row>
    <row r="22" spans="2:43" ht="6.95" customHeight="1">
      <c r="B22" s="237"/>
      <c r="AQ22" s="238"/>
    </row>
    <row r="23" spans="2:43" ht="12">
      <c r="B23" s="237"/>
      <c r="D23" s="240" t="s">
        <v>94</v>
      </c>
      <c r="AQ23" s="238"/>
    </row>
    <row r="24" spans="2:43" s="244" customFormat="1" ht="15" customHeight="1">
      <c r="B24" s="243"/>
      <c r="E24" s="703" t="s">
        <v>2443</v>
      </c>
      <c r="F24" s="703"/>
      <c r="G24" s="703"/>
      <c r="H24" s="702">
        <v>45104</v>
      </c>
      <c r="I24" s="702"/>
      <c r="J24" s="245"/>
      <c r="K24" s="708" t="s">
        <v>2450</v>
      </c>
      <c r="L24" s="708"/>
      <c r="M24" s="708"/>
      <c r="N24" s="708"/>
      <c r="O24" s="708"/>
      <c r="P24" s="708"/>
      <c r="Q24" s="708"/>
      <c r="R24" s="708"/>
      <c r="S24" s="708"/>
      <c r="T24" s="708"/>
      <c r="U24" s="708"/>
      <c r="V24" s="708"/>
      <c r="W24" s="708"/>
      <c r="X24" s="708"/>
      <c r="Y24" s="708"/>
      <c r="Z24" s="708"/>
      <c r="AA24" s="708"/>
      <c r="AB24" s="708"/>
      <c r="AC24" s="708"/>
      <c r="AD24" s="708"/>
      <c r="AE24" s="708"/>
      <c r="AF24" s="708"/>
      <c r="AG24" s="708"/>
      <c r="AH24" s="708"/>
      <c r="AI24" s="708"/>
      <c r="AJ24" s="708"/>
      <c r="AK24" s="708"/>
      <c r="AL24" s="708"/>
      <c r="AM24" s="708"/>
      <c r="AN24" s="708"/>
      <c r="AO24" s="708"/>
      <c r="AQ24" s="246"/>
    </row>
    <row r="25" spans="2:43" s="248" customFormat="1" ht="15" customHeight="1">
      <c r="B25" s="247"/>
      <c r="E25" s="704"/>
      <c r="F25" s="704"/>
      <c r="G25" s="704"/>
      <c r="H25" s="705"/>
      <c r="I25" s="705"/>
      <c r="J25" s="236"/>
      <c r="K25" s="706"/>
      <c r="L25" s="706"/>
      <c r="M25" s="706"/>
      <c r="N25" s="706"/>
      <c r="O25" s="706"/>
      <c r="P25" s="706"/>
      <c r="Q25" s="706"/>
      <c r="R25" s="706"/>
      <c r="S25" s="706"/>
      <c r="T25" s="706"/>
      <c r="U25" s="706"/>
      <c r="V25" s="706"/>
      <c r="W25" s="706"/>
      <c r="X25" s="706"/>
      <c r="Y25" s="706"/>
      <c r="Z25" s="706"/>
      <c r="AA25" s="706"/>
      <c r="AB25" s="706"/>
      <c r="AC25" s="706"/>
      <c r="AD25" s="706"/>
      <c r="AE25" s="706"/>
      <c r="AF25" s="706"/>
      <c r="AG25" s="706"/>
      <c r="AH25" s="706"/>
      <c r="AI25" s="706"/>
      <c r="AJ25" s="706"/>
      <c r="AK25" s="706"/>
      <c r="AL25" s="706"/>
      <c r="AM25" s="706"/>
      <c r="AN25" s="706"/>
      <c r="AO25" s="706"/>
      <c r="AQ25" s="249"/>
    </row>
    <row r="26" spans="2:43" ht="6.95" customHeight="1">
      <c r="B26" s="237"/>
      <c r="AQ26" s="238"/>
    </row>
    <row r="27" spans="2:43" ht="6.95" customHeight="1">
      <c r="B27" s="237"/>
      <c r="D27" s="250"/>
      <c r="E27" s="250"/>
      <c r="F27" s="250"/>
      <c r="G27" s="250"/>
      <c r="H27" s="250"/>
      <c r="I27" s="250"/>
      <c r="J27" s="250"/>
      <c r="K27" s="250"/>
      <c r="L27" s="250"/>
      <c r="M27" s="250"/>
      <c r="N27" s="250"/>
      <c r="O27" s="250"/>
      <c r="P27" s="250"/>
      <c r="Q27" s="250"/>
      <c r="R27" s="250"/>
      <c r="S27" s="250"/>
      <c r="T27" s="250"/>
      <c r="U27" s="250"/>
      <c r="V27" s="250"/>
      <c r="W27" s="250"/>
      <c r="X27" s="250"/>
      <c r="Y27" s="250"/>
      <c r="Z27" s="250"/>
      <c r="AA27" s="250"/>
      <c r="AB27" s="250"/>
      <c r="AC27" s="250"/>
      <c r="AD27" s="250"/>
      <c r="AE27" s="250"/>
      <c r="AF27" s="250"/>
      <c r="AG27" s="250"/>
      <c r="AH27" s="250"/>
      <c r="AI27" s="250"/>
      <c r="AJ27" s="250"/>
      <c r="AK27" s="250"/>
      <c r="AL27" s="250"/>
      <c r="AM27" s="250"/>
      <c r="AN27" s="250"/>
      <c r="AO27" s="250"/>
      <c r="AQ27" s="238"/>
    </row>
    <row r="28" spans="2:43" ht="14.45" customHeight="1">
      <c r="B28" s="237"/>
      <c r="D28" s="251" t="str">
        <f>C116</f>
        <v>Mezisoučet náklady za stavbu- prostory Infocentrum a navazující</v>
      </c>
      <c r="AK28" s="670">
        <f>AG116</f>
        <v>0</v>
      </c>
      <c r="AL28" s="671"/>
      <c r="AM28" s="671"/>
      <c r="AN28" s="671"/>
      <c r="AO28" s="671"/>
      <c r="AQ28" s="238"/>
    </row>
    <row r="29" spans="2:43" ht="14.45" customHeight="1">
      <c r="B29" s="237"/>
      <c r="D29" s="251" t="str">
        <f>C146</f>
        <v>Mezisoučet náklady za stavbu</v>
      </c>
      <c r="AK29" s="670">
        <f>AG146</f>
        <v>0</v>
      </c>
      <c r="AL29" s="671"/>
      <c r="AM29" s="671"/>
      <c r="AN29" s="671"/>
      <c r="AO29" s="671"/>
      <c r="AQ29" s="238"/>
    </row>
    <row r="30" spans="2:43" ht="6.95" customHeight="1">
      <c r="B30" s="237"/>
      <c r="AQ30" s="238"/>
    </row>
    <row r="31" spans="2:43" ht="25.9" customHeight="1">
      <c r="B31" s="237"/>
      <c r="D31" s="253" t="s">
        <v>16</v>
      </c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709">
        <f>ROUND(AK28+AK29,2)</f>
        <v>0</v>
      </c>
      <c r="AL31" s="710"/>
      <c r="AM31" s="710"/>
      <c r="AN31" s="710"/>
      <c r="AO31" s="710"/>
      <c r="AQ31" s="238"/>
    </row>
    <row r="32" spans="2:43" ht="6.95" customHeight="1">
      <c r="B32" s="237"/>
      <c r="AQ32" s="238"/>
    </row>
    <row r="33" spans="2:43" s="256" customFormat="1" ht="14.45" customHeight="1">
      <c r="B33" s="255"/>
      <c r="D33" s="257" t="s">
        <v>17</v>
      </c>
      <c r="F33" s="257" t="s">
        <v>18</v>
      </c>
      <c r="L33" s="687">
        <v>0.21</v>
      </c>
      <c r="M33" s="688"/>
      <c r="N33" s="688"/>
      <c r="O33" s="688"/>
      <c r="T33" s="259" t="s">
        <v>19</v>
      </c>
      <c r="W33" s="689">
        <f>AK31</f>
        <v>0</v>
      </c>
      <c r="X33" s="688"/>
      <c r="Y33" s="688"/>
      <c r="Z33" s="688"/>
      <c r="AA33" s="688"/>
      <c r="AB33" s="688"/>
      <c r="AC33" s="688"/>
      <c r="AD33" s="688"/>
      <c r="AE33" s="688"/>
      <c r="AK33" s="689">
        <f>ROUND(W33*L33,2)</f>
        <v>0</v>
      </c>
      <c r="AL33" s="688"/>
      <c r="AM33" s="688"/>
      <c r="AN33" s="688"/>
      <c r="AO33" s="688"/>
      <c r="AQ33" s="260"/>
    </row>
    <row r="34" spans="2:43" s="256" customFormat="1" ht="14.45" customHeight="1">
      <c r="B34" s="255"/>
      <c r="F34" s="257" t="s">
        <v>20</v>
      </c>
      <c r="L34" s="687">
        <v>0.15</v>
      </c>
      <c r="M34" s="688"/>
      <c r="N34" s="688"/>
      <c r="O34" s="688"/>
      <c r="T34" s="259" t="s">
        <v>19</v>
      </c>
      <c r="W34" s="689"/>
      <c r="X34" s="688"/>
      <c r="Y34" s="688"/>
      <c r="Z34" s="688"/>
      <c r="AA34" s="688"/>
      <c r="AB34" s="688"/>
      <c r="AC34" s="688"/>
      <c r="AD34" s="688"/>
      <c r="AE34" s="688"/>
      <c r="AK34" s="689">
        <f>ROUND(W34*L34,2)</f>
        <v>0</v>
      </c>
      <c r="AL34" s="688"/>
      <c r="AM34" s="688"/>
      <c r="AN34" s="688"/>
      <c r="AO34" s="688"/>
      <c r="AQ34" s="260"/>
    </row>
    <row r="35" spans="2:43" s="256" customFormat="1" ht="14.45" hidden="1" customHeight="1">
      <c r="B35" s="255"/>
      <c r="F35" s="257" t="s">
        <v>21</v>
      </c>
      <c r="L35" s="687">
        <v>0.21</v>
      </c>
      <c r="M35" s="688"/>
      <c r="N35" s="688"/>
      <c r="O35" s="688"/>
      <c r="T35" s="259" t="s">
        <v>19</v>
      </c>
      <c r="W35" s="689" t="e">
        <f>ROUND(#REF!+SUM(#REF!),2)</f>
        <v>#REF!</v>
      </c>
      <c r="X35" s="688"/>
      <c r="Y35" s="688"/>
      <c r="Z35" s="688"/>
      <c r="AA35" s="688"/>
      <c r="AB35" s="688"/>
      <c r="AC35" s="688"/>
      <c r="AD35" s="688"/>
      <c r="AE35" s="688"/>
      <c r="AK35" s="689">
        <v>0</v>
      </c>
      <c r="AL35" s="688"/>
      <c r="AM35" s="688"/>
      <c r="AN35" s="688"/>
      <c r="AO35" s="688"/>
      <c r="AQ35" s="260"/>
    </row>
    <row r="36" spans="2:43" s="256" customFormat="1" ht="14.45" hidden="1" customHeight="1">
      <c r="B36" s="255"/>
      <c r="F36" s="257" t="s">
        <v>22</v>
      </c>
      <c r="L36" s="687">
        <v>0.15</v>
      </c>
      <c r="M36" s="688"/>
      <c r="N36" s="688"/>
      <c r="O36" s="688"/>
      <c r="T36" s="259" t="s">
        <v>19</v>
      </c>
      <c r="W36" s="689" t="e">
        <f>ROUND(#REF!+SUM(#REF!),2)</f>
        <v>#REF!</v>
      </c>
      <c r="X36" s="688"/>
      <c r="Y36" s="688"/>
      <c r="Z36" s="688"/>
      <c r="AA36" s="688"/>
      <c r="AB36" s="688"/>
      <c r="AC36" s="688"/>
      <c r="AD36" s="688"/>
      <c r="AE36" s="688"/>
      <c r="AK36" s="689">
        <v>0</v>
      </c>
      <c r="AL36" s="688"/>
      <c r="AM36" s="688"/>
      <c r="AN36" s="688"/>
      <c r="AO36" s="688"/>
      <c r="AQ36" s="260"/>
    </row>
    <row r="37" spans="2:43" s="256" customFormat="1" ht="14.45" hidden="1" customHeight="1">
      <c r="B37" s="255"/>
      <c r="F37" s="257" t="s">
        <v>23</v>
      </c>
      <c r="L37" s="687">
        <v>0</v>
      </c>
      <c r="M37" s="688"/>
      <c r="N37" s="688"/>
      <c r="O37" s="688"/>
      <c r="T37" s="259" t="s">
        <v>19</v>
      </c>
      <c r="W37" s="689" t="e">
        <f>ROUND(#REF!+SUM(#REF!),2)</f>
        <v>#REF!</v>
      </c>
      <c r="X37" s="688"/>
      <c r="Y37" s="688"/>
      <c r="Z37" s="688"/>
      <c r="AA37" s="688"/>
      <c r="AB37" s="688"/>
      <c r="AC37" s="688"/>
      <c r="AD37" s="688"/>
      <c r="AE37" s="688"/>
      <c r="AK37" s="689">
        <v>0</v>
      </c>
      <c r="AL37" s="688"/>
      <c r="AM37" s="688"/>
      <c r="AN37" s="688"/>
      <c r="AO37" s="688"/>
      <c r="AQ37" s="260"/>
    </row>
    <row r="38" spans="2:43" ht="6.95" customHeight="1">
      <c r="B38" s="237"/>
      <c r="AQ38" s="238"/>
    </row>
    <row r="39" spans="2:43" ht="25.9" customHeight="1">
      <c r="B39" s="237"/>
      <c r="C39" s="261"/>
      <c r="D39" s="262" t="s">
        <v>24</v>
      </c>
      <c r="E39" s="263"/>
      <c r="F39" s="263"/>
      <c r="G39" s="263"/>
      <c r="H39" s="263"/>
      <c r="I39" s="263"/>
      <c r="J39" s="263"/>
      <c r="K39" s="263"/>
      <c r="L39" s="263"/>
      <c r="M39" s="263"/>
      <c r="N39" s="263"/>
      <c r="O39" s="263"/>
      <c r="P39" s="263"/>
      <c r="Q39" s="263"/>
      <c r="R39" s="263"/>
      <c r="S39" s="263"/>
      <c r="T39" s="264" t="s">
        <v>25</v>
      </c>
      <c r="U39" s="263"/>
      <c r="V39" s="263"/>
      <c r="W39" s="263"/>
      <c r="X39" s="711" t="s">
        <v>26</v>
      </c>
      <c r="Y39" s="695"/>
      <c r="Z39" s="695"/>
      <c r="AA39" s="695"/>
      <c r="AB39" s="695"/>
      <c r="AC39" s="263"/>
      <c r="AD39" s="263"/>
      <c r="AE39" s="263"/>
      <c r="AF39" s="263"/>
      <c r="AG39" s="263"/>
      <c r="AH39" s="263"/>
      <c r="AI39" s="263"/>
      <c r="AJ39" s="263"/>
      <c r="AK39" s="694">
        <f>SUM(AK31:AK37)</f>
        <v>0</v>
      </c>
      <c r="AL39" s="695"/>
      <c r="AM39" s="695"/>
      <c r="AN39" s="695"/>
      <c r="AO39" s="696"/>
      <c r="AP39" s="261"/>
      <c r="AQ39" s="238"/>
    </row>
    <row r="40" spans="2:43" ht="14.45" customHeight="1">
      <c r="B40" s="237"/>
      <c r="AQ40" s="238"/>
    </row>
    <row r="41" spans="2:43">
      <c r="B41" s="237"/>
      <c r="D41" s="236" t="s">
        <v>180</v>
      </c>
      <c r="AQ41" s="238"/>
    </row>
    <row r="42" spans="2:43" ht="27.75" customHeight="1">
      <c r="B42" s="237"/>
      <c r="D42" s="690" t="s">
        <v>181</v>
      </c>
      <c r="E42" s="690"/>
      <c r="F42" s="690"/>
      <c r="G42" s="690"/>
      <c r="H42" s="690"/>
      <c r="I42" s="690"/>
      <c r="J42" s="690"/>
      <c r="K42" s="690"/>
      <c r="L42" s="690"/>
      <c r="M42" s="690"/>
      <c r="N42" s="690"/>
      <c r="O42" s="690"/>
      <c r="P42" s="690"/>
      <c r="Q42" s="690"/>
      <c r="R42" s="690"/>
      <c r="S42" s="690"/>
      <c r="T42" s="690"/>
      <c r="U42" s="690"/>
      <c r="V42" s="690"/>
      <c r="W42" s="690"/>
      <c r="X42" s="690"/>
      <c r="Y42" s="690"/>
      <c r="Z42" s="690"/>
      <c r="AA42" s="690"/>
      <c r="AB42" s="690"/>
      <c r="AC42" s="690"/>
      <c r="AD42" s="690"/>
      <c r="AE42" s="690"/>
      <c r="AF42" s="690"/>
      <c r="AG42" s="690"/>
      <c r="AH42" s="690"/>
      <c r="AI42" s="690"/>
      <c r="AJ42" s="690"/>
      <c r="AK42" s="690"/>
      <c r="AL42" s="690"/>
      <c r="AM42" s="690"/>
      <c r="AN42" s="690"/>
      <c r="AO42" s="690"/>
      <c r="AP42" s="690"/>
      <c r="AQ42" s="238"/>
    </row>
    <row r="43" spans="2:43" ht="27.75" customHeight="1">
      <c r="B43" s="237"/>
      <c r="D43" s="690" t="s">
        <v>182</v>
      </c>
      <c r="E43" s="690"/>
      <c r="F43" s="690"/>
      <c r="G43" s="690"/>
      <c r="H43" s="690"/>
      <c r="I43" s="690"/>
      <c r="J43" s="690"/>
      <c r="K43" s="690"/>
      <c r="L43" s="690"/>
      <c r="M43" s="690"/>
      <c r="N43" s="690"/>
      <c r="O43" s="690"/>
      <c r="P43" s="690"/>
      <c r="Q43" s="690"/>
      <c r="R43" s="690"/>
      <c r="S43" s="690"/>
      <c r="T43" s="690"/>
      <c r="U43" s="690"/>
      <c r="V43" s="690"/>
      <c r="W43" s="690"/>
      <c r="X43" s="690"/>
      <c r="Y43" s="690"/>
      <c r="Z43" s="690"/>
      <c r="AA43" s="690"/>
      <c r="AB43" s="690"/>
      <c r="AC43" s="690"/>
      <c r="AD43" s="690"/>
      <c r="AE43" s="690"/>
      <c r="AF43" s="690"/>
      <c r="AG43" s="690"/>
      <c r="AH43" s="690"/>
      <c r="AI43" s="690"/>
      <c r="AJ43" s="690"/>
      <c r="AK43" s="690"/>
      <c r="AL43" s="690"/>
      <c r="AM43" s="690"/>
      <c r="AN43" s="690"/>
      <c r="AO43" s="690"/>
      <c r="AP43" s="690"/>
      <c r="AQ43" s="238"/>
    </row>
    <row r="44" spans="2:43" ht="27.75" customHeight="1">
      <c r="B44" s="237"/>
      <c r="D44" s="690"/>
      <c r="E44" s="690"/>
      <c r="F44" s="690"/>
      <c r="G44" s="690"/>
      <c r="H44" s="690"/>
      <c r="I44" s="690"/>
      <c r="J44" s="690"/>
      <c r="K44" s="690"/>
      <c r="L44" s="690"/>
      <c r="M44" s="690"/>
      <c r="N44" s="690"/>
      <c r="O44" s="690"/>
      <c r="P44" s="690"/>
      <c r="Q44" s="690"/>
      <c r="R44" s="690"/>
      <c r="S44" s="690"/>
      <c r="T44" s="690"/>
      <c r="U44" s="690"/>
      <c r="V44" s="690"/>
      <c r="W44" s="690"/>
      <c r="X44" s="690"/>
      <c r="Y44" s="690"/>
      <c r="Z44" s="690"/>
      <c r="AA44" s="690"/>
      <c r="AB44" s="690"/>
      <c r="AC44" s="690"/>
      <c r="AD44" s="690"/>
      <c r="AE44" s="690"/>
      <c r="AF44" s="690"/>
      <c r="AG44" s="690"/>
      <c r="AH44" s="690"/>
      <c r="AI44" s="690"/>
      <c r="AJ44" s="690"/>
      <c r="AK44" s="690"/>
      <c r="AL44" s="690"/>
      <c r="AM44" s="690"/>
      <c r="AN44" s="690"/>
      <c r="AO44" s="690"/>
      <c r="AP44" s="690"/>
      <c r="AQ44" s="238"/>
    </row>
    <row r="45" spans="2:43">
      <c r="B45" s="237"/>
      <c r="AQ45" s="238"/>
    </row>
    <row r="46" spans="2:43">
      <c r="B46" s="237"/>
      <c r="AQ46" s="238"/>
    </row>
    <row r="47" spans="2:43">
      <c r="B47" s="237"/>
      <c r="AQ47" s="238"/>
    </row>
    <row r="48" spans="2:43">
      <c r="B48" s="237"/>
      <c r="AQ48" s="238"/>
    </row>
    <row r="49" spans="2:43">
      <c r="B49" s="237"/>
      <c r="AQ49" s="238"/>
    </row>
    <row r="50" spans="2:43">
      <c r="B50" s="237"/>
      <c r="AQ50" s="238"/>
    </row>
    <row r="51" spans="2:43" ht="12.75">
      <c r="B51" s="237"/>
      <c r="D51" s="265" t="s">
        <v>27</v>
      </c>
      <c r="E51" s="266"/>
      <c r="F51" s="266"/>
      <c r="G51" s="266"/>
      <c r="H51" s="266"/>
      <c r="I51" s="266"/>
      <c r="J51" s="266"/>
      <c r="K51" s="266"/>
      <c r="L51" s="266"/>
      <c r="M51" s="266"/>
      <c r="N51" s="266"/>
      <c r="O51" s="266"/>
      <c r="P51" s="266"/>
      <c r="Q51" s="266"/>
      <c r="R51" s="266"/>
      <c r="S51" s="266"/>
      <c r="T51" s="266"/>
      <c r="U51" s="266"/>
      <c r="V51" s="266"/>
      <c r="W51" s="266"/>
      <c r="X51" s="266"/>
      <c r="Y51" s="266"/>
      <c r="Z51" s="267"/>
      <c r="AC51" s="265" t="s">
        <v>28</v>
      </c>
      <c r="AD51" s="266"/>
      <c r="AE51" s="266"/>
      <c r="AF51" s="266"/>
      <c r="AG51" s="266"/>
      <c r="AH51" s="266"/>
      <c r="AI51" s="266"/>
      <c r="AJ51" s="266"/>
      <c r="AK51" s="266"/>
      <c r="AL51" s="266"/>
      <c r="AM51" s="266"/>
      <c r="AN51" s="266"/>
      <c r="AO51" s="267"/>
      <c r="AQ51" s="238"/>
    </row>
    <row r="52" spans="2:43">
      <c r="B52" s="237"/>
      <c r="D52" s="268"/>
      <c r="Z52" s="269"/>
      <c r="AC52" s="268"/>
      <c r="AO52" s="269"/>
      <c r="AQ52" s="238"/>
    </row>
    <row r="53" spans="2:43">
      <c r="B53" s="237"/>
      <c r="D53" s="268"/>
      <c r="Z53" s="269"/>
      <c r="AC53" s="268"/>
      <c r="AO53" s="269"/>
      <c r="AQ53" s="238"/>
    </row>
    <row r="54" spans="2:43">
      <c r="B54" s="237"/>
      <c r="D54" s="268"/>
      <c r="Z54" s="269"/>
      <c r="AC54" s="268"/>
      <c r="AO54" s="269"/>
      <c r="AQ54" s="238"/>
    </row>
    <row r="55" spans="2:43">
      <c r="B55" s="237"/>
      <c r="D55" s="268"/>
      <c r="Z55" s="269"/>
      <c r="AC55" s="268"/>
      <c r="AO55" s="269"/>
      <c r="AQ55" s="238"/>
    </row>
    <row r="56" spans="2:43">
      <c r="B56" s="237"/>
      <c r="D56" s="268"/>
      <c r="Z56" s="269"/>
      <c r="AC56" s="268"/>
      <c r="AO56" s="269"/>
      <c r="AQ56" s="238"/>
    </row>
    <row r="57" spans="2:43">
      <c r="B57" s="237"/>
      <c r="D57" s="268"/>
      <c r="Z57" s="269"/>
      <c r="AC57" s="268"/>
      <c r="AO57" s="269"/>
      <c r="AQ57" s="238"/>
    </row>
    <row r="58" spans="2:43">
      <c r="B58" s="237"/>
      <c r="D58" s="268"/>
      <c r="Z58" s="269"/>
      <c r="AC58" s="268"/>
      <c r="AO58" s="269"/>
      <c r="AQ58" s="238"/>
    </row>
    <row r="59" spans="2:43">
      <c r="B59" s="237"/>
      <c r="D59" s="268"/>
      <c r="Z59" s="269"/>
      <c r="AC59" s="268"/>
      <c r="AO59" s="269"/>
      <c r="AQ59" s="238"/>
    </row>
    <row r="60" spans="2:43" ht="12.75">
      <c r="B60" s="237"/>
      <c r="D60" s="270" t="s">
        <v>29</v>
      </c>
      <c r="E60" s="271"/>
      <c r="F60" s="271"/>
      <c r="G60" s="271"/>
      <c r="H60" s="271"/>
      <c r="I60" s="271"/>
      <c r="J60" s="271"/>
      <c r="K60" s="271"/>
      <c r="L60" s="271"/>
      <c r="M60" s="271"/>
      <c r="N60" s="271"/>
      <c r="O60" s="271"/>
      <c r="P60" s="271"/>
      <c r="Q60" s="271"/>
      <c r="R60" s="272" t="s">
        <v>30</v>
      </c>
      <c r="S60" s="271"/>
      <c r="T60" s="271"/>
      <c r="U60" s="271"/>
      <c r="V60" s="271"/>
      <c r="W60" s="271"/>
      <c r="X60" s="271"/>
      <c r="Y60" s="271"/>
      <c r="Z60" s="273"/>
      <c r="AC60" s="270" t="s">
        <v>29</v>
      </c>
      <c r="AD60" s="271"/>
      <c r="AE60" s="271"/>
      <c r="AF60" s="271"/>
      <c r="AG60" s="271"/>
      <c r="AH60" s="271"/>
      <c r="AI60" s="271"/>
      <c r="AJ60" s="271"/>
      <c r="AK60" s="271"/>
      <c r="AL60" s="271"/>
      <c r="AM60" s="272" t="s">
        <v>30</v>
      </c>
      <c r="AN60" s="271"/>
      <c r="AO60" s="273"/>
      <c r="AQ60" s="238"/>
    </row>
    <row r="61" spans="2:43">
      <c r="B61" s="237"/>
      <c r="AQ61" s="238"/>
    </row>
    <row r="62" spans="2:43" ht="12.75">
      <c r="B62" s="237"/>
      <c r="D62" s="265" t="s">
        <v>31</v>
      </c>
      <c r="E62" s="266"/>
      <c r="F62" s="266"/>
      <c r="G62" s="266"/>
      <c r="H62" s="266"/>
      <c r="I62" s="266"/>
      <c r="J62" s="266"/>
      <c r="K62" s="266"/>
      <c r="L62" s="266"/>
      <c r="M62" s="266"/>
      <c r="N62" s="266"/>
      <c r="O62" s="266"/>
      <c r="P62" s="266"/>
      <c r="Q62" s="266"/>
      <c r="R62" s="266"/>
      <c r="S62" s="266"/>
      <c r="T62" s="266"/>
      <c r="U62" s="266"/>
      <c r="V62" s="266"/>
      <c r="W62" s="266"/>
      <c r="X62" s="266"/>
      <c r="Y62" s="266"/>
      <c r="Z62" s="267"/>
      <c r="AC62" s="265" t="s">
        <v>32</v>
      </c>
      <c r="AD62" s="266"/>
      <c r="AE62" s="266"/>
      <c r="AF62" s="266"/>
      <c r="AG62" s="266"/>
      <c r="AH62" s="266"/>
      <c r="AI62" s="266"/>
      <c r="AJ62" s="266"/>
      <c r="AK62" s="266"/>
      <c r="AL62" s="266"/>
      <c r="AM62" s="266"/>
      <c r="AN62" s="266"/>
      <c r="AO62" s="267"/>
      <c r="AQ62" s="238"/>
    </row>
    <row r="63" spans="2:43">
      <c r="B63" s="237"/>
      <c r="D63" s="268"/>
      <c r="Z63" s="269"/>
      <c r="AC63" s="268"/>
      <c r="AO63" s="269"/>
      <c r="AQ63" s="238"/>
    </row>
    <row r="64" spans="2:43">
      <c r="B64" s="237"/>
      <c r="D64" s="268"/>
      <c r="Z64" s="269"/>
      <c r="AC64" s="268"/>
      <c r="AO64" s="269"/>
      <c r="AQ64" s="238"/>
    </row>
    <row r="65" spans="2:43">
      <c r="B65" s="237"/>
      <c r="D65" s="268"/>
      <c r="Z65" s="269"/>
      <c r="AC65" s="268"/>
      <c r="AO65" s="269"/>
      <c r="AQ65" s="238"/>
    </row>
    <row r="66" spans="2:43">
      <c r="B66" s="237"/>
      <c r="D66" s="268"/>
      <c r="Z66" s="269"/>
      <c r="AC66" s="268"/>
      <c r="AO66" s="269"/>
      <c r="AQ66" s="238"/>
    </row>
    <row r="67" spans="2:43">
      <c r="B67" s="237"/>
      <c r="D67" s="268"/>
      <c r="Z67" s="269"/>
      <c r="AC67" s="268"/>
      <c r="AO67" s="269"/>
      <c r="AQ67" s="238"/>
    </row>
    <row r="68" spans="2:43">
      <c r="B68" s="237"/>
      <c r="D68" s="268"/>
      <c r="Z68" s="269"/>
      <c r="AC68" s="268"/>
      <c r="AO68" s="269"/>
      <c r="AQ68" s="238"/>
    </row>
    <row r="69" spans="2:43">
      <c r="B69" s="237"/>
      <c r="D69" s="268"/>
      <c r="Z69" s="269"/>
      <c r="AC69" s="268"/>
      <c r="AO69" s="269"/>
      <c r="AQ69" s="238"/>
    </row>
    <row r="70" spans="2:43">
      <c r="B70" s="237"/>
      <c r="D70" s="268"/>
      <c r="Z70" s="269"/>
      <c r="AC70" s="268"/>
      <c r="AO70" s="269"/>
      <c r="AQ70" s="238"/>
    </row>
    <row r="71" spans="2:43" ht="12.75">
      <c r="B71" s="237"/>
      <c r="D71" s="270" t="s">
        <v>29</v>
      </c>
      <c r="E71" s="271"/>
      <c r="F71" s="271"/>
      <c r="G71" s="271"/>
      <c r="H71" s="271"/>
      <c r="I71" s="271"/>
      <c r="J71" s="271"/>
      <c r="K71" s="271"/>
      <c r="L71" s="271"/>
      <c r="M71" s="271"/>
      <c r="N71" s="271"/>
      <c r="O71" s="271"/>
      <c r="P71" s="271"/>
      <c r="Q71" s="271"/>
      <c r="R71" s="272" t="s">
        <v>30</v>
      </c>
      <c r="S71" s="271"/>
      <c r="T71" s="271"/>
      <c r="U71" s="271"/>
      <c r="V71" s="271"/>
      <c r="W71" s="271"/>
      <c r="X71" s="271"/>
      <c r="Y71" s="271"/>
      <c r="Z71" s="273"/>
      <c r="AC71" s="270" t="s">
        <v>29</v>
      </c>
      <c r="AD71" s="271"/>
      <c r="AE71" s="271"/>
      <c r="AF71" s="271"/>
      <c r="AG71" s="271"/>
      <c r="AH71" s="271"/>
      <c r="AI71" s="271"/>
      <c r="AJ71" s="271"/>
      <c r="AK71" s="271"/>
      <c r="AL71" s="271"/>
      <c r="AM71" s="272" t="s">
        <v>30</v>
      </c>
      <c r="AN71" s="271"/>
      <c r="AO71" s="273"/>
      <c r="AQ71" s="238"/>
    </row>
    <row r="72" spans="2:43" ht="6.95" customHeight="1">
      <c r="B72" s="237"/>
      <c r="AQ72" s="238"/>
    </row>
    <row r="73" spans="2:43" ht="6.95" customHeight="1">
      <c r="B73" s="274"/>
      <c r="C73" s="275"/>
      <c r="D73" s="275"/>
      <c r="E73" s="275"/>
      <c r="F73" s="275"/>
      <c r="G73" s="275"/>
      <c r="H73" s="275"/>
      <c r="I73" s="275"/>
      <c r="J73" s="275"/>
      <c r="K73" s="275"/>
      <c r="L73" s="275"/>
      <c r="M73" s="275"/>
      <c r="N73" s="275"/>
      <c r="O73" s="275"/>
      <c r="P73" s="275"/>
      <c r="Q73" s="275"/>
      <c r="R73" s="275"/>
      <c r="S73" s="275"/>
      <c r="T73" s="275"/>
      <c r="U73" s="275"/>
      <c r="V73" s="275"/>
      <c r="W73" s="275"/>
      <c r="X73" s="275"/>
      <c r="Y73" s="275"/>
      <c r="Z73" s="275"/>
      <c r="AA73" s="275"/>
      <c r="AB73" s="275"/>
      <c r="AC73" s="275"/>
      <c r="AD73" s="275"/>
      <c r="AE73" s="275"/>
      <c r="AF73" s="275"/>
      <c r="AG73" s="275"/>
      <c r="AH73" s="275"/>
      <c r="AI73" s="275"/>
      <c r="AJ73" s="275"/>
      <c r="AK73" s="275"/>
      <c r="AL73" s="275"/>
      <c r="AM73" s="275"/>
      <c r="AN73" s="275"/>
      <c r="AO73" s="275"/>
      <c r="AP73" s="275"/>
      <c r="AQ73" s="276"/>
    </row>
    <row r="77" spans="2:43" ht="6.95" customHeight="1">
      <c r="B77" s="233"/>
      <c r="C77" s="234"/>
      <c r="D77" s="234"/>
      <c r="E77" s="234"/>
      <c r="F77" s="234"/>
      <c r="G77" s="234"/>
      <c r="H77" s="234"/>
      <c r="I77" s="234"/>
      <c r="J77" s="234"/>
      <c r="K77" s="234"/>
      <c r="L77" s="234"/>
      <c r="M77" s="234"/>
      <c r="N77" s="234"/>
      <c r="O77" s="234"/>
      <c r="P77" s="234"/>
      <c r="Q77" s="234"/>
      <c r="R77" s="234"/>
      <c r="S77" s="234"/>
      <c r="T77" s="234"/>
      <c r="U77" s="234"/>
      <c r="V77" s="234"/>
      <c r="W77" s="234"/>
      <c r="X77" s="234"/>
      <c r="Y77" s="234"/>
      <c r="Z77" s="234"/>
      <c r="AA77" s="234"/>
      <c r="AB77" s="234"/>
      <c r="AC77" s="234"/>
      <c r="AD77" s="234"/>
      <c r="AE77" s="234"/>
      <c r="AF77" s="234"/>
      <c r="AG77" s="234"/>
      <c r="AH77" s="234"/>
      <c r="AI77" s="234"/>
      <c r="AJ77" s="234"/>
      <c r="AK77" s="234"/>
      <c r="AL77" s="234"/>
      <c r="AM77" s="234"/>
      <c r="AN77" s="234"/>
      <c r="AO77" s="234"/>
      <c r="AP77" s="234"/>
      <c r="AQ77" s="235"/>
    </row>
    <row r="78" spans="2:43" ht="36.950000000000003" customHeight="1">
      <c r="B78" s="237"/>
      <c r="C78" s="697" t="s">
        <v>33</v>
      </c>
      <c r="D78" s="698"/>
      <c r="E78" s="698"/>
      <c r="F78" s="698"/>
      <c r="G78" s="698"/>
      <c r="H78" s="698"/>
      <c r="I78" s="698"/>
      <c r="J78" s="698"/>
      <c r="K78" s="698"/>
      <c r="L78" s="698"/>
      <c r="M78" s="698"/>
      <c r="N78" s="698"/>
      <c r="O78" s="698"/>
      <c r="P78" s="698"/>
      <c r="Q78" s="698"/>
      <c r="R78" s="698"/>
      <c r="S78" s="698"/>
      <c r="T78" s="698"/>
      <c r="U78" s="698"/>
      <c r="V78" s="698"/>
      <c r="W78" s="698"/>
      <c r="X78" s="698"/>
      <c r="Y78" s="698"/>
      <c r="Z78" s="698"/>
      <c r="AA78" s="698"/>
      <c r="AB78" s="698"/>
      <c r="AC78" s="698"/>
      <c r="AD78" s="698"/>
      <c r="AE78" s="698"/>
      <c r="AF78" s="698"/>
      <c r="AG78" s="698"/>
      <c r="AH78" s="698"/>
      <c r="AI78" s="698"/>
      <c r="AJ78" s="698"/>
      <c r="AK78" s="698"/>
      <c r="AL78" s="698"/>
      <c r="AM78" s="698"/>
      <c r="AN78" s="698"/>
      <c r="AO78" s="698"/>
      <c r="AP78" s="698"/>
      <c r="AQ78" s="238"/>
    </row>
    <row r="79" spans="2:43" s="278" customFormat="1" ht="14.45" customHeight="1">
      <c r="B79" s="277"/>
      <c r="C79" s="239" t="s">
        <v>2</v>
      </c>
      <c r="I79" s="692">
        <f>K3</f>
        <v>2205</v>
      </c>
      <c r="J79" s="692"/>
      <c r="K79" s="692"/>
      <c r="L79" s="692"/>
      <c r="M79" s="692"/>
      <c r="N79" s="692"/>
      <c r="O79" s="692"/>
      <c r="P79" s="692"/>
      <c r="Q79" s="692"/>
      <c r="R79" s="692"/>
      <c r="S79" s="692"/>
      <c r="T79" s="692"/>
      <c r="AQ79" s="279"/>
    </row>
    <row r="80" spans="2:43" s="281" customFormat="1" ht="36.950000000000003" customHeight="1">
      <c r="B80" s="280"/>
      <c r="C80" s="241" t="s">
        <v>3</v>
      </c>
      <c r="I80" s="691" t="str">
        <f>K4</f>
        <v>Stavební úpravy, vestavba a přístavba stávajícího objektu</v>
      </c>
      <c r="J80" s="691"/>
      <c r="K80" s="691"/>
      <c r="L80" s="691"/>
      <c r="M80" s="691"/>
      <c r="N80" s="691"/>
      <c r="O80" s="691"/>
      <c r="P80" s="691"/>
      <c r="Q80" s="691"/>
      <c r="R80" s="691"/>
      <c r="S80" s="691"/>
      <c r="T80" s="691"/>
      <c r="U80" s="691"/>
      <c r="V80" s="691"/>
      <c r="W80" s="691"/>
      <c r="X80" s="691"/>
      <c r="Y80" s="691"/>
      <c r="Z80" s="691"/>
      <c r="AA80" s="691"/>
      <c r="AB80" s="691"/>
      <c r="AC80" s="691"/>
      <c r="AD80" s="691"/>
      <c r="AE80" s="691"/>
      <c r="AF80" s="691"/>
      <c r="AG80" s="691"/>
      <c r="AH80" s="691"/>
      <c r="AI80" s="691"/>
      <c r="AJ80" s="691"/>
      <c r="AK80" s="691"/>
      <c r="AL80" s="691"/>
      <c r="AM80" s="691"/>
      <c r="AN80" s="691"/>
      <c r="AO80" s="691"/>
      <c r="AQ80" s="282"/>
    </row>
    <row r="81" spans="1:49" ht="6.95" customHeight="1">
      <c r="B81" s="237"/>
      <c r="AQ81" s="238"/>
    </row>
    <row r="82" spans="1:49" ht="30.75" customHeight="1">
      <c r="B82" s="237"/>
      <c r="C82" s="239" t="s">
        <v>6</v>
      </c>
      <c r="I82" s="693" t="str">
        <f>IF(K6="","",K6)</f>
        <v>Mírové náměstí 23/12, Bílina - p.č. 124, 125/1, 125/2, 125/3, k.ú. Bílina (604208)</v>
      </c>
      <c r="J82" s="693"/>
      <c r="K82" s="693"/>
      <c r="L82" s="693"/>
      <c r="M82" s="693"/>
      <c r="N82" s="693"/>
      <c r="O82" s="693"/>
      <c r="P82" s="693"/>
      <c r="Q82" s="693"/>
      <c r="R82" s="693"/>
      <c r="S82" s="693"/>
      <c r="T82" s="693"/>
      <c r="U82" s="693"/>
      <c r="V82" s="693"/>
      <c r="W82" s="693"/>
      <c r="X82" s="693"/>
      <c r="Y82" s="693"/>
      <c r="Z82" s="693"/>
      <c r="AA82" s="693"/>
      <c r="AB82" s="693"/>
      <c r="AC82" s="693"/>
      <c r="AD82" s="693"/>
      <c r="AE82" s="693"/>
      <c r="AF82" s="693"/>
      <c r="AG82" s="693"/>
      <c r="AH82" s="693"/>
      <c r="AI82" s="239" t="s">
        <v>7</v>
      </c>
      <c r="AM82" s="712" t="str">
        <f>IF(AN6= "","",AN6)</f>
        <v/>
      </c>
      <c r="AN82" s="712"/>
      <c r="AQ82" s="238"/>
    </row>
    <row r="83" spans="1:49" ht="6.95" customHeight="1">
      <c r="B83" s="237"/>
      <c r="AQ83" s="238"/>
    </row>
    <row r="84" spans="1:49" ht="12">
      <c r="B84" s="237"/>
      <c r="C84" s="239" t="s">
        <v>8</v>
      </c>
      <c r="I84" s="236" t="str">
        <f>K8</f>
        <v>město Bílina</v>
      </c>
      <c r="L84" s="278"/>
      <c r="AI84" s="239" t="s">
        <v>13</v>
      </c>
      <c r="AM84" s="713" t="str">
        <f>IF(E15="","",E15)</f>
        <v>Ing. arch. Bořek Peška</v>
      </c>
      <c r="AN84" s="713"/>
      <c r="AO84" s="713"/>
      <c r="AP84" s="713"/>
      <c r="AQ84" s="238"/>
    </row>
    <row r="85" spans="1:49" ht="12">
      <c r="B85" s="237"/>
      <c r="C85" s="239" t="s">
        <v>11</v>
      </c>
      <c r="I85" s="236">
        <f>K11</f>
        <v>0</v>
      </c>
      <c r="L85" s="278"/>
      <c r="AI85" s="239" t="s">
        <v>14</v>
      </c>
      <c r="AM85" s="713" t="str">
        <f>IF(E18="","",E18)</f>
        <v>Jakub Kulhavý</v>
      </c>
      <c r="AN85" s="713"/>
      <c r="AO85" s="713"/>
      <c r="AP85" s="713"/>
      <c r="AQ85" s="238"/>
    </row>
    <row r="86" spans="1:49" ht="10.9" customHeight="1">
      <c r="B86" s="237"/>
      <c r="AQ86" s="238"/>
    </row>
    <row r="87" spans="1:49" ht="29.25" customHeight="1">
      <c r="B87" s="237"/>
      <c r="C87" s="699" t="s">
        <v>34</v>
      </c>
      <c r="D87" s="700"/>
      <c r="E87" s="700"/>
      <c r="F87" s="700"/>
      <c r="G87" s="700"/>
      <c r="H87" s="283"/>
      <c r="I87" s="701" t="s">
        <v>35</v>
      </c>
      <c r="J87" s="700"/>
      <c r="K87" s="700"/>
      <c r="L87" s="700"/>
      <c r="M87" s="700"/>
      <c r="N87" s="700"/>
      <c r="O87" s="700"/>
      <c r="P87" s="700"/>
      <c r="Q87" s="700"/>
      <c r="R87" s="700"/>
      <c r="S87" s="700"/>
      <c r="T87" s="700"/>
      <c r="U87" s="700"/>
      <c r="V87" s="700"/>
      <c r="W87" s="700"/>
      <c r="X87" s="700"/>
      <c r="Y87" s="700"/>
      <c r="Z87" s="700"/>
      <c r="AA87" s="700"/>
      <c r="AB87" s="700"/>
      <c r="AC87" s="700"/>
      <c r="AD87" s="700"/>
      <c r="AE87" s="700"/>
      <c r="AF87" s="700"/>
      <c r="AG87" s="701" t="s">
        <v>36</v>
      </c>
      <c r="AH87" s="700"/>
      <c r="AI87" s="700"/>
      <c r="AJ87" s="700"/>
      <c r="AK87" s="700"/>
      <c r="AL87" s="700"/>
      <c r="AM87" s="700"/>
      <c r="AN87" s="701" t="s">
        <v>37</v>
      </c>
      <c r="AO87" s="700"/>
      <c r="AP87" s="714"/>
      <c r="AQ87" s="238"/>
      <c r="AS87" s="284" t="s">
        <v>198</v>
      </c>
      <c r="AT87" s="284" t="s">
        <v>199</v>
      </c>
      <c r="AW87" s="284"/>
    </row>
    <row r="88" spans="1:49" ht="10.9" customHeight="1">
      <c r="B88" s="237"/>
      <c r="AQ88" s="238"/>
    </row>
    <row r="89" spans="1:49" s="281" customFormat="1" ht="32.450000000000003" customHeight="1">
      <c r="B89" s="280"/>
      <c r="C89" s="285" t="s">
        <v>2532</v>
      </c>
      <c r="D89" s="286"/>
      <c r="E89" s="286"/>
      <c r="F89" s="286"/>
      <c r="G89" s="286"/>
      <c r="H89" s="286"/>
      <c r="I89" s="286"/>
      <c r="J89" s="286"/>
      <c r="K89" s="286"/>
      <c r="L89" s="286"/>
      <c r="M89" s="286"/>
      <c r="N89" s="286"/>
      <c r="O89" s="286"/>
      <c r="P89" s="286"/>
      <c r="Q89" s="286"/>
      <c r="R89" s="286"/>
      <c r="S89" s="286"/>
      <c r="T89" s="286"/>
      <c r="U89" s="286"/>
      <c r="V89" s="286"/>
      <c r="W89" s="286"/>
      <c r="X89" s="286"/>
      <c r="Y89" s="286"/>
      <c r="Z89" s="286"/>
      <c r="AA89" s="286"/>
      <c r="AB89" s="286"/>
      <c r="AC89" s="286"/>
      <c r="AD89" s="286"/>
      <c r="AE89" s="286"/>
      <c r="AF89" s="286"/>
      <c r="AG89" s="686">
        <f>SUM(AG90:AM91)</f>
        <v>0</v>
      </c>
      <c r="AH89" s="686"/>
      <c r="AI89" s="686"/>
      <c r="AJ89" s="686"/>
      <c r="AK89" s="686"/>
      <c r="AL89" s="686"/>
      <c r="AM89" s="686"/>
      <c r="AN89" s="681">
        <f>SUM(AN90:AP91)</f>
        <v>0</v>
      </c>
      <c r="AO89" s="681"/>
      <c r="AP89" s="681"/>
      <c r="AQ89" s="282"/>
      <c r="AS89" s="287">
        <v>30.61</v>
      </c>
      <c r="AT89" s="287">
        <f>AG89/$AS$118</f>
        <v>0</v>
      </c>
      <c r="AW89" s="287"/>
    </row>
    <row r="90" spans="1:49" s="292" customFormat="1" ht="12.75" customHeight="1">
      <c r="A90" s="212"/>
      <c r="B90" s="288"/>
      <c r="C90" s="289"/>
      <c r="D90" s="682" t="str">
        <f>D119</f>
        <v>Bourání a demolice</v>
      </c>
      <c r="E90" s="682"/>
      <c r="F90" s="682"/>
      <c r="G90" s="682"/>
      <c r="H90" s="682"/>
      <c r="I90" s="682"/>
      <c r="J90" s="682"/>
      <c r="K90" s="682"/>
      <c r="L90" s="682"/>
      <c r="M90" s="682"/>
      <c r="N90" s="682"/>
      <c r="O90" s="682"/>
      <c r="P90" s="682"/>
      <c r="Q90" s="682"/>
      <c r="R90" s="682"/>
      <c r="S90" s="682"/>
      <c r="T90" s="682"/>
      <c r="U90" s="682"/>
      <c r="V90" s="682"/>
      <c r="W90" s="682"/>
      <c r="X90" s="682"/>
      <c r="Y90" s="682"/>
      <c r="Z90" s="682"/>
      <c r="AA90" s="682"/>
      <c r="AB90" s="682"/>
      <c r="AC90" s="682"/>
      <c r="AD90" s="682"/>
      <c r="AE90" s="682"/>
      <c r="AF90" s="672"/>
      <c r="AG90" s="683">
        <f>'bourání a demolice ROZ'!M29</f>
        <v>0</v>
      </c>
      <c r="AH90" s="684"/>
      <c r="AI90" s="684"/>
      <c r="AJ90" s="684"/>
      <c r="AK90" s="684"/>
      <c r="AL90" s="684"/>
      <c r="AM90" s="685"/>
      <c r="AN90" s="683">
        <f>ROUND(AG90*(1+$L$33),2)</f>
        <v>0</v>
      </c>
      <c r="AO90" s="684"/>
      <c r="AP90" s="684"/>
      <c r="AQ90" s="291"/>
      <c r="AS90" s="293"/>
      <c r="AT90" s="290">
        <f>AG90/$AS$118</f>
        <v>0</v>
      </c>
      <c r="AW90" s="290"/>
    </row>
    <row r="91" spans="1:49" s="292" customFormat="1" ht="12.75" customHeight="1">
      <c r="A91" s="212"/>
      <c r="B91" s="288"/>
      <c r="C91" s="289"/>
      <c r="D91" s="682" t="str">
        <f>D120</f>
        <v>Sanace</v>
      </c>
      <c r="E91" s="682"/>
      <c r="F91" s="682"/>
      <c r="G91" s="682"/>
      <c r="H91" s="682"/>
      <c r="I91" s="682"/>
      <c r="J91" s="682"/>
      <c r="K91" s="682"/>
      <c r="L91" s="682"/>
      <c r="M91" s="682"/>
      <c r="N91" s="682"/>
      <c r="O91" s="682"/>
      <c r="P91" s="682"/>
      <c r="Q91" s="682"/>
      <c r="R91" s="682"/>
      <c r="S91" s="682"/>
      <c r="T91" s="682"/>
      <c r="U91" s="682"/>
      <c r="V91" s="682"/>
      <c r="W91" s="682"/>
      <c r="X91" s="682"/>
      <c r="Y91" s="682"/>
      <c r="Z91" s="682"/>
      <c r="AA91" s="682"/>
      <c r="AB91" s="682"/>
      <c r="AC91" s="682"/>
      <c r="AD91" s="682"/>
      <c r="AE91" s="682"/>
      <c r="AF91" s="672"/>
      <c r="AG91" s="683">
        <f>'sanace ROZ'!M29</f>
        <v>0</v>
      </c>
      <c r="AH91" s="684"/>
      <c r="AI91" s="684"/>
      <c r="AJ91" s="684"/>
      <c r="AK91" s="684"/>
      <c r="AL91" s="684"/>
      <c r="AM91" s="685"/>
      <c r="AN91" s="683">
        <f>ROUND(AG91*(1+$L$33),2)</f>
        <v>0</v>
      </c>
      <c r="AO91" s="684"/>
      <c r="AP91" s="684"/>
      <c r="AQ91" s="291"/>
      <c r="AS91" s="293"/>
      <c r="AT91" s="290">
        <f>AG91/$AS$118</f>
        <v>0</v>
      </c>
      <c r="AW91" s="290"/>
    </row>
    <row r="92" spans="1:49">
      <c r="B92" s="237"/>
      <c r="AQ92" s="238"/>
    </row>
    <row r="93" spans="1:49" s="281" customFormat="1" ht="32.450000000000003" customHeight="1">
      <c r="B93" s="280"/>
      <c r="C93" s="285" t="s">
        <v>2533</v>
      </c>
      <c r="D93" s="286"/>
      <c r="E93" s="286"/>
      <c r="F93" s="286"/>
      <c r="G93" s="286"/>
      <c r="H93" s="286"/>
      <c r="I93" s="286"/>
      <c r="J93" s="286"/>
      <c r="K93" s="286"/>
      <c r="L93" s="286"/>
      <c r="M93" s="286"/>
      <c r="N93" s="286"/>
      <c r="O93" s="286"/>
      <c r="P93" s="286"/>
      <c r="Q93" s="286"/>
      <c r="R93" s="286"/>
      <c r="S93" s="286"/>
      <c r="T93" s="286"/>
      <c r="U93" s="286"/>
      <c r="V93" s="286"/>
      <c r="W93" s="286"/>
      <c r="X93" s="286"/>
      <c r="Y93" s="286"/>
      <c r="Z93" s="286"/>
      <c r="AA93" s="286"/>
      <c r="AB93" s="286"/>
      <c r="AC93" s="286"/>
      <c r="AD93" s="286"/>
      <c r="AE93" s="286"/>
      <c r="AF93" s="286"/>
      <c r="AG93" s="686">
        <f>SUM(AG94:AM95)</f>
        <v>0</v>
      </c>
      <c r="AH93" s="686"/>
      <c r="AI93" s="686"/>
      <c r="AJ93" s="686"/>
      <c r="AK93" s="686"/>
      <c r="AL93" s="686"/>
      <c r="AM93" s="686"/>
      <c r="AN93" s="681">
        <f>SUM(AN94:AP95)</f>
        <v>0</v>
      </c>
      <c r="AO93" s="681"/>
      <c r="AP93" s="681"/>
      <c r="AQ93" s="282"/>
      <c r="AS93" s="287">
        <f>AS89</f>
        <v>30.61</v>
      </c>
      <c r="AT93" s="287">
        <f>AG93/$AS$118</f>
        <v>0</v>
      </c>
      <c r="AW93" s="287"/>
    </row>
    <row r="94" spans="1:49" s="292" customFormat="1" ht="12.75" customHeight="1">
      <c r="A94" s="212"/>
      <c r="B94" s="288"/>
      <c r="C94" s="289"/>
      <c r="D94" s="682" t="str">
        <f>D123</f>
        <v>Stavební úpravy objektu</v>
      </c>
      <c r="E94" s="682"/>
      <c r="F94" s="682"/>
      <c r="G94" s="682"/>
      <c r="H94" s="682"/>
      <c r="I94" s="682"/>
      <c r="J94" s="682"/>
      <c r="K94" s="682"/>
      <c r="L94" s="682"/>
      <c r="M94" s="682"/>
      <c r="N94" s="682"/>
      <c r="O94" s="682"/>
      <c r="P94" s="682"/>
      <c r="Q94" s="682"/>
      <c r="R94" s="682"/>
      <c r="S94" s="682"/>
      <c r="T94" s="682"/>
      <c r="U94" s="682"/>
      <c r="V94" s="682"/>
      <c r="W94" s="682"/>
      <c r="X94" s="682"/>
      <c r="Y94" s="682"/>
      <c r="Z94" s="682"/>
      <c r="AA94" s="682"/>
      <c r="AB94" s="682"/>
      <c r="AC94" s="682"/>
      <c r="AD94" s="682"/>
      <c r="AE94" s="682"/>
      <c r="AF94" s="672"/>
      <c r="AG94" s="683">
        <f>'stavební úpravy ROZ'!M29</f>
        <v>0</v>
      </c>
      <c r="AH94" s="684"/>
      <c r="AI94" s="684"/>
      <c r="AJ94" s="684"/>
      <c r="AK94" s="684"/>
      <c r="AL94" s="684"/>
      <c r="AM94" s="685"/>
      <c r="AN94" s="683">
        <f>ROUND(AG94*(1+$L$33),2)</f>
        <v>0</v>
      </c>
      <c r="AO94" s="684"/>
      <c r="AP94" s="684"/>
      <c r="AQ94" s="291"/>
      <c r="AS94" s="293"/>
      <c r="AT94" s="290">
        <f>AG94/$AS$118</f>
        <v>0</v>
      </c>
      <c r="AW94" s="290"/>
    </row>
    <row r="95" spans="1:49" s="292" customFormat="1" ht="12.75" customHeight="1">
      <c r="A95" s="212"/>
      <c r="B95" s="288"/>
      <c r="C95" s="289"/>
      <c r="D95" s="682" t="str">
        <f>D125</f>
        <v>Výrobky a specifikace</v>
      </c>
      <c r="E95" s="682"/>
      <c r="F95" s="682"/>
      <c r="G95" s="682"/>
      <c r="H95" s="682"/>
      <c r="I95" s="682"/>
      <c r="J95" s="682"/>
      <c r="K95" s="682"/>
      <c r="L95" s="682"/>
      <c r="M95" s="682"/>
      <c r="N95" s="682"/>
      <c r="O95" s="682"/>
      <c r="P95" s="682"/>
      <c r="Q95" s="682"/>
      <c r="R95" s="682"/>
      <c r="S95" s="682"/>
      <c r="T95" s="682"/>
      <c r="U95" s="682"/>
      <c r="V95" s="682"/>
      <c r="W95" s="682"/>
      <c r="X95" s="682"/>
      <c r="Y95" s="682"/>
      <c r="Z95" s="682"/>
      <c r="AA95" s="682"/>
      <c r="AB95" s="682"/>
      <c r="AC95" s="682"/>
      <c r="AD95" s="682"/>
      <c r="AE95" s="682"/>
      <c r="AF95" s="672"/>
      <c r="AG95" s="683">
        <f>'výrobky a specifikace'!O29</f>
        <v>0</v>
      </c>
      <c r="AH95" s="684"/>
      <c r="AI95" s="684"/>
      <c r="AJ95" s="684"/>
      <c r="AK95" s="684"/>
      <c r="AL95" s="684"/>
      <c r="AM95" s="685"/>
      <c r="AN95" s="683">
        <f>ROUND(AG95*(1+$L$33),2)</f>
        <v>0</v>
      </c>
      <c r="AO95" s="684"/>
      <c r="AP95" s="684"/>
      <c r="AQ95" s="291"/>
      <c r="AS95" s="293"/>
      <c r="AT95" s="290">
        <f>AG95/$AS$118</f>
        <v>0</v>
      </c>
      <c r="AW95" s="290"/>
    </row>
    <row r="96" spans="1:49">
      <c r="B96" s="237"/>
      <c r="AQ96" s="238"/>
    </row>
    <row r="97" spans="1:52" ht="30" customHeight="1">
      <c r="B97" s="237"/>
      <c r="C97" s="285" t="s">
        <v>2534</v>
      </c>
      <c r="AG97" s="681">
        <f>SUM(AG98:AM104)</f>
        <v>0</v>
      </c>
      <c r="AH97" s="681"/>
      <c r="AI97" s="681"/>
      <c r="AJ97" s="681"/>
      <c r="AK97" s="681"/>
      <c r="AL97" s="681"/>
      <c r="AM97" s="681"/>
      <c r="AN97" s="681">
        <f>SUM(AN98:AP104)</f>
        <v>0</v>
      </c>
      <c r="AO97" s="681"/>
      <c r="AP97" s="681"/>
      <c r="AQ97" s="238"/>
      <c r="AS97" s="287">
        <f>AS89</f>
        <v>30.61</v>
      </c>
      <c r="AT97" s="287">
        <f>AG97/$AS$127</f>
        <v>0</v>
      </c>
      <c r="AW97" s="287"/>
    </row>
    <row r="98" spans="1:52" s="292" customFormat="1" ht="12.75" customHeight="1">
      <c r="A98" s="212"/>
      <c r="B98" s="288"/>
      <c r="C98" s="289"/>
      <c r="D98" s="682" t="str">
        <f>D128</f>
        <v>D.1.4.1 - ZTI vodovod</v>
      </c>
      <c r="E98" s="682"/>
      <c r="F98" s="682"/>
      <c r="G98" s="682"/>
      <c r="H98" s="682"/>
      <c r="I98" s="682"/>
      <c r="J98" s="682"/>
      <c r="K98" s="682"/>
      <c r="L98" s="682"/>
      <c r="M98" s="682"/>
      <c r="N98" s="682"/>
      <c r="O98" s="682"/>
      <c r="P98" s="682"/>
      <c r="Q98" s="682"/>
      <c r="R98" s="682"/>
      <c r="S98" s="682"/>
      <c r="T98" s="682"/>
      <c r="U98" s="682"/>
      <c r="V98" s="682"/>
      <c r="W98" s="682"/>
      <c r="X98" s="682"/>
      <c r="Y98" s="682"/>
      <c r="Z98" s="682"/>
      <c r="AA98" s="682"/>
      <c r="AB98" s="682"/>
      <c r="AC98" s="682"/>
      <c r="AD98" s="682"/>
      <c r="AE98" s="682"/>
      <c r="AF98" s="672"/>
      <c r="AG98" s="683">
        <f>'ZTI vodovod'!G104</f>
        <v>0</v>
      </c>
      <c r="AH98" s="684"/>
      <c r="AI98" s="684"/>
      <c r="AJ98" s="684"/>
      <c r="AK98" s="684"/>
      <c r="AL98" s="684"/>
      <c r="AM98" s="685"/>
      <c r="AN98" s="683">
        <f t="shared" ref="AN98:AN104" si="0">ROUND(AG98*(1+$L$33),2)</f>
        <v>0</v>
      </c>
      <c r="AO98" s="684"/>
      <c r="AP98" s="684"/>
      <c r="AQ98" s="291"/>
      <c r="AS98" s="293"/>
      <c r="AT98" s="290">
        <f t="shared" ref="AT98:AT104" si="1">AG98/$AS$118</f>
        <v>0</v>
      </c>
      <c r="AW98" s="290"/>
    </row>
    <row r="99" spans="1:52" s="292" customFormat="1" ht="12.75" customHeight="1">
      <c r="A99" s="212"/>
      <c r="B99" s="288"/>
      <c r="C99" s="289"/>
      <c r="D99" s="682" t="str">
        <f>'ZTI kanalizace'!A5</f>
        <v>D.1.4.1 - ZTI kanalizace</v>
      </c>
      <c r="E99" s="682"/>
      <c r="F99" s="682"/>
      <c r="G99" s="682"/>
      <c r="H99" s="682"/>
      <c r="I99" s="682"/>
      <c r="J99" s="682"/>
      <c r="K99" s="682"/>
      <c r="L99" s="682"/>
      <c r="M99" s="682"/>
      <c r="N99" s="682"/>
      <c r="O99" s="682"/>
      <c r="P99" s="682"/>
      <c r="Q99" s="682"/>
      <c r="R99" s="682"/>
      <c r="S99" s="682"/>
      <c r="T99" s="682"/>
      <c r="U99" s="682"/>
      <c r="V99" s="682"/>
      <c r="W99" s="682"/>
      <c r="X99" s="682"/>
      <c r="Y99" s="682"/>
      <c r="Z99" s="682"/>
      <c r="AA99" s="682"/>
      <c r="AB99" s="682"/>
      <c r="AC99" s="682"/>
      <c r="AD99" s="682"/>
      <c r="AE99" s="682"/>
      <c r="AF99" s="672"/>
      <c r="AG99" s="683">
        <f>'ZTI kanalizace'!G142</f>
        <v>0</v>
      </c>
      <c r="AH99" s="684"/>
      <c r="AI99" s="684"/>
      <c r="AJ99" s="684"/>
      <c r="AK99" s="684"/>
      <c r="AL99" s="684"/>
      <c r="AM99" s="685"/>
      <c r="AN99" s="683">
        <f t="shared" si="0"/>
        <v>0</v>
      </c>
      <c r="AO99" s="684"/>
      <c r="AP99" s="684"/>
      <c r="AQ99" s="291"/>
      <c r="AS99" s="293"/>
      <c r="AT99" s="290">
        <f t="shared" si="1"/>
        <v>0</v>
      </c>
      <c r="AW99" s="290">
        <v>857448.83999999985</v>
      </c>
      <c r="AY99" s="252">
        <f>AG99</f>
        <v>0</v>
      </c>
      <c r="AZ99" s="292">
        <f>AY99-AW99</f>
        <v>-857448.83999999985</v>
      </c>
    </row>
    <row r="100" spans="1:52" s="292" customFormat="1" ht="12.75" customHeight="1">
      <c r="A100" s="212"/>
      <c r="B100" s="288"/>
      <c r="C100" s="289"/>
      <c r="D100" s="682" t="str">
        <f>D130</f>
        <v>D.1.4.2 - plynovod</v>
      </c>
      <c r="E100" s="682"/>
      <c r="F100" s="682"/>
      <c r="G100" s="682"/>
      <c r="H100" s="682"/>
      <c r="I100" s="682"/>
      <c r="J100" s="682"/>
      <c r="K100" s="682"/>
      <c r="L100" s="682"/>
      <c r="M100" s="682"/>
      <c r="N100" s="682"/>
      <c r="O100" s="682"/>
      <c r="P100" s="682"/>
      <c r="Q100" s="682"/>
      <c r="R100" s="682"/>
      <c r="S100" s="682"/>
      <c r="T100" s="682"/>
      <c r="U100" s="682"/>
      <c r="V100" s="682"/>
      <c r="W100" s="682"/>
      <c r="X100" s="682"/>
      <c r="Y100" s="682"/>
      <c r="Z100" s="682"/>
      <c r="AA100" s="682"/>
      <c r="AB100" s="682"/>
      <c r="AC100" s="682"/>
      <c r="AD100" s="682"/>
      <c r="AE100" s="682"/>
      <c r="AF100" s="672"/>
      <c r="AG100" s="683">
        <f>'ZTI plynovod'!G43</f>
        <v>0</v>
      </c>
      <c r="AH100" s="684"/>
      <c r="AI100" s="684"/>
      <c r="AJ100" s="684"/>
      <c r="AK100" s="684"/>
      <c r="AL100" s="684"/>
      <c r="AM100" s="685"/>
      <c r="AN100" s="683">
        <f t="shared" si="0"/>
        <v>0</v>
      </c>
      <c r="AO100" s="684"/>
      <c r="AP100" s="684"/>
      <c r="AQ100" s="291"/>
      <c r="AS100" s="293"/>
      <c r="AT100" s="290">
        <f t="shared" si="1"/>
        <v>0</v>
      </c>
      <c r="AW100" s="290"/>
    </row>
    <row r="101" spans="1:52" s="292" customFormat="1" ht="12.75" customHeight="1">
      <c r="A101" s="212"/>
      <c r="B101" s="288"/>
      <c r="C101" s="289"/>
      <c r="D101" s="682" t="str">
        <f>D131</f>
        <v>D.1.4.3  - VZT</v>
      </c>
      <c r="E101" s="682"/>
      <c r="F101" s="682"/>
      <c r="G101" s="682"/>
      <c r="H101" s="682"/>
      <c r="I101" s="682"/>
      <c r="J101" s="682"/>
      <c r="K101" s="682"/>
      <c r="L101" s="682"/>
      <c r="M101" s="682"/>
      <c r="N101" s="682"/>
      <c r="O101" s="682"/>
      <c r="P101" s="682"/>
      <c r="Q101" s="682"/>
      <c r="R101" s="682"/>
      <c r="S101" s="682"/>
      <c r="T101" s="682"/>
      <c r="U101" s="682"/>
      <c r="V101" s="682"/>
      <c r="W101" s="682"/>
      <c r="X101" s="682"/>
      <c r="Y101" s="682"/>
      <c r="Z101" s="682"/>
      <c r="AA101" s="682"/>
      <c r="AB101" s="682"/>
      <c r="AC101" s="682"/>
      <c r="AD101" s="682"/>
      <c r="AE101" s="682"/>
      <c r="AF101" s="672"/>
      <c r="AG101" s="683">
        <f>VZT!M380</f>
        <v>0</v>
      </c>
      <c r="AH101" s="684"/>
      <c r="AI101" s="684"/>
      <c r="AJ101" s="684"/>
      <c r="AK101" s="684"/>
      <c r="AL101" s="684"/>
      <c r="AM101" s="685"/>
      <c r="AN101" s="683">
        <f t="shared" si="0"/>
        <v>0</v>
      </c>
      <c r="AO101" s="684"/>
      <c r="AP101" s="684"/>
      <c r="AQ101" s="291"/>
      <c r="AS101" s="293"/>
      <c r="AT101" s="290">
        <f t="shared" si="1"/>
        <v>0</v>
      </c>
      <c r="AW101" s="290"/>
    </row>
    <row r="102" spans="1:52" s="292" customFormat="1" ht="12.75" customHeight="1">
      <c r="A102" s="212"/>
      <c r="B102" s="288"/>
      <c r="C102" s="289"/>
      <c r="D102" s="682" t="str">
        <f>D132</f>
        <v>D.1.4.4  - Ústřední vytápění</v>
      </c>
      <c r="E102" s="682"/>
      <c r="F102" s="682"/>
      <c r="G102" s="682"/>
      <c r="H102" s="682"/>
      <c r="I102" s="682"/>
      <c r="J102" s="682"/>
      <c r="K102" s="682"/>
      <c r="L102" s="682"/>
      <c r="M102" s="682"/>
      <c r="N102" s="682"/>
      <c r="O102" s="682"/>
      <c r="P102" s="682"/>
      <c r="Q102" s="682"/>
      <c r="R102" s="682"/>
      <c r="S102" s="682"/>
      <c r="T102" s="682"/>
      <c r="U102" s="682"/>
      <c r="V102" s="682"/>
      <c r="W102" s="682"/>
      <c r="X102" s="682"/>
      <c r="Y102" s="682"/>
      <c r="Z102" s="682"/>
      <c r="AA102" s="682"/>
      <c r="AB102" s="682"/>
      <c r="AC102" s="682"/>
      <c r="AD102" s="682"/>
      <c r="AE102" s="682"/>
      <c r="AF102" s="672"/>
      <c r="AG102" s="683">
        <f>'Ústřední vytápění'!H195</f>
        <v>0</v>
      </c>
      <c r="AH102" s="684"/>
      <c r="AI102" s="684"/>
      <c r="AJ102" s="684"/>
      <c r="AK102" s="684"/>
      <c r="AL102" s="684"/>
      <c r="AM102" s="685"/>
      <c r="AN102" s="683">
        <f t="shared" si="0"/>
        <v>0</v>
      </c>
      <c r="AO102" s="684"/>
      <c r="AP102" s="684"/>
      <c r="AQ102" s="291"/>
      <c r="AS102" s="293"/>
      <c r="AT102" s="290">
        <f t="shared" si="1"/>
        <v>0</v>
      </c>
      <c r="AW102" s="290"/>
    </row>
    <row r="103" spans="1:52" s="292" customFormat="1" ht="12.75" customHeight="1">
      <c r="A103" s="212"/>
      <c r="B103" s="288"/>
      <c r="C103" s="289"/>
      <c r="D103" s="682" t="str">
        <f>D133</f>
        <v>D.1.6.1 - elektro SIL+SLA</v>
      </c>
      <c r="E103" s="682"/>
      <c r="F103" s="682"/>
      <c r="G103" s="682"/>
      <c r="H103" s="682"/>
      <c r="I103" s="682"/>
      <c r="J103" s="682"/>
      <c r="K103" s="682"/>
      <c r="L103" s="682"/>
      <c r="M103" s="682"/>
      <c r="N103" s="682"/>
      <c r="O103" s="682"/>
      <c r="P103" s="682"/>
      <c r="Q103" s="682"/>
      <c r="R103" s="682"/>
      <c r="S103" s="682"/>
      <c r="T103" s="682"/>
      <c r="U103" s="682"/>
      <c r="V103" s="682"/>
      <c r="W103" s="682"/>
      <c r="X103" s="682"/>
      <c r="Y103" s="682"/>
      <c r="Z103" s="682"/>
      <c r="AA103" s="682"/>
      <c r="AB103" s="682"/>
      <c r="AC103" s="682"/>
      <c r="AD103" s="682"/>
      <c r="AE103" s="682"/>
      <c r="AF103" s="672"/>
      <c r="AG103" s="683">
        <f>'elektro SIL+SLA'!H223</f>
        <v>0</v>
      </c>
      <c r="AH103" s="684"/>
      <c r="AI103" s="684"/>
      <c r="AJ103" s="684"/>
      <c r="AK103" s="684"/>
      <c r="AL103" s="684"/>
      <c r="AM103" s="685"/>
      <c r="AN103" s="683">
        <f t="shared" si="0"/>
        <v>0</v>
      </c>
      <c r="AO103" s="684"/>
      <c r="AP103" s="684"/>
      <c r="AQ103" s="291"/>
      <c r="AS103" s="293"/>
      <c r="AT103" s="290">
        <f t="shared" si="1"/>
        <v>0</v>
      </c>
      <c r="AW103" s="290"/>
    </row>
    <row r="104" spans="1:52" s="292" customFormat="1" ht="12.75" customHeight="1">
      <c r="A104" s="212"/>
      <c r="B104" s="288"/>
      <c r="C104" s="289"/>
      <c r="D104" s="682" t="str">
        <f>D134</f>
        <v>D.1.6.2 - EZS+CCTV</v>
      </c>
      <c r="E104" s="682"/>
      <c r="F104" s="682"/>
      <c r="G104" s="682"/>
      <c r="H104" s="682"/>
      <c r="I104" s="682"/>
      <c r="J104" s="682"/>
      <c r="K104" s="682"/>
      <c r="L104" s="682"/>
      <c r="M104" s="682"/>
      <c r="N104" s="682"/>
      <c r="O104" s="682"/>
      <c r="P104" s="682"/>
      <c r="Q104" s="682"/>
      <c r="R104" s="682"/>
      <c r="S104" s="682"/>
      <c r="T104" s="682"/>
      <c r="U104" s="682"/>
      <c r="V104" s="682"/>
      <c r="W104" s="682"/>
      <c r="X104" s="682"/>
      <c r="Y104" s="682"/>
      <c r="Z104" s="682"/>
      <c r="AA104" s="682"/>
      <c r="AB104" s="682"/>
      <c r="AC104" s="682"/>
      <c r="AD104" s="682"/>
      <c r="AE104" s="682"/>
      <c r="AF104" s="672"/>
      <c r="AG104" s="683">
        <f>'EZS+CCTV'!H37</f>
        <v>0</v>
      </c>
      <c r="AH104" s="684"/>
      <c r="AI104" s="684"/>
      <c r="AJ104" s="684"/>
      <c r="AK104" s="684"/>
      <c r="AL104" s="684"/>
      <c r="AM104" s="685"/>
      <c r="AN104" s="683">
        <f t="shared" si="0"/>
        <v>0</v>
      </c>
      <c r="AO104" s="684"/>
      <c r="AP104" s="684"/>
      <c r="AQ104" s="291"/>
      <c r="AS104" s="293"/>
      <c r="AT104" s="290">
        <f t="shared" si="1"/>
        <v>0</v>
      </c>
      <c r="AW104" s="290"/>
    </row>
    <row r="105" spans="1:52">
      <c r="B105" s="237"/>
      <c r="AQ105" s="238"/>
    </row>
    <row r="106" spans="1:52" ht="30" customHeight="1">
      <c r="B106" s="237"/>
      <c r="C106" s="285" t="s">
        <v>2535</v>
      </c>
      <c r="AG106" s="681">
        <f>SUM(AI107:AM114)</f>
        <v>0</v>
      </c>
      <c r="AH106" s="681"/>
      <c r="AI106" s="681"/>
      <c r="AJ106" s="681"/>
      <c r="AK106" s="681"/>
      <c r="AL106" s="681"/>
      <c r="AM106" s="681"/>
      <c r="AN106" s="681">
        <f>SUM(AN107:AP114)</f>
        <v>0</v>
      </c>
      <c r="AO106" s="681"/>
      <c r="AP106" s="681"/>
      <c r="AQ106" s="238"/>
      <c r="AS106" s="287"/>
      <c r="AT106" s="287">
        <f>AG106/$AS$127</f>
        <v>0</v>
      </c>
      <c r="AW106" s="287"/>
    </row>
    <row r="107" spans="1:52" s="292" customFormat="1" ht="12.75">
      <c r="A107" s="1"/>
      <c r="B107" s="288"/>
      <c r="C107" s="289"/>
      <c r="D107" s="672" t="s">
        <v>119</v>
      </c>
      <c r="E107" s="673"/>
      <c r="F107" s="673"/>
      <c r="G107" s="673"/>
      <c r="H107" s="673"/>
      <c r="I107" s="673"/>
      <c r="J107" s="673"/>
      <c r="K107" s="673"/>
      <c r="L107" s="673"/>
      <c r="M107" s="673"/>
      <c r="N107" s="673"/>
      <c r="O107" s="673"/>
      <c r="P107" s="673"/>
      <c r="Q107" s="673"/>
      <c r="R107" s="673"/>
      <c r="S107" s="673"/>
      <c r="T107" s="673"/>
      <c r="U107" s="674" t="s">
        <v>70</v>
      </c>
      <c r="V107" s="674"/>
      <c r="W107" s="674"/>
      <c r="X107" s="675"/>
      <c r="Y107" s="675"/>
      <c r="Z107" s="675"/>
      <c r="AA107" s="676">
        <f>AG89+AG93</f>
        <v>0</v>
      </c>
      <c r="AB107" s="676"/>
      <c r="AC107" s="676"/>
      <c r="AD107" s="676"/>
      <c r="AE107" s="676"/>
      <c r="AF107" s="676"/>
      <c r="AG107" s="676"/>
      <c r="AH107" s="676"/>
      <c r="AI107" s="677">
        <f t="shared" ref="AI107:AI114" si="2">AA107*X107</f>
        <v>0</v>
      </c>
      <c r="AJ107" s="677"/>
      <c r="AK107" s="677"/>
      <c r="AL107" s="677"/>
      <c r="AM107" s="677"/>
      <c r="AN107" s="678">
        <f>ROUND(AI107*(1+$L$33),2)</f>
        <v>0</v>
      </c>
      <c r="AO107" s="679"/>
      <c r="AP107" s="680"/>
      <c r="AQ107" s="291"/>
      <c r="AS107" s="295"/>
      <c r="AT107" s="294">
        <f t="shared" ref="AT107:AT114" si="3">AI107/$AS$118</f>
        <v>0</v>
      </c>
      <c r="AW107" s="294"/>
    </row>
    <row r="108" spans="1:52" s="292" customFormat="1" ht="28.5" customHeight="1">
      <c r="A108" s="1"/>
      <c r="B108" s="288"/>
      <c r="C108" s="289"/>
      <c r="D108" s="672" t="s">
        <v>120</v>
      </c>
      <c r="E108" s="673"/>
      <c r="F108" s="673"/>
      <c r="G108" s="673"/>
      <c r="H108" s="673"/>
      <c r="I108" s="673"/>
      <c r="J108" s="673"/>
      <c r="K108" s="673"/>
      <c r="L108" s="673"/>
      <c r="M108" s="673"/>
      <c r="N108" s="673"/>
      <c r="O108" s="673"/>
      <c r="P108" s="673"/>
      <c r="Q108" s="673"/>
      <c r="R108" s="673"/>
      <c r="S108" s="673"/>
      <c r="T108" s="673"/>
      <c r="U108" s="674" t="s">
        <v>70</v>
      </c>
      <c r="V108" s="674"/>
      <c r="W108" s="674"/>
      <c r="X108" s="675"/>
      <c r="Y108" s="675"/>
      <c r="Z108" s="675"/>
      <c r="AA108" s="676">
        <f>AA107</f>
        <v>0</v>
      </c>
      <c r="AB108" s="676"/>
      <c r="AC108" s="676"/>
      <c r="AD108" s="676"/>
      <c r="AE108" s="676"/>
      <c r="AF108" s="676"/>
      <c r="AG108" s="676"/>
      <c r="AH108" s="676"/>
      <c r="AI108" s="677">
        <f t="shared" si="2"/>
        <v>0</v>
      </c>
      <c r="AJ108" s="677"/>
      <c r="AK108" s="677"/>
      <c r="AL108" s="677"/>
      <c r="AM108" s="677"/>
      <c r="AN108" s="678">
        <f t="shared" ref="AN108:AN114" si="4">ROUND(AI108*(1+$L$33),2)</f>
        <v>0</v>
      </c>
      <c r="AO108" s="679"/>
      <c r="AP108" s="680"/>
      <c r="AQ108" s="291"/>
      <c r="AS108" s="295"/>
      <c r="AT108" s="294">
        <f t="shared" si="3"/>
        <v>0</v>
      </c>
      <c r="AW108" s="294"/>
    </row>
    <row r="109" spans="1:52" s="292" customFormat="1" ht="28.5" customHeight="1">
      <c r="A109" s="1"/>
      <c r="B109" s="288"/>
      <c r="C109" s="289"/>
      <c r="D109" s="672" t="s">
        <v>179</v>
      </c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4" t="s">
        <v>70</v>
      </c>
      <c r="V109" s="674"/>
      <c r="W109" s="674"/>
      <c r="X109" s="675"/>
      <c r="Y109" s="675"/>
      <c r="Z109" s="675"/>
      <c r="AA109" s="676">
        <f>AA107</f>
        <v>0</v>
      </c>
      <c r="AB109" s="676"/>
      <c r="AC109" s="676"/>
      <c r="AD109" s="676"/>
      <c r="AE109" s="676"/>
      <c r="AF109" s="676"/>
      <c r="AG109" s="676"/>
      <c r="AH109" s="676"/>
      <c r="AI109" s="677">
        <f t="shared" si="2"/>
        <v>0</v>
      </c>
      <c r="AJ109" s="677"/>
      <c r="AK109" s="677"/>
      <c r="AL109" s="677"/>
      <c r="AM109" s="677"/>
      <c r="AN109" s="678">
        <f t="shared" si="4"/>
        <v>0</v>
      </c>
      <c r="AO109" s="679"/>
      <c r="AP109" s="680"/>
      <c r="AQ109" s="291"/>
      <c r="AS109" s="295"/>
      <c r="AT109" s="294">
        <f t="shared" si="3"/>
        <v>0</v>
      </c>
      <c r="AW109" s="294"/>
    </row>
    <row r="110" spans="1:52" s="292" customFormat="1" ht="12.75">
      <c r="A110" s="1"/>
      <c r="B110" s="288"/>
      <c r="C110" s="289"/>
      <c r="D110" s="672" t="s">
        <v>2327</v>
      </c>
      <c r="E110" s="673"/>
      <c r="F110" s="673"/>
      <c r="G110" s="673"/>
      <c r="H110" s="673"/>
      <c r="I110" s="673"/>
      <c r="J110" s="673"/>
      <c r="K110" s="673"/>
      <c r="L110" s="673"/>
      <c r="M110" s="673"/>
      <c r="N110" s="673"/>
      <c r="O110" s="673"/>
      <c r="P110" s="673"/>
      <c r="Q110" s="673"/>
      <c r="R110" s="673"/>
      <c r="S110" s="673"/>
      <c r="T110" s="673"/>
      <c r="U110" s="674" t="s">
        <v>70</v>
      </c>
      <c r="V110" s="674"/>
      <c r="W110" s="674"/>
      <c r="X110" s="675"/>
      <c r="Y110" s="675"/>
      <c r="Z110" s="675"/>
      <c r="AA110" s="676">
        <f>AA107</f>
        <v>0</v>
      </c>
      <c r="AB110" s="676"/>
      <c r="AC110" s="676"/>
      <c r="AD110" s="676"/>
      <c r="AE110" s="676"/>
      <c r="AF110" s="676"/>
      <c r="AG110" s="676"/>
      <c r="AH110" s="676"/>
      <c r="AI110" s="677">
        <f t="shared" si="2"/>
        <v>0</v>
      </c>
      <c r="AJ110" s="677"/>
      <c r="AK110" s="677"/>
      <c r="AL110" s="677"/>
      <c r="AM110" s="677"/>
      <c r="AN110" s="678">
        <f t="shared" si="4"/>
        <v>0</v>
      </c>
      <c r="AO110" s="679"/>
      <c r="AP110" s="680"/>
      <c r="AQ110" s="291"/>
      <c r="AS110" s="295"/>
      <c r="AT110" s="294">
        <f t="shared" si="3"/>
        <v>0</v>
      </c>
      <c r="AW110" s="294"/>
    </row>
    <row r="111" spans="1:52" s="292" customFormat="1" ht="12.75">
      <c r="A111" s="1"/>
      <c r="B111" s="288"/>
      <c r="C111" s="289"/>
      <c r="D111" s="672" t="s">
        <v>2328</v>
      </c>
      <c r="E111" s="673"/>
      <c r="F111" s="673"/>
      <c r="G111" s="673"/>
      <c r="H111" s="673"/>
      <c r="I111" s="673"/>
      <c r="J111" s="673"/>
      <c r="K111" s="673"/>
      <c r="L111" s="673"/>
      <c r="M111" s="673"/>
      <c r="N111" s="673"/>
      <c r="O111" s="673"/>
      <c r="P111" s="673"/>
      <c r="Q111" s="673"/>
      <c r="R111" s="673"/>
      <c r="S111" s="673"/>
      <c r="T111" s="673"/>
      <c r="U111" s="674" t="s">
        <v>70</v>
      </c>
      <c r="V111" s="674"/>
      <c r="W111" s="674"/>
      <c r="X111" s="675"/>
      <c r="Y111" s="675"/>
      <c r="Z111" s="675"/>
      <c r="AA111" s="676">
        <f>AA107</f>
        <v>0</v>
      </c>
      <c r="AB111" s="676"/>
      <c r="AC111" s="676"/>
      <c r="AD111" s="676"/>
      <c r="AE111" s="676"/>
      <c r="AF111" s="676"/>
      <c r="AG111" s="676"/>
      <c r="AH111" s="676"/>
      <c r="AI111" s="677">
        <f t="shared" si="2"/>
        <v>0</v>
      </c>
      <c r="AJ111" s="677"/>
      <c r="AK111" s="677"/>
      <c r="AL111" s="677"/>
      <c r="AM111" s="677"/>
      <c r="AN111" s="678">
        <f t="shared" si="4"/>
        <v>0</v>
      </c>
      <c r="AO111" s="679"/>
      <c r="AP111" s="680"/>
      <c r="AQ111" s="291"/>
      <c r="AS111" s="295"/>
      <c r="AT111" s="294">
        <f t="shared" si="3"/>
        <v>0</v>
      </c>
      <c r="AW111" s="294"/>
    </row>
    <row r="112" spans="1:52" s="292" customFormat="1" ht="12.75">
      <c r="A112" s="1"/>
      <c r="B112" s="288"/>
      <c r="C112" s="289"/>
      <c r="D112" s="672" t="s">
        <v>2329</v>
      </c>
      <c r="E112" s="673"/>
      <c r="F112" s="673"/>
      <c r="G112" s="673"/>
      <c r="H112" s="673"/>
      <c r="I112" s="673"/>
      <c r="J112" s="673"/>
      <c r="K112" s="673"/>
      <c r="L112" s="673"/>
      <c r="M112" s="673"/>
      <c r="N112" s="673"/>
      <c r="O112" s="673"/>
      <c r="P112" s="673"/>
      <c r="Q112" s="673"/>
      <c r="R112" s="673"/>
      <c r="S112" s="673"/>
      <c r="T112" s="673"/>
      <c r="U112" s="674" t="s">
        <v>70</v>
      </c>
      <c r="V112" s="674"/>
      <c r="W112" s="674"/>
      <c r="X112" s="675"/>
      <c r="Y112" s="675"/>
      <c r="Z112" s="675"/>
      <c r="AA112" s="676">
        <f>AA107</f>
        <v>0</v>
      </c>
      <c r="AB112" s="676"/>
      <c r="AC112" s="676"/>
      <c r="AD112" s="676"/>
      <c r="AE112" s="676"/>
      <c r="AF112" s="676"/>
      <c r="AG112" s="676"/>
      <c r="AH112" s="676"/>
      <c r="AI112" s="677">
        <f t="shared" si="2"/>
        <v>0</v>
      </c>
      <c r="AJ112" s="677"/>
      <c r="AK112" s="677"/>
      <c r="AL112" s="677"/>
      <c r="AM112" s="677"/>
      <c r="AN112" s="678">
        <f t="shared" si="4"/>
        <v>0</v>
      </c>
      <c r="AO112" s="679"/>
      <c r="AP112" s="680"/>
      <c r="AQ112" s="291"/>
      <c r="AS112" s="295"/>
      <c r="AT112" s="294">
        <f t="shared" si="3"/>
        <v>0</v>
      </c>
      <c r="AW112" s="294"/>
    </row>
    <row r="113" spans="1:52" s="292" customFormat="1" ht="39.75" customHeight="1">
      <c r="A113" s="1"/>
      <c r="B113" s="288"/>
      <c r="C113" s="289"/>
      <c r="D113" s="672" t="s">
        <v>121</v>
      </c>
      <c r="E113" s="673"/>
      <c r="F113" s="673"/>
      <c r="G113" s="673"/>
      <c r="H113" s="673"/>
      <c r="I113" s="673"/>
      <c r="J113" s="673"/>
      <c r="K113" s="673"/>
      <c r="L113" s="673"/>
      <c r="M113" s="673"/>
      <c r="N113" s="673"/>
      <c r="O113" s="673"/>
      <c r="P113" s="673"/>
      <c r="Q113" s="673"/>
      <c r="R113" s="673"/>
      <c r="S113" s="673"/>
      <c r="T113" s="673"/>
      <c r="U113" s="674" t="s">
        <v>70</v>
      </c>
      <c r="V113" s="674"/>
      <c r="W113" s="674"/>
      <c r="X113" s="675"/>
      <c r="Y113" s="675"/>
      <c r="Z113" s="675"/>
      <c r="AA113" s="676">
        <f>AA107</f>
        <v>0</v>
      </c>
      <c r="AB113" s="676"/>
      <c r="AC113" s="676"/>
      <c r="AD113" s="676"/>
      <c r="AE113" s="676"/>
      <c r="AF113" s="676"/>
      <c r="AG113" s="676"/>
      <c r="AH113" s="676"/>
      <c r="AI113" s="677">
        <f t="shared" si="2"/>
        <v>0</v>
      </c>
      <c r="AJ113" s="677"/>
      <c r="AK113" s="677"/>
      <c r="AL113" s="677"/>
      <c r="AM113" s="677"/>
      <c r="AN113" s="678">
        <f t="shared" si="4"/>
        <v>0</v>
      </c>
      <c r="AO113" s="679"/>
      <c r="AP113" s="680"/>
      <c r="AQ113" s="291"/>
      <c r="AS113" s="295"/>
      <c r="AT113" s="294">
        <f t="shared" si="3"/>
        <v>0</v>
      </c>
      <c r="AW113" s="294"/>
    </row>
    <row r="114" spans="1:52" s="292" customFormat="1" ht="28.5" customHeight="1">
      <c r="A114" s="1"/>
      <c r="B114" s="288"/>
      <c r="C114" s="289"/>
      <c r="D114" s="672" t="s">
        <v>2324</v>
      </c>
      <c r="E114" s="673"/>
      <c r="F114" s="673"/>
      <c r="G114" s="673"/>
      <c r="H114" s="673"/>
      <c r="I114" s="673"/>
      <c r="J114" s="673"/>
      <c r="K114" s="673"/>
      <c r="L114" s="673"/>
      <c r="M114" s="673"/>
      <c r="N114" s="673"/>
      <c r="O114" s="673"/>
      <c r="P114" s="673"/>
      <c r="Q114" s="673"/>
      <c r="R114" s="673"/>
      <c r="S114" s="673"/>
      <c r="T114" s="673"/>
      <c r="U114" s="674" t="s">
        <v>70</v>
      </c>
      <c r="V114" s="674"/>
      <c r="W114" s="674"/>
      <c r="X114" s="675"/>
      <c r="Y114" s="675"/>
      <c r="Z114" s="675"/>
      <c r="AA114" s="676">
        <f>AA107</f>
        <v>0</v>
      </c>
      <c r="AB114" s="676"/>
      <c r="AC114" s="676"/>
      <c r="AD114" s="676"/>
      <c r="AE114" s="676"/>
      <c r="AF114" s="676"/>
      <c r="AG114" s="676"/>
      <c r="AH114" s="676"/>
      <c r="AI114" s="677">
        <f t="shared" si="2"/>
        <v>0</v>
      </c>
      <c r="AJ114" s="677"/>
      <c r="AK114" s="677"/>
      <c r="AL114" s="677"/>
      <c r="AM114" s="677"/>
      <c r="AN114" s="678">
        <f t="shared" si="4"/>
        <v>0</v>
      </c>
      <c r="AO114" s="679"/>
      <c r="AP114" s="680"/>
      <c r="AQ114" s="291"/>
      <c r="AS114" s="295"/>
      <c r="AT114" s="294">
        <f t="shared" si="3"/>
        <v>0</v>
      </c>
      <c r="AW114" s="294"/>
    </row>
    <row r="115" spans="1:52">
      <c r="B115" s="237"/>
      <c r="AQ115" s="238"/>
    </row>
    <row r="116" spans="1:52" ht="30" customHeight="1">
      <c r="B116" s="237"/>
      <c r="C116" s="296" t="s">
        <v>2536</v>
      </c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669">
        <f>ROUND(AG89+AG93+AG97+AG106,1)</f>
        <v>0</v>
      </c>
      <c r="AH116" s="669"/>
      <c r="AI116" s="669"/>
      <c r="AJ116" s="669"/>
      <c r="AK116" s="669"/>
      <c r="AL116" s="669"/>
      <c r="AM116" s="669"/>
      <c r="AN116" s="669">
        <f>AN89+AN93+AN97+AN106</f>
        <v>0</v>
      </c>
      <c r="AO116" s="669"/>
      <c r="AP116" s="669"/>
      <c r="AQ116" s="238"/>
      <c r="AS116" s="298"/>
      <c r="AT116" s="298">
        <f>AG116/$AS$89</f>
        <v>0</v>
      </c>
      <c r="AW116" s="298"/>
    </row>
    <row r="117" spans="1:52" s="292" customFormat="1" ht="28.5" customHeight="1">
      <c r="A117" s="212"/>
      <c r="B117" s="288"/>
      <c r="C117" s="289"/>
      <c r="D117" s="299"/>
      <c r="E117" s="299"/>
      <c r="F117" s="299"/>
      <c r="G117" s="299"/>
      <c r="H117" s="299"/>
      <c r="I117" s="299"/>
      <c r="J117" s="299"/>
      <c r="K117" s="299"/>
      <c r="L117" s="299"/>
      <c r="M117" s="299"/>
      <c r="N117" s="299"/>
      <c r="O117" s="299"/>
      <c r="P117" s="299"/>
      <c r="Q117" s="299"/>
      <c r="R117" s="299"/>
      <c r="S117" s="299"/>
      <c r="T117" s="299"/>
      <c r="U117" s="300"/>
      <c r="V117" s="300"/>
      <c r="W117" s="300"/>
      <c r="X117" s="301"/>
      <c r="Y117" s="301"/>
      <c r="Z117" s="301"/>
      <c r="AA117" s="213"/>
      <c r="AB117" s="213"/>
      <c r="AC117" s="213"/>
      <c r="AD117" s="213"/>
      <c r="AE117" s="213"/>
      <c r="AF117" s="213"/>
      <c r="AG117" s="213"/>
      <c r="AH117" s="213"/>
      <c r="AI117" s="214"/>
      <c r="AJ117" s="214"/>
      <c r="AK117" s="214"/>
      <c r="AL117" s="214"/>
      <c r="AM117" s="214"/>
      <c r="AN117" s="293"/>
      <c r="AO117" s="302"/>
      <c r="AP117" s="302"/>
      <c r="AQ117" s="291"/>
      <c r="AS117" s="293"/>
      <c r="AT117" s="293"/>
      <c r="AW117" s="293"/>
    </row>
    <row r="118" spans="1:52" s="281" customFormat="1" ht="32.450000000000003" customHeight="1">
      <c r="B118" s="280"/>
      <c r="C118" s="285" t="s">
        <v>1941</v>
      </c>
      <c r="D118" s="286"/>
      <c r="E118" s="286"/>
      <c r="F118" s="286"/>
      <c r="G118" s="286"/>
      <c r="H118" s="286"/>
      <c r="I118" s="286"/>
      <c r="J118" s="286"/>
      <c r="K118" s="286"/>
      <c r="L118" s="286"/>
      <c r="M118" s="286"/>
      <c r="N118" s="286"/>
      <c r="O118" s="286"/>
      <c r="P118" s="286"/>
      <c r="Q118" s="286"/>
      <c r="R118" s="286"/>
      <c r="S118" s="286"/>
      <c r="T118" s="286"/>
      <c r="U118" s="286"/>
      <c r="V118" s="286"/>
      <c r="W118" s="286"/>
      <c r="X118" s="286"/>
      <c r="Y118" s="286"/>
      <c r="Z118" s="286"/>
      <c r="AA118" s="286"/>
      <c r="AB118" s="286"/>
      <c r="AC118" s="286"/>
      <c r="AD118" s="286"/>
      <c r="AE118" s="286"/>
      <c r="AF118" s="286"/>
      <c r="AG118" s="686">
        <f>SUM(AG119:AM120)</f>
        <v>0</v>
      </c>
      <c r="AH118" s="686"/>
      <c r="AI118" s="686"/>
      <c r="AJ118" s="686"/>
      <c r="AK118" s="686"/>
      <c r="AL118" s="686"/>
      <c r="AM118" s="686"/>
      <c r="AN118" s="681">
        <f>SUM(AN119:AP120)</f>
        <v>0</v>
      </c>
      <c r="AO118" s="681"/>
      <c r="AP118" s="681"/>
      <c r="AQ118" s="282"/>
      <c r="AS118" s="287">
        <f>286.4+281.2+9.9+256.93-AS89</f>
        <v>803.81999999999982</v>
      </c>
      <c r="AT118" s="287">
        <f>AG118/$AS$118</f>
        <v>0</v>
      </c>
      <c r="AW118" s="287">
        <v>4310298.92</v>
      </c>
    </row>
    <row r="119" spans="1:52" s="292" customFormat="1" ht="12.75" customHeight="1">
      <c r="A119" s="212"/>
      <c r="B119" s="288"/>
      <c r="C119" s="289"/>
      <c r="D119" s="682" t="str">
        <f>'bourání a demolice ROZ'!F5</f>
        <v>Bourání a demolice</v>
      </c>
      <c r="E119" s="682"/>
      <c r="F119" s="682"/>
      <c r="G119" s="682"/>
      <c r="H119" s="682"/>
      <c r="I119" s="682"/>
      <c r="J119" s="682"/>
      <c r="K119" s="682"/>
      <c r="L119" s="682"/>
      <c r="M119" s="682"/>
      <c r="N119" s="682"/>
      <c r="O119" s="682"/>
      <c r="P119" s="682"/>
      <c r="Q119" s="682"/>
      <c r="R119" s="682"/>
      <c r="S119" s="682"/>
      <c r="T119" s="682"/>
      <c r="U119" s="682"/>
      <c r="V119" s="682"/>
      <c r="W119" s="682"/>
      <c r="X119" s="682"/>
      <c r="Y119" s="682"/>
      <c r="Z119" s="682"/>
      <c r="AA119" s="682"/>
      <c r="AB119" s="682"/>
      <c r="AC119" s="682"/>
      <c r="AD119" s="682"/>
      <c r="AE119" s="682"/>
      <c r="AF119" s="672"/>
      <c r="AG119" s="683">
        <f>'bourání a demolice ROZ'!M30</f>
        <v>0</v>
      </c>
      <c r="AH119" s="684"/>
      <c r="AI119" s="684"/>
      <c r="AJ119" s="684"/>
      <c r="AK119" s="684"/>
      <c r="AL119" s="684"/>
      <c r="AM119" s="685"/>
      <c r="AN119" s="683">
        <f>ROUND(AG119*(1+$L$33),2)</f>
        <v>0</v>
      </c>
      <c r="AO119" s="684"/>
      <c r="AP119" s="684"/>
      <c r="AQ119" s="291"/>
      <c r="AS119" s="293"/>
      <c r="AT119" s="290">
        <f>AG119/$AS$118</f>
        <v>0</v>
      </c>
      <c r="AW119" s="290">
        <v>1409019.59</v>
      </c>
      <c r="AY119" s="252">
        <f>AG119+AG90</f>
        <v>0</v>
      </c>
      <c r="AZ119" s="252">
        <f>AY119-AW119</f>
        <v>-1409019.59</v>
      </c>
    </row>
    <row r="120" spans="1:52" s="292" customFormat="1" ht="12.75" customHeight="1">
      <c r="A120" s="212"/>
      <c r="B120" s="288"/>
      <c r="C120" s="289"/>
      <c r="D120" s="682" t="str">
        <f>'sanace ROZ'!F5</f>
        <v>Sanace</v>
      </c>
      <c r="E120" s="682"/>
      <c r="F120" s="682"/>
      <c r="G120" s="682"/>
      <c r="H120" s="682"/>
      <c r="I120" s="682"/>
      <c r="J120" s="682"/>
      <c r="K120" s="682"/>
      <c r="L120" s="682"/>
      <c r="M120" s="682"/>
      <c r="N120" s="682"/>
      <c r="O120" s="682"/>
      <c r="P120" s="682"/>
      <c r="Q120" s="682"/>
      <c r="R120" s="682"/>
      <c r="S120" s="682"/>
      <c r="T120" s="682"/>
      <c r="U120" s="682"/>
      <c r="V120" s="682"/>
      <c r="W120" s="682"/>
      <c r="X120" s="682"/>
      <c r="Y120" s="682"/>
      <c r="Z120" s="682"/>
      <c r="AA120" s="682"/>
      <c r="AB120" s="682"/>
      <c r="AC120" s="682"/>
      <c r="AD120" s="682"/>
      <c r="AE120" s="682"/>
      <c r="AF120" s="672"/>
      <c r="AG120" s="683">
        <f>'sanace ROZ'!M30</f>
        <v>0</v>
      </c>
      <c r="AH120" s="684"/>
      <c r="AI120" s="684"/>
      <c r="AJ120" s="684"/>
      <c r="AK120" s="684"/>
      <c r="AL120" s="684"/>
      <c r="AM120" s="685"/>
      <c r="AN120" s="683">
        <f>ROUND(AG120*(1+$L$33),2)</f>
        <v>0</v>
      </c>
      <c r="AO120" s="684"/>
      <c r="AP120" s="684"/>
      <c r="AQ120" s="291"/>
      <c r="AS120" s="293"/>
      <c r="AT120" s="290">
        <f>AG120/$AS$118</f>
        <v>0</v>
      </c>
      <c r="AW120" s="290">
        <v>2901279.33</v>
      </c>
      <c r="AY120" s="252">
        <f>AG120+AG91</f>
        <v>0</v>
      </c>
      <c r="AZ120" s="292">
        <f>AY120-AW120</f>
        <v>-2901279.33</v>
      </c>
    </row>
    <row r="121" spans="1:52">
      <c r="B121" s="237"/>
      <c r="AQ121" s="238"/>
    </row>
    <row r="122" spans="1:52" s="281" customFormat="1" ht="32.450000000000003" customHeight="1">
      <c r="B122" s="280"/>
      <c r="C122" s="285" t="s">
        <v>387</v>
      </c>
      <c r="D122" s="286"/>
      <c r="E122" s="286"/>
      <c r="F122" s="286"/>
      <c r="G122" s="286"/>
      <c r="H122" s="286"/>
      <c r="I122" s="286"/>
      <c r="J122" s="286"/>
      <c r="K122" s="286"/>
      <c r="L122" s="286"/>
      <c r="M122" s="286"/>
      <c r="N122" s="286"/>
      <c r="O122" s="286"/>
      <c r="P122" s="286"/>
      <c r="Q122" s="286"/>
      <c r="R122" s="286"/>
      <c r="S122" s="286"/>
      <c r="T122" s="286"/>
      <c r="U122" s="286"/>
      <c r="V122" s="286"/>
      <c r="W122" s="286"/>
      <c r="X122" s="286"/>
      <c r="Y122" s="286"/>
      <c r="Z122" s="286"/>
      <c r="AA122" s="286"/>
      <c r="AB122" s="286"/>
      <c r="AC122" s="286"/>
      <c r="AD122" s="286"/>
      <c r="AE122" s="286"/>
      <c r="AF122" s="286"/>
      <c r="AG122" s="686">
        <f>SUM(AG123:AM125)</f>
        <v>0</v>
      </c>
      <c r="AH122" s="686"/>
      <c r="AI122" s="686"/>
      <c r="AJ122" s="686"/>
      <c r="AK122" s="686"/>
      <c r="AL122" s="686"/>
      <c r="AM122" s="686"/>
      <c r="AN122" s="681">
        <f>SUM(AN123:AP125)</f>
        <v>0</v>
      </c>
      <c r="AO122" s="681"/>
      <c r="AP122" s="681"/>
      <c r="AQ122" s="282"/>
      <c r="AS122" s="287">
        <f>AS118</f>
        <v>803.81999999999982</v>
      </c>
      <c r="AT122" s="287">
        <f>AG122/$AS$118</f>
        <v>0</v>
      </c>
      <c r="AW122" s="287">
        <v>15715235.52</v>
      </c>
    </row>
    <row r="123" spans="1:52" s="292" customFormat="1" ht="12.75" customHeight="1">
      <c r="A123" s="212"/>
      <c r="B123" s="288"/>
      <c r="C123" s="289"/>
      <c r="D123" s="682" t="str">
        <f>'stavební úpravy ROZ'!F5</f>
        <v>Stavební úpravy objektu</v>
      </c>
      <c r="E123" s="682"/>
      <c r="F123" s="682"/>
      <c r="G123" s="682"/>
      <c r="H123" s="682"/>
      <c r="I123" s="682"/>
      <c r="J123" s="682"/>
      <c r="K123" s="682"/>
      <c r="L123" s="682"/>
      <c r="M123" s="682"/>
      <c r="N123" s="682"/>
      <c r="O123" s="682"/>
      <c r="P123" s="682"/>
      <c r="Q123" s="682"/>
      <c r="R123" s="682"/>
      <c r="S123" s="682"/>
      <c r="T123" s="682"/>
      <c r="U123" s="682"/>
      <c r="V123" s="682"/>
      <c r="W123" s="682"/>
      <c r="X123" s="682"/>
      <c r="Y123" s="682"/>
      <c r="Z123" s="682"/>
      <c r="AA123" s="682"/>
      <c r="AB123" s="682"/>
      <c r="AC123" s="682"/>
      <c r="AD123" s="682"/>
      <c r="AE123" s="682"/>
      <c r="AF123" s="672"/>
      <c r="AG123" s="683">
        <f>'stavební úpravy ROZ'!M30</f>
        <v>0</v>
      </c>
      <c r="AH123" s="684"/>
      <c r="AI123" s="684"/>
      <c r="AJ123" s="684"/>
      <c r="AK123" s="684"/>
      <c r="AL123" s="684"/>
      <c r="AM123" s="685"/>
      <c r="AN123" s="683">
        <f>ROUND(AG123*(1+$L$33),2)</f>
        <v>0</v>
      </c>
      <c r="AO123" s="684"/>
      <c r="AP123" s="684"/>
      <c r="AQ123" s="291"/>
      <c r="AS123" s="293"/>
      <c r="AT123" s="290">
        <f>AG123/$AS$118</f>
        <v>0</v>
      </c>
      <c r="AW123" s="290">
        <v>8562033.8699999992</v>
      </c>
      <c r="AY123" s="252">
        <f>AG123+AG94</f>
        <v>0</v>
      </c>
      <c r="AZ123" s="292">
        <f>AY123-AW123</f>
        <v>-8562033.8699999992</v>
      </c>
    </row>
    <row r="124" spans="1:52" s="292" customFormat="1" ht="12.75" customHeight="1">
      <c r="A124" s="212"/>
      <c r="B124" s="288"/>
      <c r="C124" s="289"/>
      <c r="D124" s="682" t="str">
        <f>'venkovní plochy a nové objekty'!F5</f>
        <v>Venkovní objekty, plochy a oplocení</v>
      </c>
      <c r="E124" s="682"/>
      <c r="F124" s="682"/>
      <c r="G124" s="682"/>
      <c r="H124" s="682"/>
      <c r="I124" s="682"/>
      <c r="J124" s="682"/>
      <c r="K124" s="682"/>
      <c r="L124" s="682"/>
      <c r="M124" s="682"/>
      <c r="N124" s="682"/>
      <c r="O124" s="682"/>
      <c r="P124" s="682"/>
      <c r="Q124" s="682"/>
      <c r="R124" s="682"/>
      <c r="S124" s="682"/>
      <c r="T124" s="682"/>
      <c r="U124" s="682"/>
      <c r="V124" s="682"/>
      <c r="W124" s="682"/>
      <c r="X124" s="682"/>
      <c r="Y124" s="682"/>
      <c r="Z124" s="682"/>
      <c r="AA124" s="682"/>
      <c r="AB124" s="682"/>
      <c r="AC124" s="682"/>
      <c r="AD124" s="682"/>
      <c r="AE124" s="682"/>
      <c r="AF124" s="672"/>
      <c r="AG124" s="683">
        <f>'venkovní plochy a nové objekty'!M31</f>
        <v>0</v>
      </c>
      <c r="AH124" s="684"/>
      <c r="AI124" s="684"/>
      <c r="AJ124" s="684"/>
      <c r="AK124" s="684"/>
      <c r="AL124" s="684"/>
      <c r="AM124" s="685"/>
      <c r="AN124" s="683">
        <f>ROUND(AG124*(1+$L$33),2)</f>
        <v>0</v>
      </c>
      <c r="AO124" s="684"/>
      <c r="AP124" s="684"/>
      <c r="AQ124" s="291"/>
      <c r="AS124" s="293"/>
      <c r="AT124" s="290">
        <f>AG124/$AS$118</f>
        <v>0</v>
      </c>
      <c r="AW124" s="290">
        <v>511953.01</v>
      </c>
      <c r="AY124" s="252">
        <f>AG124</f>
        <v>0</v>
      </c>
      <c r="AZ124" s="292">
        <f>AY124-AW124</f>
        <v>-511953.01</v>
      </c>
    </row>
    <row r="125" spans="1:52" s="292" customFormat="1" ht="12.75" customHeight="1">
      <c r="A125" s="212"/>
      <c r="B125" s="288"/>
      <c r="C125" s="289"/>
      <c r="D125" s="682" t="str">
        <f>'výrobky a specifikace'!F5</f>
        <v>Výrobky a specifikace</v>
      </c>
      <c r="E125" s="682"/>
      <c r="F125" s="682"/>
      <c r="G125" s="682"/>
      <c r="H125" s="682"/>
      <c r="I125" s="682"/>
      <c r="J125" s="682"/>
      <c r="K125" s="682"/>
      <c r="L125" s="682"/>
      <c r="M125" s="682"/>
      <c r="N125" s="682"/>
      <c r="O125" s="682"/>
      <c r="P125" s="682"/>
      <c r="Q125" s="682"/>
      <c r="R125" s="682"/>
      <c r="S125" s="682"/>
      <c r="T125" s="682"/>
      <c r="U125" s="682"/>
      <c r="V125" s="682"/>
      <c r="W125" s="682"/>
      <c r="X125" s="682"/>
      <c r="Y125" s="682"/>
      <c r="Z125" s="682"/>
      <c r="AA125" s="682"/>
      <c r="AB125" s="682"/>
      <c r="AC125" s="682"/>
      <c r="AD125" s="682"/>
      <c r="AE125" s="682"/>
      <c r="AF125" s="672"/>
      <c r="AG125" s="683">
        <f>'výrobky a specifikace'!O30</f>
        <v>0</v>
      </c>
      <c r="AH125" s="684"/>
      <c r="AI125" s="684"/>
      <c r="AJ125" s="684"/>
      <c r="AK125" s="684"/>
      <c r="AL125" s="684"/>
      <c r="AM125" s="685"/>
      <c r="AN125" s="683">
        <f>ROUND(AG125*(1+$L$33),2)</f>
        <v>0</v>
      </c>
      <c r="AO125" s="684"/>
      <c r="AP125" s="684"/>
      <c r="AQ125" s="291"/>
      <c r="AS125" s="293"/>
      <c r="AT125" s="290">
        <f>AG125/$AS$118</f>
        <v>0</v>
      </c>
      <c r="AW125" s="290">
        <v>6641248.6399999997</v>
      </c>
      <c r="AY125" s="252">
        <f>AG125+AG95</f>
        <v>0</v>
      </c>
      <c r="AZ125" s="292">
        <f>AY125-AW125</f>
        <v>-6641248.6399999997</v>
      </c>
    </row>
    <row r="126" spans="1:52">
      <c r="B126" s="237"/>
      <c r="AQ126" s="238"/>
    </row>
    <row r="127" spans="1:52" ht="30" customHeight="1">
      <c r="B127" s="237"/>
      <c r="C127" s="285" t="s">
        <v>101</v>
      </c>
      <c r="AG127" s="681">
        <f>SUM(AG128:AM134)</f>
        <v>0</v>
      </c>
      <c r="AH127" s="681"/>
      <c r="AI127" s="681"/>
      <c r="AJ127" s="681"/>
      <c r="AK127" s="681"/>
      <c r="AL127" s="681"/>
      <c r="AM127" s="681"/>
      <c r="AN127" s="681">
        <f>SUM(AN128:AP134)</f>
        <v>0</v>
      </c>
      <c r="AO127" s="681"/>
      <c r="AP127" s="681"/>
      <c r="AQ127" s="238"/>
      <c r="AS127" s="287">
        <f>AS118</f>
        <v>803.81999999999982</v>
      </c>
      <c r="AT127" s="287">
        <f>AG127/$AS$127</f>
        <v>0</v>
      </c>
      <c r="AW127" s="287">
        <v>7202205.7602000004</v>
      </c>
    </row>
    <row r="128" spans="1:52" s="292" customFormat="1" ht="12.75" customHeight="1">
      <c r="A128" s="212"/>
      <c r="B128" s="288"/>
      <c r="C128" s="289"/>
      <c r="D128" s="682" t="str">
        <f>'ZTI vodovod'!A5</f>
        <v>D.1.4.1 - ZTI vodovod</v>
      </c>
      <c r="E128" s="682"/>
      <c r="F128" s="682"/>
      <c r="G128" s="682"/>
      <c r="H128" s="682"/>
      <c r="I128" s="682"/>
      <c r="J128" s="682"/>
      <c r="K128" s="682"/>
      <c r="L128" s="682"/>
      <c r="M128" s="682"/>
      <c r="N128" s="682"/>
      <c r="O128" s="682"/>
      <c r="P128" s="682"/>
      <c r="Q128" s="682"/>
      <c r="R128" s="682"/>
      <c r="S128" s="682"/>
      <c r="T128" s="682"/>
      <c r="U128" s="682"/>
      <c r="V128" s="682"/>
      <c r="W128" s="682"/>
      <c r="X128" s="682"/>
      <c r="Y128" s="682"/>
      <c r="Z128" s="682"/>
      <c r="AA128" s="682"/>
      <c r="AB128" s="682"/>
      <c r="AC128" s="682"/>
      <c r="AD128" s="682"/>
      <c r="AE128" s="682"/>
      <c r="AF128" s="672"/>
      <c r="AG128" s="683">
        <f>'ZTI vodovod'!H104</f>
        <v>0</v>
      </c>
      <c r="AH128" s="684"/>
      <c r="AI128" s="684"/>
      <c r="AJ128" s="684"/>
      <c r="AK128" s="684"/>
      <c r="AL128" s="684"/>
      <c r="AM128" s="685"/>
      <c r="AN128" s="683">
        <f t="shared" ref="AN128:AN134" si="5">ROUND(AG128*(1+$L$33),2)</f>
        <v>0</v>
      </c>
      <c r="AO128" s="684"/>
      <c r="AP128" s="684"/>
      <c r="AQ128" s="291"/>
      <c r="AS128" s="293"/>
      <c r="AT128" s="290">
        <f t="shared" ref="AT128:AT133" si="6">AG128/$AS$118</f>
        <v>0</v>
      </c>
      <c r="AW128" s="290">
        <v>370483.50000000012</v>
      </c>
      <c r="AY128" s="252">
        <f>AG128+AG98</f>
        <v>0</v>
      </c>
      <c r="AZ128" s="292">
        <f t="shared" ref="AZ128:AZ136" si="7">AY128-AW128</f>
        <v>-370483.50000000012</v>
      </c>
    </row>
    <row r="129" spans="1:52" s="292" customFormat="1" ht="12.75" customHeight="1">
      <c r="A129" s="212"/>
      <c r="B129" s="288"/>
      <c r="C129" s="289"/>
      <c r="D129" s="682" t="str">
        <f>'ZTI kanalizace'!A5</f>
        <v>D.1.4.1 - ZTI kanalizace</v>
      </c>
      <c r="E129" s="682"/>
      <c r="F129" s="682"/>
      <c r="G129" s="682"/>
      <c r="H129" s="682"/>
      <c r="I129" s="682"/>
      <c r="J129" s="682"/>
      <c r="K129" s="682"/>
      <c r="L129" s="682"/>
      <c r="M129" s="682"/>
      <c r="N129" s="682"/>
      <c r="O129" s="682"/>
      <c r="P129" s="682"/>
      <c r="Q129" s="682"/>
      <c r="R129" s="682"/>
      <c r="S129" s="682"/>
      <c r="T129" s="682"/>
      <c r="U129" s="682"/>
      <c r="V129" s="682"/>
      <c r="W129" s="682"/>
      <c r="X129" s="682"/>
      <c r="Y129" s="682"/>
      <c r="Z129" s="682"/>
      <c r="AA129" s="682"/>
      <c r="AB129" s="682"/>
      <c r="AC129" s="682"/>
      <c r="AD129" s="682"/>
      <c r="AE129" s="682"/>
      <c r="AF129" s="672"/>
      <c r="AG129" s="683">
        <f>'ZTI kanalizace'!H142</f>
        <v>0</v>
      </c>
      <c r="AH129" s="684"/>
      <c r="AI129" s="684"/>
      <c r="AJ129" s="684"/>
      <c r="AK129" s="684"/>
      <c r="AL129" s="684"/>
      <c r="AM129" s="685"/>
      <c r="AN129" s="683">
        <f t="shared" si="5"/>
        <v>0</v>
      </c>
      <c r="AO129" s="684"/>
      <c r="AP129" s="684"/>
      <c r="AQ129" s="291"/>
      <c r="AS129" s="293"/>
      <c r="AT129" s="290">
        <f>AG129/$AS$118</f>
        <v>0</v>
      </c>
      <c r="AW129" s="290">
        <v>857448.83999999985</v>
      </c>
      <c r="AY129" s="252">
        <f>AG129</f>
        <v>0</v>
      </c>
      <c r="AZ129" s="292">
        <f t="shared" si="7"/>
        <v>-857448.83999999985</v>
      </c>
    </row>
    <row r="130" spans="1:52" s="292" customFormat="1" ht="12.75" customHeight="1">
      <c r="A130" s="212"/>
      <c r="B130" s="288"/>
      <c r="C130" s="289"/>
      <c r="D130" s="682" t="str">
        <f>'ZTI plynovod'!A5</f>
        <v>D.1.4.2 - plynovod</v>
      </c>
      <c r="E130" s="682"/>
      <c r="F130" s="682"/>
      <c r="G130" s="682"/>
      <c r="H130" s="682"/>
      <c r="I130" s="682"/>
      <c r="J130" s="682"/>
      <c r="K130" s="682"/>
      <c r="L130" s="682"/>
      <c r="M130" s="682"/>
      <c r="N130" s="682"/>
      <c r="O130" s="682"/>
      <c r="P130" s="682"/>
      <c r="Q130" s="682"/>
      <c r="R130" s="682"/>
      <c r="S130" s="682"/>
      <c r="T130" s="682"/>
      <c r="U130" s="682"/>
      <c r="V130" s="682"/>
      <c r="W130" s="682"/>
      <c r="X130" s="682"/>
      <c r="Y130" s="682"/>
      <c r="Z130" s="682"/>
      <c r="AA130" s="682"/>
      <c r="AB130" s="682"/>
      <c r="AC130" s="682"/>
      <c r="AD130" s="682"/>
      <c r="AE130" s="682"/>
      <c r="AF130" s="672"/>
      <c r="AG130" s="683">
        <f>'ZTI plynovod'!H43</f>
        <v>0</v>
      </c>
      <c r="AH130" s="684"/>
      <c r="AI130" s="684"/>
      <c r="AJ130" s="684"/>
      <c r="AK130" s="684"/>
      <c r="AL130" s="684"/>
      <c r="AM130" s="685"/>
      <c r="AN130" s="683">
        <f t="shared" si="5"/>
        <v>0</v>
      </c>
      <c r="AO130" s="684"/>
      <c r="AP130" s="684"/>
      <c r="AQ130" s="291"/>
      <c r="AS130" s="293"/>
      <c r="AT130" s="290">
        <f>AG130/$AS$118</f>
        <v>0</v>
      </c>
      <c r="AW130" s="290">
        <v>95723.899000000005</v>
      </c>
      <c r="AY130" s="252">
        <f>AG130+AG100</f>
        <v>0</v>
      </c>
      <c r="AZ130" s="292">
        <f t="shared" si="7"/>
        <v>-95723.899000000005</v>
      </c>
    </row>
    <row r="131" spans="1:52" s="292" customFormat="1" ht="12.75" customHeight="1">
      <c r="A131" s="212"/>
      <c r="B131" s="288"/>
      <c r="C131" s="289"/>
      <c r="D131" s="682" t="str">
        <f>VZT!A5</f>
        <v>D.1.4.3  - VZT</v>
      </c>
      <c r="E131" s="682"/>
      <c r="F131" s="682"/>
      <c r="G131" s="682"/>
      <c r="H131" s="682"/>
      <c r="I131" s="682"/>
      <c r="J131" s="682"/>
      <c r="K131" s="682"/>
      <c r="L131" s="682"/>
      <c r="M131" s="682"/>
      <c r="N131" s="682"/>
      <c r="O131" s="682"/>
      <c r="P131" s="682"/>
      <c r="Q131" s="682"/>
      <c r="R131" s="682"/>
      <c r="S131" s="682"/>
      <c r="T131" s="682"/>
      <c r="U131" s="682"/>
      <c r="V131" s="682"/>
      <c r="W131" s="682"/>
      <c r="X131" s="682"/>
      <c r="Y131" s="682"/>
      <c r="Z131" s="682"/>
      <c r="AA131" s="682"/>
      <c r="AB131" s="682"/>
      <c r="AC131" s="682"/>
      <c r="AD131" s="682"/>
      <c r="AE131" s="682"/>
      <c r="AF131" s="672"/>
      <c r="AG131" s="683">
        <f>VZT!P380</f>
        <v>0</v>
      </c>
      <c r="AH131" s="684"/>
      <c r="AI131" s="684"/>
      <c r="AJ131" s="684"/>
      <c r="AK131" s="684"/>
      <c r="AL131" s="684"/>
      <c r="AM131" s="685"/>
      <c r="AN131" s="683">
        <f t="shared" si="5"/>
        <v>0</v>
      </c>
      <c r="AO131" s="684"/>
      <c r="AP131" s="684"/>
      <c r="AQ131" s="291"/>
      <c r="AS131" s="293"/>
      <c r="AT131" s="290">
        <f>AG131/$AS$118</f>
        <v>0</v>
      </c>
      <c r="AW131" s="290">
        <v>1173004.8000000005</v>
      </c>
      <c r="AY131" s="252">
        <f>AG131+AG101</f>
        <v>0</v>
      </c>
      <c r="AZ131" s="292">
        <f t="shared" si="7"/>
        <v>-1173004.8000000005</v>
      </c>
    </row>
    <row r="132" spans="1:52" s="292" customFormat="1" ht="12.75" customHeight="1">
      <c r="A132" s="212"/>
      <c r="B132" s="288"/>
      <c r="C132" s="289"/>
      <c r="D132" s="682" t="str">
        <f>'Ústřední vytápění'!A5</f>
        <v>D.1.4.4  - Ústřední vytápění</v>
      </c>
      <c r="E132" s="682"/>
      <c r="F132" s="682"/>
      <c r="G132" s="682"/>
      <c r="H132" s="682"/>
      <c r="I132" s="682"/>
      <c r="J132" s="682"/>
      <c r="K132" s="682"/>
      <c r="L132" s="682"/>
      <c r="M132" s="682"/>
      <c r="N132" s="682"/>
      <c r="O132" s="682"/>
      <c r="P132" s="682"/>
      <c r="Q132" s="682"/>
      <c r="R132" s="682"/>
      <c r="S132" s="682"/>
      <c r="T132" s="682"/>
      <c r="U132" s="682"/>
      <c r="V132" s="682"/>
      <c r="W132" s="682"/>
      <c r="X132" s="682"/>
      <c r="Y132" s="682"/>
      <c r="Z132" s="682"/>
      <c r="AA132" s="682"/>
      <c r="AB132" s="682"/>
      <c r="AC132" s="682"/>
      <c r="AD132" s="682"/>
      <c r="AE132" s="682"/>
      <c r="AF132" s="672"/>
      <c r="AG132" s="683">
        <f>'Ústřední vytápění'!I195</f>
        <v>0</v>
      </c>
      <c r="AH132" s="684"/>
      <c r="AI132" s="684"/>
      <c r="AJ132" s="684"/>
      <c r="AK132" s="684"/>
      <c r="AL132" s="684"/>
      <c r="AM132" s="685"/>
      <c r="AN132" s="683">
        <f t="shared" si="5"/>
        <v>0</v>
      </c>
      <c r="AO132" s="684"/>
      <c r="AP132" s="684"/>
      <c r="AQ132" s="291"/>
      <c r="AS132" s="293"/>
      <c r="AT132" s="290">
        <f t="shared" si="6"/>
        <v>0</v>
      </c>
      <c r="AW132" s="290">
        <v>1901943.8299999996</v>
      </c>
      <c r="AY132" s="252">
        <f>AG132+AG102</f>
        <v>0</v>
      </c>
      <c r="AZ132" s="292">
        <f t="shared" si="7"/>
        <v>-1901943.8299999996</v>
      </c>
    </row>
    <row r="133" spans="1:52" s="292" customFormat="1" ht="12.75" customHeight="1">
      <c r="A133" s="212"/>
      <c r="B133" s="288"/>
      <c r="C133" s="289"/>
      <c r="D133" s="682" t="str">
        <f>'elektro SIL+SLA'!B5</f>
        <v>D.1.6.1 - elektro SIL+SLA</v>
      </c>
      <c r="E133" s="682"/>
      <c r="F133" s="682"/>
      <c r="G133" s="682"/>
      <c r="H133" s="682"/>
      <c r="I133" s="682"/>
      <c r="J133" s="682"/>
      <c r="K133" s="682"/>
      <c r="L133" s="682"/>
      <c r="M133" s="682"/>
      <c r="N133" s="682"/>
      <c r="O133" s="682"/>
      <c r="P133" s="682"/>
      <c r="Q133" s="682"/>
      <c r="R133" s="682"/>
      <c r="S133" s="682"/>
      <c r="T133" s="682"/>
      <c r="U133" s="682"/>
      <c r="V133" s="682"/>
      <c r="W133" s="682"/>
      <c r="X133" s="682"/>
      <c r="Y133" s="682"/>
      <c r="Z133" s="682"/>
      <c r="AA133" s="682"/>
      <c r="AB133" s="682"/>
      <c r="AC133" s="682"/>
      <c r="AD133" s="682"/>
      <c r="AE133" s="682"/>
      <c r="AF133" s="672"/>
      <c r="AG133" s="683">
        <f>'elektro SIL+SLA'!I223</f>
        <v>0</v>
      </c>
      <c r="AH133" s="684"/>
      <c r="AI133" s="684"/>
      <c r="AJ133" s="684"/>
      <c r="AK133" s="684"/>
      <c r="AL133" s="684"/>
      <c r="AM133" s="685"/>
      <c r="AN133" s="683">
        <f t="shared" si="5"/>
        <v>0</v>
      </c>
      <c r="AO133" s="684"/>
      <c r="AP133" s="684"/>
      <c r="AQ133" s="291"/>
      <c r="AS133" s="293"/>
      <c r="AT133" s="290">
        <f t="shared" si="6"/>
        <v>0</v>
      </c>
      <c r="AW133" s="290">
        <v>2531390.5032000002</v>
      </c>
      <c r="AY133" s="252">
        <f>AG133+AG103</f>
        <v>0</v>
      </c>
      <c r="AZ133" s="292">
        <f t="shared" si="7"/>
        <v>-2531390.5032000002</v>
      </c>
    </row>
    <row r="134" spans="1:52" s="292" customFormat="1" ht="12.75" customHeight="1">
      <c r="A134" s="212"/>
      <c r="B134" s="288"/>
      <c r="C134" s="289"/>
      <c r="D134" s="682" t="str">
        <f>'EZS+CCTV'!B5</f>
        <v>D.1.6.2 - EZS+CCTV</v>
      </c>
      <c r="E134" s="682"/>
      <c r="F134" s="682"/>
      <c r="G134" s="682"/>
      <c r="H134" s="682"/>
      <c r="I134" s="682"/>
      <c r="J134" s="682"/>
      <c r="K134" s="682"/>
      <c r="L134" s="682"/>
      <c r="M134" s="682"/>
      <c r="N134" s="682"/>
      <c r="O134" s="682"/>
      <c r="P134" s="682"/>
      <c r="Q134" s="682"/>
      <c r="R134" s="682"/>
      <c r="S134" s="682"/>
      <c r="T134" s="682"/>
      <c r="U134" s="682"/>
      <c r="V134" s="682"/>
      <c r="W134" s="682"/>
      <c r="X134" s="682"/>
      <c r="Y134" s="682"/>
      <c r="Z134" s="682"/>
      <c r="AA134" s="682"/>
      <c r="AB134" s="682"/>
      <c r="AC134" s="682"/>
      <c r="AD134" s="682"/>
      <c r="AE134" s="682"/>
      <c r="AF134" s="672"/>
      <c r="AG134" s="683">
        <f>'EZS+CCTV'!I37</f>
        <v>0</v>
      </c>
      <c r="AH134" s="684"/>
      <c r="AI134" s="684"/>
      <c r="AJ134" s="684"/>
      <c r="AK134" s="684"/>
      <c r="AL134" s="684"/>
      <c r="AM134" s="685"/>
      <c r="AN134" s="683">
        <f t="shared" si="5"/>
        <v>0</v>
      </c>
      <c r="AO134" s="684"/>
      <c r="AP134" s="684"/>
      <c r="AQ134" s="291"/>
      <c r="AS134" s="293"/>
      <c r="AT134" s="290">
        <f>AG134/$AS$118</f>
        <v>0</v>
      </c>
      <c r="AW134" s="290">
        <v>272210.38800000004</v>
      </c>
      <c r="AY134" s="252">
        <f>AG134+AG104</f>
        <v>0</v>
      </c>
      <c r="AZ134" s="292">
        <f t="shared" si="7"/>
        <v>-272210.38800000004</v>
      </c>
    </row>
    <row r="135" spans="1:52">
      <c r="B135" s="237"/>
      <c r="AQ135" s="238"/>
    </row>
    <row r="136" spans="1:52" ht="30" customHeight="1">
      <c r="B136" s="237"/>
      <c r="C136" s="285" t="s">
        <v>2457</v>
      </c>
      <c r="AG136" s="681">
        <f>SUM(AI137:AM144)</f>
        <v>0</v>
      </c>
      <c r="AH136" s="681"/>
      <c r="AI136" s="681"/>
      <c r="AJ136" s="681"/>
      <c r="AK136" s="681"/>
      <c r="AL136" s="681"/>
      <c r="AM136" s="681"/>
      <c r="AN136" s="681">
        <f>SUM(AN137:AP144)</f>
        <v>0</v>
      </c>
      <c r="AO136" s="681"/>
      <c r="AP136" s="681"/>
      <c r="AQ136" s="238"/>
      <c r="AS136" s="287"/>
      <c r="AT136" s="287">
        <f>AG136/$AS$127</f>
        <v>0</v>
      </c>
      <c r="AW136" s="287">
        <v>1772259.7979399995</v>
      </c>
      <c r="AY136" s="303">
        <f>AG136+AG106</f>
        <v>0</v>
      </c>
      <c r="AZ136" s="304">
        <f t="shared" si="7"/>
        <v>-1772259.7979399995</v>
      </c>
    </row>
    <row r="137" spans="1:52" s="292" customFormat="1" ht="12.75">
      <c r="A137" s="1"/>
      <c r="B137" s="288"/>
      <c r="C137" s="289"/>
      <c r="D137" s="672" t="s">
        <v>119</v>
      </c>
      <c r="E137" s="673"/>
      <c r="F137" s="673"/>
      <c r="G137" s="673"/>
      <c r="H137" s="673"/>
      <c r="I137" s="673"/>
      <c r="J137" s="673"/>
      <c r="K137" s="673"/>
      <c r="L137" s="673"/>
      <c r="M137" s="673"/>
      <c r="N137" s="673"/>
      <c r="O137" s="673"/>
      <c r="P137" s="673"/>
      <c r="Q137" s="673"/>
      <c r="R137" s="673"/>
      <c r="S137" s="673"/>
      <c r="T137" s="673"/>
      <c r="U137" s="674" t="s">
        <v>70</v>
      </c>
      <c r="V137" s="674"/>
      <c r="W137" s="674"/>
      <c r="X137" s="675"/>
      <c r="Y137" s="675"/>
      <c r="Z137" s="675"/>
      <c r="AA137" s="676">
        <f>AG118+AG122</f>
        <v>0</v>
      </c>
      <c r="AB137" s="676"/>
      <c r="AC137" s="676"/>
      <c r="AD137" s="676"/>
      <c r="AE137" s="676"/>
      <c r="AF137" s="676"/>
      <c r="AG137" s="676"/>
      <c r="AH137" s="676"/>
      <c r="AI137" s="677">
        <f t="shared" ref="AI137:AI144" si="8">AA137*X137</f>
        <v>0</v>
      </c>
      <c r="AJ137" s="677"/>
      <c r="AK137" s="677"/>
      <c r="AL137" s="677"/>
      <c r="AM137" s="677"/>
      <c r="AN137" s="678">
        <f>ROUND(AI137*(1+$L$33),2)</f>
        <v>0</v>
      </c>
      <c r="AO137" s="679"/>
      <c r="AP137" s="680"/>
      <c r="AQ137" s="291"/>
      <c r="AS137" s="295"/>
      <c r="AT137" s="294">
        <f>AI137/$AS$118</f>
        <v>0</v>
      </c>
      <c r="AW137" s="294">
        <v>941200.11867999984</v>
      </c>
    </row>
    <row r="138" spans="1:52" s="292" customFormat="1" ht="28.5" customHeight="1">
      <c r="A138" s="1"/>
      <c r="B138" s="288"/>
      <c r="C138" s="289"/>
      <c r="D138" s="672" t="s">
        <v>120</v>
      </c>
      <c r="E138" s="673"/>
      <c r="F138" s="673"/>
      <c r="G138" s="673"/>
      <c r="H138" s="673"/>
      <c r="I138" s="673"/>
      <c r="J138" s="673"/>
      <c r="K138" s="673"/>
      <c r="L138" s="673"/>
      <c r="M138" s="673"/>
      <c r="N138" s="673"/>
      <c r="O138" s="673"/>
      <c r="P138" s="673"/>
      <c r="Q138" s="673"/>
      <c r="R138" s="673"/>
      <c r="S138" s="673"/>
      <c r="T138" s="673"/>
      <c r="U138" s="674" t="s">
        <v>70</v>
      </c>
      <c r="V138" s="674"/>
      <c r="W138" s="674"/>
      <c r="X138" s="675"/>
      <c r="Y138" s="675"/>
      <c r="Z138" s="675"/>
      <c r="AA138" s="676">
        <f>AA137</f>
        <v>0</v>
      </c>
      <c r="AB138" s="676"/>
      <c r="AC138" s="676"/>
      <c r="AD138" s="676"/>
      <c r="AE138" s="676"/>
      <c r="AF138" s="676"/>
      <c r="AG138" s="676"/>
      <c r="AH138" s="676"/>
      <c r="AI138" s="677">
        <f t="shared" si="8"/>
        <v>0</v>
      </c>
      <c r="AJ138" s="677"/>
      <c r="AK138" s="677"/>
      <c r="AL138" s="677"/>
      <c r="AM138" s="677"/>
      <c r="AN138" s="678">
        <f t="shared" ref="AN138:AN144" si="9">ROUND(AI138*(1+$L$33),2)</f>
        <v>0</v>
      </c>
      <c r="AO138" s="679"/>
      <c r="AP138" s="680"/>
      <c r="AQ138" s="291"/>
      <c r="AS138" s="295"/>
      <c r="AT138" s="294">
        <f t="shared" ref="AT138:AT143" si="10">AI138/$AS$118</f>
        <v>0</v>
      </c>
      <c r="AW138" s="294">
        <v>60076.603319999995</v>
      </c>
    </row>
    <row r="139" spans="1:52" s="292" customFormat="1" ht="28.5" customHeight="1">
      <c r="A139" s="1"/>
      <c r="B139" s="288"/>
      <c r="C139" s="289"/>
      <c r="D139" s="672" t="s">
        <v>179</v>
      </c>
      <c r="E139" s="673"/>
      <c r="F139" s="673"/>
      <c r="G139" s="673"/>
      <c r="H139" s="673"/>
      <c r="I139" s="673"/>
      <c r="J139" s="673"/>
      <c r="K139" s="673"/>
      <c r="L139" s="673"/>
      <c r="M139" s="673"/>
      <c r="N139" s="673"/>
      <c r="O139" s="673"/>
      <c r="P139" s="673"/>
      <c r="Q139" s="673"/>
      <c r="R139" s="673"/>
      <c r="S139" s="673"/>
      <c r="T139" s="673"/>
      <c r="U139" s="674" t="s">
        <v>70</v>
      </c>
      <c r="V139" s="674"/>
      <c r="W139" s="674"/>
      <c r="X139" s="675"/>
      <c r="Y139" s="675"/>
      <c r="Z139" s="675"/>
      <c r="AA139" s="676">
        <f>AA137</f>
        <v>0</v>
      </c>
      <c r="AB139" s="676"/>
      <c r="AC139" s="676"/>
      <c r="AD139" s="676"/>
      <c r="AE139" s="676"/>
      <c r="AF139" s="676"/>
      <c r="AG139" s="676"/>
      <c r="AH139" s="676"/>
      <c r="AI139" s="677">
        <f t="shared" si="8"/>
        <v>0</v>
      </c>
      <c r="AJ139" s="677"/>
      <c r="AK139" s="677"/>
      <c r="AL139" s="677"/>
      <c r="AM139" s="677"/>
      <c r="AN139" s="678">
        <f t="shared" si="9"/>
        <v>0</v>
      </c>
      <c r="AO139" s="679"/>
      <c r="AP139" s="680"/>
      <c r="AQ139" s="291"/>
      <c r="AS139" s="295"/>
      <c r="AT139" s="294">
        <f t="shared" si="10"/>
        <v>0</v>
      </c>
      <c r="AW139" s="294">
        <v>90114.904979999978</v>
      </c>
    </row>
    <row r="140" spans="1:52" s="292" customFormat="1" ht="12.75">
      <c r="A140" s="1"/>
      <c r="B140" s="288"/>
      <c r="C140" s="289"/>
      <c r="D140" s="672" t="s">
        <v>2327</v>
      </c>
      <c r="E140" s="673"/>
      <c r="F140" s="673"/>
      <c r="G140" s="673"/>
      <c r="H140" s="673"/>
      <c r="I140" s="673"/>
      <c r="J140" s="673"/>
      <c r="K140" s="673"/>
      <c r="L140" s="673"/>
      <c r="M140" s="673"/>
      <c r="N140" s="673"/>
      <c r="O140" s="673"/>
      <c r="P140" s="673"/>
      <c r="Q140" s="673"/>
      <c r="R140" s="673"/>
      <c r="S140" s="673"/>
      <c r="T140" s="673"/>
      <c r="U140" s="674" t="s">
        <v>70</v>
      </c>
      <c r="V140" s="674"/>
      <c r="W140" s="674"/>
      <c r="X140" s="675"/>
      <c r="Y140" s="675"/>
      <c r="Z140" s="675"/>
      <c r="AA140" s="676">
        <f>AA137</f>
        <v>0</v>
      </c>
      <c r="AB140" s="676"/>
      <c r="AC140" s="676"/>
      <c r="AD140" s="676"/>
      <c r="AE140" s="676"/>
      <c r="AF140" s="676"/>
      <c r="AG140" s="676"/>
      <c r="AH140" s="676"/>
      <c r="AI140" s="677">
        <f t="shared" si="8"/>
        <v>0</v>
      </c>
      <c r="AJ140" s="677"/>
      <c r="AK140" s="677"/>
      <c r="AL140" s="677"/>
      <c r="AM140" s="677"/>
      <c r="AN140" s="678">
        <f t="shared" si="9"/>
        <v>0</v>
      </c>
      <c r="AO140" s="679"/>
      <c r="AP140" s="680"/>
      <c r="AQ140" s="291"/>
      <c r="AS140" s="295"/>
      <c r="AT140" s="294">
        <f t="shared" si="10"/>
        <v>0</v>
      </c>
      <c r="AW140" s="294">
        <v>90114.904979999978</v>
      </c>
    </row>
    <row r="141" spans="1:52" s="292" customFormat="1" ht="12.75">
      <c r="A141" s="1"/>
      <c r="B141" s="288"/>
      <c r="C141" s="289"/>
      <c r="D141" s="672" t="s">
        <v>2328</v>
      </c>
      <c r="E141" s="673"/>
      <c r="F141" s="673"/>
      <c r="G141" s="673"/>
      <c r="H141" s="673"/>
      <c r="I141" s="673"/>
      <c r="J141" s="673"/>
      <c r="K141" s="673"/>
      <c r="L141" s="673"/>
      <c r="M141" s="673"/>
      <c r="N141" s="673"/>
      <c r="O141" s="673"/>
      <c r="P141" s="673"/>
      <c r="Q141" s="673"/>
      <c r="R141" s="673"/>
      <c r="S141" s="673"/>
      <c r="T141" s="673"/>
      <c r="U141" s="674" t="s">
        <v>70</v>
      </c>
      <c r="V141" s="674"/>
      <c r="W141" s="674"/>
      <c r="X141" s="675"/>
      <c r="Y141" s="675"/>
      <c r="Z141" s="675"/>
      <c r="AA141" s="676">
        <f>AA137</f>
        <v>0</v>
      </c>
      <c r="AB141" s="676"/>
      <c r="AC141" s="676"/>
      <c r="AD141" s="676"/>
      <c r="AE141" s="676"/>
      <c r="AF141" s="676"/>
      <c r="AG141" s="676"/>
      <c r="AH141" s="676"/>
      <c r="AI141" s="677">
        <f>AA141*X141</f>
        <v>0</v>
      </c>
      <c r="AJ141" s="677"/>
      <c r="AK141" s="677"/>
      <c r="AL141" s="677"/>
      <c r="AM141" s="677"/>
      <c r="AN141" s="678">
        <f>ROUND(AI141*(1+$L$33),2)</f>
        <v>0</v>
      </c>
      <c r="AO141" s="679"/>
      <c r="AP141" s="680"/>
      <c r="AQ141" s="291"/>
      <c r="AS141" s="295"/>
      <c r="AT141" s="294">
        <f>AI141/$AS$118</f>
        <v>0</v>
      </c>
      <c r="AW141" s="294">
        <v>110140.43941999998</v>
      </c>
    </row>
    <row r="142" spans="1:52" s="292" customFormat="1" ht="12.75">
      <c r="A142" s="1"/>
      <c r="B142" s="288"/>
      <c r="C142" s="289"/>
      <c r="D142" s="672" t="s">
        <v>2329</v>
      </c>
      <c r="E142" s="673"/>
      <c r="F142" s="673"/>
      <c r="G142" s="673"/>
      <c r="H142" s="673"/>
      <c r="I142" s="673"/>
      <c r="J142" s="673"/>
      <c r="K142" s="673"/>
      <c r="L142" s="673"/>
      <c r="M142" s="673"/>
      <c r="N142" s="673"/>
      <c r="O142" s="673"/>
      <c r="P142" s="673"/>
      <c r="Q142" s="673"/>
      <c r="R142" s="673"/>
      <c r="S142" s="673"/>
      <c r="T142" s="673"/>
      <c r="U142" s="674" t="s">
        <v>70</v>
      </c>
      <c r="V142" s="674"/>
      <c r="W142" s="674"/>
      <c r="X142" s="675"/>
      <c r="Y142" s="675"/>
      <c r="Z142" s="675"/>
      <c r="AA142" s="676">
        <f>AA137</f>
        <v>0</v>
      </c>
      <c r="AB142" s="676"/>
      <c r="AC142" s="676"/>
      <c r="AD142" s="676"/>
      <c r="AE142" s="676"/>
      <c r="AF142" s="676"/>
      <c r="AG142" s="676"/>
      <c r="AH142" s="676"/>
      <c r="AI142" s="677">
        <f>AA142*X142</f>
        <v>0</v>
      </c>
      <c r="AJ142" s="677"/>
      <c r="AK142" s="677"/>
      <c r="AL142" s="677"/>
      <c r="AM142" s="677"/>
      <c r="AN142" s="678">
        <f>ROUND(AI142*(1+$L$33),2)</f>
        <v>0</v>
      </c>
      <c r="AO142" s="679"/>
      <c r="AP142" s="680"/>
      <c r="AQ142" s="291"/>
      <c r="AS142" s="295"/>
      <c r="AT142" s="294">
        <f>AI142/$AS$118</f>
        <v>0</v>
      </c>
      <c r="AW142" s="294">
        <v>120153.20663999999</v>
      </c>
    </row>
    <row r="143" spans="1:52" s="292" customFormat="1" ht="39.75" customHeight="1">
      <c r="A143" s="1"/>
      <c r="B143" s="288"/>
      <c r="C143" s="289"/>
      <c r="D143" s="672" t="s">
        <v>121</v>
      </c>
      <c r="E143" s="673"/>
      <c r="F143" s="673"/>
      <c r="G143" s="673"/>
      <c r="H143" s="673"/>
      <c r="I143" s="673"/>
      <c r="J143" s="673"/>
      <c r="K143" s="673"/>
      <c r="L143" s="673"/>
      <c r="M143" s="673"/>
      <c r="N143" s="673"/>
      <c r="O143" s="673"/>
      <c r="P143" s="673"/>
      <c r="Q143" s="673"/>
      <c r="R143" s="673"/>
      <c r="S143" s="673"/>
      <c r="T143" s="673"/>
      <c r="U143" s="674" t="s">
        <v>70</v>
      </c>
      <c r="V143" s="674"/>
      <c r="W143" s="674"/>
      <c r="X143" s="675"/>
      <c r="Y143" s="675"/>
      <c r="Z143" s="675"/>
      <c r="AA143" s="676">
        <f>AA137</f>
        <v>0</v>
      </c>
      <c r="AB143" s="676"/>
      <c r="AC143" s="676"/>
      <c r="AD143" s="676"/>
      <c r="AE143" s="676"/>
      <c r="AF143" s="676"/>
      <c r="AG143" s="676"/>
      <c r="AH143" s="676"/>
      <c r="AI143" s="677">
        <f t="shared" si="8"/>
        <v>0</v>
      </c>
      <c r="AJ143" s="677"/>
      <c r="AK143" s="677"/>
      <c r="AL143" s="677"/>
      <c r="AM143" s="677"/>
      <c r="AN143" s="678">
        <f t="shared" si="9"/>
        <v>0</v>
      </c>
      <c r="AO143" s="679"/>
      <c r="AP143" s="680"/>
      <c r="AQ143" s="291"/>
      <c r="AS143" s="295"/>
      <c r="AT143" s="294">
        <f t="shared" si="10"/>
        <v>0</v>
      </c>
      <c r="AW143" s="294">
        <v>140178.74107999998</v>
      </c>
    </row>
    <row r="144" spans="1:52" s="292" customFormat="1" ht="28.5" customHeight="1">
      <c r="A144" s="1"/>
      <c r="B144" s="288"/>
      <c r="C144" s="289"/>
      <c r="D144" s="672" t="s">
        <v>2324</v>
      </c>
      <c r="E144" s="673"/>
      <c r="F144" s="673"/>
      <c r="G144" s="673"/>
      <c r="H144" s="673"/>
      <c r="I144" s="673"/>
      <c r="J144" s="673"/>
      <c r="K144" s="673"/>
      <c r="L144" s="673"/>
      <c r="M144" s="673"/>
      <c r="N144" s="673"/>
      <c r="O144" s="673"/>
      <c r="P144" s="673"/>
      <c r="Q144" s="673"/>
      <c r="R144" s="673"/>
      <c r="S144" s="673"/>
      <c r="T144" s="673"/>
      <c r="U144" s="674" t="s">
        <v>70</v>
      </c>
      <c r="V144" s="674"/>
      <c r="W144" s="674"/>
      <c r="X144" s="675"/>
      <c r="Y144" s="675"/>
      <c r="Z144" s="675"/>
      <c r="AA144" s="676">
        <f>AA137</f>
        <v>0</v>
      </c>
      <c r="AB144" s="676"/>
      <c r="AC144" s="676"/>
      <c r="AD144" s="676"/>
      <c r="AE144" s="676"/>
      <c r="AF144" s="676"/>
      <c r="AG144" s="676"/>
      <c r="AH144" s="676"/>
      <c r="AI144" s="677">
        <f t="shared" si="8"/>
        <v>0</v>
      </c>
      <c r="AJ144" s="677"/>
      <c r="AK144" s="677"/>
      <c r="AL144" s="677"/>
      <c r="AM144" s="677"/>
      <c r="AN144" s="678">
        <f t="shared" si="9"/>
        <v>0</v>
      </c>
      <c r="AO144" s="679"/>
      <c r="AP144" s="680"/>
      <c r="AQ144" s="291"/>
      <c r="AS144" s="295"/>
      <c r="AT144" s="294">
        <f>AI144/$AS$118</f>
        <v>0</v>
      </c>
      <c r="AW144" s="294">
        <v>220280.87883999996</v>
      </c>
    </row>
    <row r="145" spans="2:52">
      <c r="B145" s="237"/>
      <c r="AQ145" s="238"/>
    </row>
    <row r="146" spans="2:52" ht="30" customHeight="1">
      <c r="B146" s="237"/>
      <c r="C146" s="296" t="s">
        <v>2458</v>
      </c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669">
        <f>ROUND(AG118+AG122+AG127+AG136,1)</f>
        <v>0</v>
      </c>
      <c r="AH146" s="669"/>
      <c r="AI146" s="669"/>
      <c r="AJ146" s="669"/>
      <c r="AK146" s="669"/>
      <c r="AL146" s="669"/>
      <c r="AM146" s="669"/>
      <c r="AN146" s="669">
        <f>AN118+AN122+AN127+AN136</f>
        <v>0</v>
      </c>
      <c r="AO146" s="669"/>
      <c r="AP146" s="669"/>
      <c r="AQ146" s="238"/>
      <c r="AS146" s="298"/>
      <c r="AT146" s="298">
        <f>AG146/$AS$118</f>
        <v>0</v>
      </c>
    </row>
    <row r="147" spans="2:52">
      <c r="B147" s="237"/>
      <c r="AQ147" s="238"/>
    </row>
    <row r="148" spans="2:52" ht="30" customHeight="1">
      <c r="B148" s="237"/>
      <c r="C148" s="296" t="s">
        <v>102</v>
      </c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669">
        <f>AG116+AG146</f>
        <v>0</v>
      </c>
      <c r="AH148" s="669"/>
      <c r="AI148" s="669"/>
      <c r="AJ148" s="669"/>
      <c r="AK148" s="669"/>
      <c r="AL148" s="669"/>
      <c r="AM148" s="669"/>
      <c r="AN148" s="669">
        <f>AN116+AN146</f>
        <v>0</v>
      </c>
      <c r="AO148" s="669"/>
      <c r="AP148" s="669"/>
      <c r="AQ148" s="238"/>
      <c r="AS148" s="298"/>
      <c r="AT148" s="298">
        <f>AG148/($AS$89+$AS$118)</f>
        <v>0</v>
      </c>
      <c r="AW148" s="298">
        <f>SUM(AW118:AW145)/2</f>
        <v>28999999.998139989</v>
      </c>
      <c r="AY148" s="303">
        <f>AG146+AG116</f>
        <v>0</v>
      </c>
      <c r="AZ148" s="304">
        <f>AY148-AW148</f>
        <v>-28999999.998139989</v>
      </c>
    </row>
    <row r="149" spans="2:52" ht="6.95" customHeight="1">
      <c r="B149" s="274"/>
      <c r="C149" s="275"/>
      <c r="D149" s="275"/>
      <c r="E149" s="275"/>
      <c r="F149" s="275"/>
      <c r="G149" s="275"/>
      <c r="H149" s="275"/>
      <c r="I149" s="275"/>
      <c r="J149" s="275"/>
      <c r="K149" s="275"/>
      <c r="L149" s="275"/>
      <c r="M149" s="275"/>
      <c r="N149" s="275"/>
      <c r="O149" s="275"/>
      <c r="P149" s="275"/>
      <c r="Q149" s="275"/>
      <c r="R149" s="275"/>
      <c r="S149" s="275"/>
      <c r="T149" s="275"/>
      <c r="U149" s="275"/>
      <c r="V149" s="275"/>
      <c r="W149" s="275"/>
      <c r="X149" s="275"/>
      <c r="Y149" s="275"/>
      <c r="Z149" s="275"/>
      <c r="AA149" s="275"/>
      <c r="AB149" s="275"/>
      <c r="AC149" s="275"/>
      <c r="AD149" s="275"/>
      <c r="AE149" s="275"/>
      <c r="AF149" s="275"/>
      <c r="AG149" s="275"/>
      <c r="AH149" s="275"/>
      <c r="AI149" s="275"/>
      <c r="AJ149" s="275"/>
      <c r="AK149" s="275"/>
      <c r="AL149" s="275"/>
      <c r="AM149" s="275"/>
      <c r="AN149" s="275"/>
      <c r="AO149" s="275"/>
      <c r="AP149" s="275"/>
      <c r="AQ149" s="276"/>
    </row>
  </sheetData>
  <sheetProtection algorithmName="SHA-512" hashValue="CwIkm7hM+KB3drvGvLMXOTa3EaYmoZ1SY9yg4SBVBBYNtV5cAYXukYTmGKavcNeuwz6tVIqKk2XYUVTm2CHCYw==" saltValue="p2Vz26b5XJXmb3rKRNYpfQ==" spinCount="100000" sheet="1"/>
  <mergeCells count="232">
    <mergeCell ref="D120:AF120"/>
    <mergeCell ref="AG120:AM120"/>
    <mergeCell ref="AN120:AP120"/>
    <mergeCell ref="D131:AF131"/>
    <mergeCell ref="AG131:AM131"/>
    <mergeCell ref="AN131:AP131"/>
    <mergeCell ref="AN134:AP134"/>
    <mergeCell ref="D137:T137"/>
    <mergeCell ref="AG133:AM133"/>
    <mergeCell ref="X137:Z137"/>
    <mergeCell ref="AA137:AH137"/>
    <mergeCell ref="U137:W137"/>
    <mergeCell ref="D128:AF128"/>
    <mergeCell ref="D123:AF123"/>
    <mergeCell ref="AN123:AP123"/>
    <mergeCell ref="D124:AF124"/>
    <mergeCell ref="AG124:AM124"/>
    <mergeCell ref="AN124:AP124"/>
    <mergeCell ref="D125:AF125"/>
    <mergeCell ref="AG127:AM127"/>
    <mergeCell ref="AN127:AP127"/>
    <mergeCell ref="AG125:AM125"/>
    <mergeCell ref="AN125:AP125"/>
    <mergeCell ref="D129:AF129"/>
    <mergeCell ref="AA140:AH140"/>
    <mergeCell ref="AI140:AM140"/>
    <mergeCell ref="AA138:AH138"/>
    <mergeCell ref="D138:T138"/>
    <mergeCell ref="U140:W140"/>
    <mergeCell ref="D134:AF134"/>
    <mergeCell ref="AG134:AM134"/>
    <mergeCell ref="U138:W138"/>
    <mergeCell ref="X138:Z138"/>
    <mergeCell ref="AG146:AM146"/>
    <mergeCell ref="D143:T143"/>
    <mergeCell ref="U143:W143"/>
    <mergeCell ref="X143:Z143"/>
    <mergeCell ref="AA143:AH143"/>
    <mergeCell ref="AI143:AM143"/>
    <mergeCell ref="AN146:AP146"/>
    <mergeCell ref="AN139:AP139"/>
    <mergeCell ref="AM82:AN82"/>
    <mergeCell ref="AG136:AM136"/>
    <mergeCell ref="AN136:AP136"/>
    <mergeCell ref="AN119:AP119"/>
    <mergeCell ref="AG119:AM119"/>
    <mergeCell ref="AG118:AM118"/>
    <mergeCell ref="AN118:AP118"/>
    <mergeCell ref="AM85:AP85"/>
    <mergeCell ref="AG87:AM87"/>
    <mergeCell ref="AN87:AP87"/>
    <mergeCell ref="AM84:AP84"/>
    <mergeCell ref="AN137:AP137"/>
    <mergeCell ref="AI137:AM137"/>
    <mergeCell ref="AN140:AP140"/>
    <mergeCell ref="AN138:AP138"/>
    <mergeCell ref="AN143:AP143"/>
    <mergeCell ref="AN128:AP128"/>
    <mergeCell ref="AG122:AM122"/>
    <mergeCell ref="AN122:AP122"/>
    <mergeCell ref="AG128:AM128"/>
    <mergeCell ref="AG123:AM123"/>
    <mergeCell ref="C2:AP2"/>
    <mergeCell ref="K3:AO3"/>
    <mergeCell ref="K4:AO4"/>
    <mergeCell ref="H24:I24"/>
    <mergeCell ref="E24:G24"/>
    <mergeCell ref="E25:G25"/>
    <mergeCell ref="H25:I25"/>
    <mergeCell ref="K25:AO25"/>
    <mergeCell ref="K11:AH11"/>
    <mergeCell ref="K24:AO24"/>
    <mergeCell ref="K6:AJ6"/>
    <mergeCell ref="AK28:AO28"/>
    <mergeCell ref="AK31:AO31"/>
    <mergeCell ref="W34:AE34"/>
    <mergeCell ref="AK34:AO34"/>
    <mergeCell ref="L34:O34"/>
    <mergeCell ref="L35:O35"/>
    <mergeCell ref="AK37:AO37"/>
    <mergeCell ref="X39:AB39"/>
    <mergeCell ref="D119:AF119"/>
    <mergeCell ref="L37:O37"/>
    <mergeCell ref="W37:AE37"/>
    <mergeCell ref="W33:AE33"/>
    <mergeCell ref="AK33:AO33"/>
    <mergeCell ref="D42:AP42"/>
    <mergeCell ref="D43:AP43"/>
    <mergeCell ref="D44:AP44"/>
    <mergeCell ref="W35:AE35"/>
    <mergeCell ref="I80:AO80"/>
    <mergeCell ref="I79:T79"/>
    <mergeCell ref="I82:AH82"/>
    <mergeCell ref="AK39:AO39"/>
    <mergeCell ref="AK35:AO35"/>
    <mergeCell ref="L33:O33"/>
    <mergeCell ref="L36:O36"/>
    <mergeCell ref="W36:AE36"/>
    <mergeCell ref="AK36:AO36"/>
    <mergeCell ref="C78:AP78"/>
    <mergeCell ref="C87:G87"/>
    <mergeCell ref="I87:AF87"/>
    <mergeCell ref="AG89:AM89"/>
    <mergeCell ref="AN89:AP89"/>
    <mergeCell ref="D90:AF90"/>
    <mergeCell ref="AG129:AM129"/>
    <mergeCell ref="AN129:AP129"/>
    <mergeCell ref="AG132:AM132"/>
    <mergeCell ref="AN132:AP132"/>
    <mergeCell ref="AN133:AP133"/>
    <mergeCell ref="D144:T144"/>
    <mergeCell ref="U144:W144"/>
    <mergeCell ref="X144:Z144"/>
    <mergeCell ref="AA144:AH144"/>
    <mergeCell ref="AI144:AM144"/>
    <mergeCell ref="AN144:AP144"/>
    <mergeCell ref="D133:AF133"/>
    <mergeCell ref="D132:AF132"/>
    <mergeCell ref="D139:T139"/>
    <mergeCell ref="U139:W139"/>
    <mergeCell ref="X139:Z139"/>
    <mergeCell ref="AA139:AH139"/>
    <mergeCell ref="D140:T140"/>
    <mergeCell ref="AI138:AM138"/>
    <mergeCell ref="AI139:AM139"/>
    <mergeCell ref="D130:AF130"/>
    <mergeCell ref="AG130:AM130"/>
    <mergeCell ref="AN130:AP130"/>
    <mergeCell ref="X140:Z140"/>
    <mergeCell ref="D141:T141"/>
    <mergeCell ref="U141:W141"/>
    <mergeCell ref="X141:Z141"/>
    <mergeCell ref="AA141:AH141"/>
    <mergeCell ref="AI141:AM141"/>
    <mergeCell ref="AN141:AP141"/>
    <mergeCell ref="D142:T142"/>
    <mergeCell ref="U142:W142"/>
    <mergeCell ref="X142:Z142"/>
    <mergeCell ref="AA142:AH142"/>
    <mergeCell ref="AI142:AM142"/>
    <mergeCell ref="AN142:AP142"/>
    <mergeCell ref="AG90:AM90"/>
    <mergeCell ref="AN90:AP90"/>
    <mergeCell ref="D91:AF91"/>
    <mergeCell ref="AG91:AM91"/>
    <mergeCell ref="AN91:AP91"/>
    <mergeCell ref="AG93:AM93"/>
    <mergeCell ref="AN93:AP93"/>
    <mergeCell ref="D94:AF94"/>
    <mergeCell ref="AG94:AM94"/>
    <mergeCell ref="AN94:AP94"/>
    <mergeCell ref="D100:AF100"/>
    <mergeCell ref="AG100:AM100"/>
    <mergeCell ref="AN100:AP100"/>
    <mergeCell ref="D101:AF101"/>
    <mergeCell ref="AG101:AM101"/>
    <mergeCell ref="AN101:AP101"/>
    <mergeCell ref="D95:AF95"/>
    <mergeCell ref="AG95:AM95"/>
    <mergeCell ref="AN95:AP95"/>
    <mergeCell ref="AG97:AM97"/>
    <mergeCell ref="AN97:AP97"/>
    <mergeCell ref="D98:AF98"/>
    <mergeCell ref="AG98:AM98"/>
    <mergeCell ref="AN98:AP98"/>
    <mergeCell ref="D99:AF99"/>
    <mergeCell ref="AG99:AM99"/>
    <mergeCell ref="AN99:AP99"/>
    <mergeCell ref="D102:AF102"/>
    <mergeCell ref="AG102:AM102"/>
    <mergeCell ref="AN102:AP102"/>
    <mergeCell ref="D103:AF103"/>
    <mergeCell ref="AG103:AM103"/>
    <mergeCell ref="AN103:AP103"/>
    <mergeCell ref="D104:AF104"/>
    <mergeCell ref="AG104:AM104"/>
    <mergeCell ref="AN104:AP104"/>
    <mergeCell ref="AG106:AM106"/>
    <mergeCell ref="AN106:AP106"/>
    <mergeCell ref="D107:T107"/>
    <mergeCell ref="U107:W107"/>
    <mergeCell ref="X107:Z107"/>
    <mergeCell ref="AA107:AH107"/>
    <mergeCell ref="AI107:AM107"/>
    <mergeCell ref="AN107:AP107"/>
    <mergeCell ref="D108:T108"/>
    <mergeCell ref="U108:W108"/>
    <mergeCell ref="X108:Z108"/>
    <mergeCell ref="AA108:AH108"/>
    <mergeCell ref="AI108:AM108"/>
    <mergeCell ref="AN108:AP108"/>
    <mergeCell ref="U112:W112"/>
    <mergeCell ref="X112:Z112"/>
    <mergeCell ref="AA112:AH112"/>
    <mergeCell ref="AI112:AM112"/>
    <mergeCell ref="AN112:AP112"/>
    <mergeCell ref="D109:T109"/>
    <mergeCell ref="U109:W109"/>
    <mergeCell ref="X109:Z109"/>
    <mergeCell ref="AA109:AH109"/>
    <mergeCell ref="AI109:AM109"/>
    <mergeCell ref="AN109:AP109"/>
    <mergeCell ref="D110:T110"/>
    <mergeCell ref="U110:W110"/>
    <mergeCell ref="X110:Z110"/>
    <mergeCell ref="AA110:AH110"/>
    <mergeCell ref="AI110:AM110"/>
    <mergeCell ref="AN110:AP110"/>
    <mergeCell ref="AG116:AM116"/>
    <mergeCell ref="AN116:AP116"/>
    <mergeCell ref="AG148:AM148"/>
    <mergeCell ref="AN148:AP148"/>
    <mergeCell ref="AK29:AO29"/>
    <mergeCell ref="D113:T113"/>
    <mergeCell ref="U113:W113"/>
    <mergeCell ref="X113:Z113"/>
    <mergeCell ref="AA113:AH113"/>
    <mergeCell ref="AI113:AM113"/>
    <mergeCell ref="AN113:AP113"/>
    <mergeCell ref="D114:T114"/>
    <mergeCell ref="U114:W114"/>
    <mergeCell ref="X114:Z114"/>
    <mergeCell ref="AA114:AH114"/>
    <mergeCell ref="AI114:AM114"/>
    <mergeCell ref="AN114:AP114"/>
    <mergeCell ref="D111:T111"/>
    <mergeCell ref="U111:W111"/>
    <mergeCell ref="X111:Z111"/>
    <mergeCell ref="AA111:AH111"/>
    <mergeCell ref="AI111:AM111"/>
    <mergeCell ref="AN111:AP111"/>
    <mergeCell ref="D112:T11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  <headerFooter>
    <oddHeader>&amp;LBD Hübnerové&amp;ROdhad stavebních nákladů</oddHeader>
    <oddFooter>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286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0.95" customHeight="1" outlineLevelRow="1" outlineLevelCol="1"/>
  <cols>
    <col min="1" max="1" width="8.33203125" style="236" customWidth="1"/>
    <col min="2" max="2" width="1.6640625" style="236" customWidth="1"/>
    <col min="3" max="3" width="4.1640625" style="236" customWidth="1"/>
    <col min="4" max="4" width="4.33203125" style="236" customWidth="1"/>
    <col min="5" max="5" width="22.33203125" style="236" customWidth="1"/>
    <col min="6" max="6" width="13.83203125" style="236" customWidth="1"/>
    <col min="7" max="7" width="11.1640625" style="236" customWidth="1"/>
    <col min="8" max="8" width="12.5" style="236" customWidth="1"/>
    <col min="9" max="9" width="34.33203125" style="236" customWidth="1"/>
    <col min="10" max="10" width="8" style="69" customWidth="1"/>
    <col min="11" max="11" width="15.5" style="236" customWidth="1"/>
    <col min="12" max="12" width="12" style="236" customWidth="1"/>
    <col min="13" max="13" width="7.5" style="236" customWidth="1"/>
    <col min="14" max="14" width="6" style="236" customWidth="1"/>
    <col min="15" max="15" width="2" style="236" customWidth="1"/>
    <col min="16" max="16" width="12.5" style="236" customWidth="1"/>
    <col min="17" max="17" width="4.1640625" style="236" customWidth="1"/>
    <col min="18" max="18" width="1.6640625" style="236" customWidth="1"/>
    <col min="19" max="19" width="2" style="236" customWidth="1"/>
    <col min="20" max="20" width="25.33203125" style="42" hidden="1" customWidth="1" outlineLevel="1"/>
    <col min="21" max="28" width="9.33203125" style="248" hidden="1" customWidth="1" outlineLevel="1"/>
    <col min="29" max="29" width="10.33203125" style="305" hidden="1" customWidth="1" collapsed="1"/>
    <col min="30" max="30" width="0" style="236" hidden="1" customWidth="1"/>
    <col min="31" max="16384" width="9.33203125" style="236"/>
  </cols>
  <sheetData>
    <row r="1" spans="2:18" ht="11.25">
      <c r="B1" s="233"/>
      <c r="C1" s="234"/>
      <c r="D1" s="234"/>
      <c r="E1" s="234"/>
      <c r="F1" s="234"/>
      <c r="G1" s="234"/>
      <c r="H1" s="234"/>
      <c r="I1" s="234"/>
      <c r="J1" s="46"/>
      <c r="K1" s="234"/>
      <c r="L1" s="234"/>
      <c r="M1" s="234"/>
      <c r="N1" s="234"/>
      <c r="O1" s="234"/>
      <c r="P1" s="234"/>
      <c r="Q1" s="234"/>
      <c r="R1" s="235"/>
    </row>
    <row r="2" spans="2:18" ht="20.25">
      <c r="B2" s="237"/>
      <c r="C2" s="697" t="s">
        <v>38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238"/>
    </row>
    <row r="3" spans="2:18" ht="11.25">
      <c r="B3" s="237"/>
      <c r="J3" s="47"/>
      <c r="R3" s="238"/>
    </row>
    <row r="4" spans="2:18" ht="12">
      <c r="B4" s="237"/>
      <c r="D4" s="239" t="s">
        <v>3</v>
      </c>
      <c r="F4" s="721" t="str">
        <f>Rekapitulace!K4</f>
        <v>Stavební úpravy, vestavba a přístavba stávajícího objektu</v>
      </c>
      <c r="G4" s="722"/>
      <c r="H4" s="722"/>
      <c r="I4" s="722"/>
      <c r="J4" s="722"/>
      <c r="K4" s="722"/>
      <c r="L4" s="722"/>
      <c r="M4" s="722"/>
      <c r="N4" s="722"/>
      <c r="O4" s="722"/>
      <c r="P4" s="722"/>
      <c r="R4" s="238"/>
    </row>
    <row r="5" spans="2:18" ht="15.75">
      <c r="B5" s="237"/>
      <c r="D5" s="241" t="s">
        <v>39</v>
      </c>
      <c r="F5" s="691" t="s">
        <v>343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R5" s="238"/>
    </row>
    <row r="6" spans="2:18" ht="12">
      <c r="B6" s="237"/>
      <c r="D6" s="239" t="s">
        <v>4</v>
      </c>
      <c r="F6" s="240" t="s">
        <v>0</v>
      </c>
      <c r="J6" s="47"/>
      <c r="M6" s="239" t="s">
        <v>5</v>
      </c>
      <c r="O6" s="240" t="s">
        <v>0</v>
      </c>
      <c r="R6" s="238"/>
    </row>
    <row r="7" spans="2:18" ht="12">
      <c r="B7" s="237"/>
      <c r="D7" s="239" t="s">
        <v>6</v>
      </c>
      <c r="F7" s="240" t="str">
        <f>Rekapitulace!I82</f>
        <v>Mírové náměstí 23/12, Bílina - p.č. 124, 125/1, 125/2, 125/3, k.ú. Bílina (604208)</v>
      </c>
      <c r="J7" s="47"/>
      <c r="M7" s="239" t="s">
        <v>7</v>
      </c>
      <c r="O7" s="712">
        <f>Rekapitulace!AN6</f>
        <v>0</v>
      </c>
      <c r="P7" s="712"/>
      <c r="R7" s="238"/>
    </row>
    <row r="8" spans="2:18" ht="11.25">
      <c r="B8" s="237"/>
      <c r="J8" s="47"/>
      <c r="R8" s="238"/>
    </row>
    <row r="9" spans="2:18" ht="12">
      <c r="B9" s="237"/>
      <c r="D9" s="239" t="s">
        <v>8</v>
      </c>
      <c r="F9" s="236" t="str">
        <f>Rekapitulace!K8</f>
        <v>město Bílina</v>
      </c>
      <c r="J9" s="47"/>
      <c r="M9" s="239" t="s">
        <v>9</v>
      </c>
      <c r="O9" s="692" t="s">
        <v>0</v>
      </c>
      <c r="P9" s="692"/>
      <c r="R9" s="238"/>
    </row>
    <row r="10" spans="2:18" ht="12">
      <c r="B10" s="237"/>
      <c r="E10" s="240"/>
      <c r="J10" s="47"/>
      <c r="M10" s="239" t="s">
        <v>10</v>
      </c>
      <c r="O10" s="692" t="s">
        <v>0</v>
      </c>
      <c r="P10" s="692"/>
      <c r="R10" s="238"/>
    </row>
    <row r="11" spans="2:18" ht="11.25">
      <c r="B11" s="237"/>
      <c r="J11" s="47"/>
      <c r="R11" s="238"/>
    </row>
    <row r="12" spans="2:18" ht="12">
      <c r="B12" s="237"/>
      <c r="D12" s="239" t="s">
        <v>11</v>
      </c>
      <c r="F12" s="736">
        <f>Rekapitulace!K11</f>
        <v>0</v>
      </c>
      <c r="G12" s="736"/>
      <c r="H12" s="736"/>
      <c r="I12" s="736"/>
      <c r="J12" s="47"/>
      <c r="M12" s="239" t="s">
        <v>9</v>
      </c>
      <c r="O12" s="692" t="str">
        <f>IF(Rekapitulace!AN11="","",Rekapitulace!AN11)</f>
        <v/>
      </c>
      <c r="P12" s="692"/>
      <c r="R12" s="238"/>
    </row>
    <row r="13" spans="2:18" ht="12">
      <c r="B13" s="237"/>
      <c r="E13" s="240" t="str">
        <f>IF(Rekapitulace!E12="","",Rekapitulace!E12)</f>
        <v xml:space="preserve"> </v>
      </c>
      <c r="J13" s="47"/>
      <c r="M13" s="239" t="s">
        <v>10</v>
      </c>
      <c r="O13" s="692" t="str">
        <f>IF(Rekapitulace!AN12="","",Rekapitulace!AN12)</f>
        <v/>
      </c>
      <c r="P13" s="692"/>
      <c r="R13" s="238"/>
    </row>
    <row r="14" spans="2:18" ht="11.25">
      <c r="B14" s="237"/>
      <c r="J14" s="47"/>
      <c r="R14" s="238"/>
    </row>
    <row r="15" spans="2:18" ht="12">
      <c r="B15" s="237"/>
      <c r="D15" s="239" t="s">
        <v>13</v>
      </c>
      <c r="J15" s="47"/>
      <c r="M15" s="239" t="s">
        <v>9</v>
      </c>
      <c r="O15" s="692" t="s">
        <v>0</v>
      </c>
      <c r="P15" s="692"/>
      <c r="R15" s="238"/>
    </row>
    <row r="16" spans="2:18" ht="12">
      <c r="B16" s="237"/>
      <c r="E16" s="240" t="str">
        <f>Rekapitulace!E15</f>
        <v>Ing. arch. Bořek Peška</v>
      </c>
      <c r="J16" s="47"/>
      <c r="M16" s="239" t="s">
        <v>10</v>
      </c>
      <c r="O16" s="692" t="s">
        <v>0</v>
      </c>
      <c r="P16" s="692"/>
      <c r="R16" s="238"/>
    </row>
    <row r="17" spans="2:29" ht="11.25">
      <c r="B17" s="237"/>
      <c r="J17" s="47"/>
      <c r="R17" s="238"/>
    </row>
    <row r="18" spans="2:29" ht="12">
      <c r="B18" s="237"/>
      <c r="D18" s="239" t="s">
        <v>14</v>
      </c>
      <c r="J18" s="47"/>
      <c r="M18" s="239" t="s">
        <v>9</v>
      </c>
      <c r="O18" s="692" t="s">
        <v>0</v>
      </c>
      <c r="P18" s="692"/>
      <c r="R18" s="238"/>
    </row>
    <row r="19" spans="2:29" ht="12">
      <c r="B19" s="237"/>
      <c r="E19" s="240" t="str">
        <f>Rekapitulace!E18</f>
        <v>Jakub Kulhavý</v>
      </c>
      <c r="J19" s="47"/>
      <c r="M19" s="239" t="s">
        <v>10</v>
      </c>
      <c r="O19" s="692" t="s">
        <v>0</v>
      </c>
      <c r="P19" s="692"/>
      <c r="R19" s="238"/>
    </row>
    <row r="20" spans="2:29" ht="11.25">
      <c r="B20" s="237"/>
      <c r="J20" s="47"/>
      <c r="R20" s="238"/>
    </row>
    <row r="21" spans="2:29" ht="12">
      <c r="B21" s="237"/>
      <c r="D21" s="239" t="s">
        <v>186</v>
      </c>
      <c r="J21" s="47"/>
      <c r="M21" s="239"/>
      <c r="O21" s="692" t="s">
        <v>0</v>
      </c>
      <c r="P21" s="692"/>
      <c r="R21" s="238"/>
    </row>
    <row r="22" spans="2:29" ht="12">
      <c r="B22" s="237"/>
      <c r="E22" s="692" t="str">
        <f>Rekapitulace!E21</f>
        <v>projektové dokumentace ve stupni DPS z 04/2023</v>
      </c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R22" s="238"/>
    </row>
    <row r="23" spans="2:29" ht="11.25">
      <c r="B23" s="237"/>
      <c r="J23" s="47"/>
      <c r="R23" s="238"/>
    </row>
    <row r="24" spans="2:29" ht="12">
      <c r="B24" s="237"/>
      <c r="D24" s="239" t="s">
        <v>94</v>
      </c>
      <c r="J24" s="47"/>
      <c r="R24" s="238"/>
    </row>
    <row r="25" spans="2:29" s="308" customFormat="1" ht="12">
      <c r="B25" s="307"/>
      <c r="D25" s="737"/>
      <c r="E25" s="737"/>
      <c r="F25" s="309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R25" s="310"/>
      <c r="T25" s="188"/>
      <c r="AC25" s="311"/>
    </row>
    <row r="26" spans="2:29" ht="12">
      <c r="B26" s="237"/>
      <c r="D26" s="736"/>
      <c r="E26" s="736"/>
      <c r="F26" s="312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R26" s="238"/>
      <c r="T26" s="78"/>
      <c r="U26" s="236"/>
    </row>
    <row r="27" spans="2:29" ht="11.25">
      <c r="B27" s="237"/>
      <c r="J27" s="47"/>
      <c r="R27" s="238"/>
    </row>
    <row r="28" spans="2:29" ht="11.25">
      <c r="B28" s="237"/>
      <c r="D28" s="266"/>
      <c r="E28" s="266"/>
      <c r="F28" s="266"/>
      <c r="G28" s="266"/>
      <c r="H28" s="266"/>
      <c r="I28" s="266"/>
      <c r="J28" s="48"/>
      <c r="K28" s="266"/>
      <c r="L28" s="266"/>
      <c r="M28" s="266"/>
      <c r="N28" s="266"/>
      <c r="O28" s="266"/>
      <c r="P28" s="266"/>
      <c r="R28" s="238"/>
    </row>
    <row r="29" spans="2:29" ht="12.75">
      <c r="B29" s="237"/>
      <c r="D29" s="313" t="str">
        <f>C87</f>
        <v>1) Náklady z rozpočtu - prostory Infocentrum a navazující</v>
      </c>
      <c r="J29" s="47"/>
      <c r="M29" s="670">
        <f>N87</f>
        <v>0</v>
      </c>
      <c r="N29" s="670"/>
      <c r="O29" s="670"/>
      <c r="P29" s="670"/>
      <c r="R29" s="238"/>
    </row>
    <row r="30" spans="2:29" ht="12.75">
      <c r="B30" s="237"/>
      <c r="D30" s="313" t="str">
        <f>C91</f>
        <v>2) Náklady z rozpočtu</v>
      </c>
      <c r="J30" s="47"/>
      <c r="M30" s="670">
        <f>N92</f>
        <v>0</v>
      </c>
      <c r="N30" s="670"/>
      <c r="O30" s="670"/>
      <c r="P30" s="670"/>
      <c r="R30" s="238"/>
    </row>
    <row r="31" spans="2:29" ht="11.25">
      <c r="B31" s="237"/>
      <c r="J31" s="47"/>
      <c r="R31" s="238"/>
    </row>
    <row r="32" spans="2:29" ht="12.75">
      <c r="B32" s="237"/>
      <c r="D32" s="314" t="s">
        <v>16</v>
      </c>
      <c r="J32" s="47"/>
      <c r="M32" s="735">
        <f>ROUND(M29+M30,2)</f>
        <v>0</v>
      </c>
      <c r="N32" s="671"/>
      <c r="O32" s="671"/>
      <c r="P32" s="671"/>
      <c r="R32" s="238"/>
    </row>
    <row r="33" spans="2:18" ht="11.25">
      <c r="B33" s="237"/>
      <c r="D33" s="266"/>
      <c r="E33" s="266"/>
      <c r="F33" s="266"/>
      <c r="G33" s="266"/>
      <c r="H33" s="266"/>
      <c r="I33" s="266"/>
      <c r="J33" s="48"/>
      <c r="K33" s="266"/>
      <c r="L33" s="266"/>
      <c r="M33" s="266"/>
      <c r="N33" s="266"/>
      <c r="O33" s="266"/>
      <c r="P33" s="266"/>
      <c r="R33" s="238"/>
    </row>
    <row r="34" spans="2:18" ht="11.25">
      <c r="B34" s="237"/>
      <c r="D34" s="257" t="s">
        <v>17</v>
      </c>
      <c r="E34" s="257" t="s">
        <v>18</v>
      </c>
      <c r="F34" s="49">
        <v>0.21</v>
      </c>
      <c r="G34" s="315" t="s">
        <v>19</v>
      </c>
      <c r="H34" s="688">
        <f>ROUND(M32, 2)</f>
        <v>0</v>
      </c>
      <c r="I34" s="671"/>
      <c r="J34" s="671"/>
      <c r="M34" s="741">
        <f>ROUND(H34*F34, 2)</f>
        <v>0</v>
      </c>
      <c r="N34" s="671"/>
      <c r="O34" s="671"/>
      <c r="P34" s="671"/>
      <c r="R34" s="238"/>
    </row>
    <row r="35" spans="2:18" ht="11.25">
      <c r="B35" s="237"/>
      <c r="E35" s="257" t="s">
        <v>20</v>
      </c>
      <c r="F35" s="49">
        <v>0.15</v>
      </c>
      <c r="G35" s="315" t="s">
        <v>19</v>
      </c>
      <c r="H35" s="688">
        <v>0</v>
      </c>
      <c r="I35" s="671"/>
      <c r="J35" s="671"/>
      <c r="M35" s="741">
        <f>ROUND(H35*F35, 2)</f>
        <v>0</v>
      </c>
      <c r="N35" s="671"/>
      <c r="O35" s="671"/>
      <c r="P35" s="671"/>
      <c r="R35" s="238"/>
    </row>
    <row r="36" spans="2:18" ht="11.25">
      <c r="B36" s="237"/>
      <c r="J36" s="47"/>
      <c r="R36" s="238"/>
    </row>
    <row r="37" spans="2:18" ht="15.75">
      <c r="B37" s="237"/>
      <c r="C37" s="297"/>
      <c r="D37" s="316" t="s">
        <v>24</v>
      </c>
      <c r="E37" s="283"/>
      <c r="F37" s="283"/>
      <c r="G37" s="317" t="s">
        <v>25</v>
      </c>
      <c r="H37" s="318" t="s">
        <v>26</v>
      </c>
      <c r="I37" s="283"/>
      <c r="J37" s="50"/>
      <c r="K37" s="283"/>
      <c r="L37" s="739">
        <f>SUM(M32:M35)</f>
        <v>0</v>
      </c>
      <c r="M37" s="739"/>
      <c r="N37" s="739"/>
      <c r="O37" s="739"/>
      <c r="P37" s="740"/>
      <c r="Q37" s="297"/>
      <c r="R37" s="238"/>
    </row>
    <row r="38" spans="2:18" ht="11.25">
      <c r="B38" s="237"/>
      <c r="J38" s="47"/>
      <c r="R38" s="238"/>
    </row>
    <row r="39" spans="2:18" ht="11.25">
      <c r="B39" s="237"/>
      <c r="J39" s="47"/>
      <c r="R39" s="238"/>
    </row>
    <row r="40" spans="2:18" ht="11.25">
      <c r="B40" s="237"/>
      <c r="J40" s="47"/>
      <c r="R40" s="238"/>
    </row>
    <row r="41" spans="2:18" ht="11.25">
      <c r="B41" s="237"/>
      <c r="J41" s="47"/>
      <c r="R41" s="238"/>
    </row>
    <row r="42" spans="2:18" ht="11.25">
      <c r="B42" s="237"/>
      <c r="J42" s="47"/>
      <c r="R42" s="238"/>
    </row>
    <row r="43" spans="2:18" ht="11.25">
      <c r="B43" s="237"/>
      <c r="J43" s="47"/>
      <c r="R43" s="238"/>
    </row>
    <row r="44" spans="2:18" ht="11.25">
      <c r="B44" s="237"/>
      <c r="J44" s="47"/>
      <c r="R44" s="238"/>
    </row>
    <row r="45" spans="2:18" ht="11.25">
      <c r="B45" s="237"/>
      <c r="J45" s="47"/>
      <c r="R45" s="238"/>
    </row>
    <row r="46" spans="2:18" ht="11.25">
      <c r="B46" s="237"/>
      <c r="J46" s="47"/>
      <c r="R46" s="238"/>
    </row>
    <row r="47" spans="2:18" ht="11.25">
      <c r="B47" s="237"/>
      <c r="J47" s="47"/>
      <c r="R47" s="238"/>
    </row>
    <row r="48" spans="2:18" ht="11.25">
      <c r="B48" s="237"/>
      <c r="J48" s="47"/>
      <c r="R48" s="238"/>
    </row>
    <row r="49" spans="2:18" ht="12.75">
      <c r="B49" s="237"/>
      <c r="D49" s="265" t="s">
        <v>27</v>
      </c>
      <c r="E49" s="266"/>
      <c r="F49" s="266"/>
      <c r="G49" s="266"/>
      <c r="H49" s="267"/>
      <c r="J49" s="51" t="s">
        <v>28</v>
      </c>
      <c r="K49" s="266"/>
      <c r="L49" s="266"/>
      <c r="M49" s="266"/>
      <c r="N49" s="266"/>
      <c r="O49" s="266"/>
      <c r="P49" s="267"/>
      <c r="R49" s="238"/>
    </row>
    <row r="50" spans="2:18" ht="11.25">
      <c r="B50" s="237"/>
      <c r="D50" s="268"/>
      <c r="H50" s="269"/>
      <c r="J50" s="52"/>
      <c r="P50" s="269"/>
      <c r="R50" s="238"/>
    </row>
    <row r="51" spans="2:18" ht="11.25">
      <c r="B51" s="237"/>
      <c r="D51" s="268"/>
      <c r="H51" s="269"/>
      <c r="J51" s="52"/>
      <c r="P51" s="269"/>
      <c r="R51" s="238"/>
    </row>
    <row r="52" spans="2:18" ht="11.25">
      <c r="B52" s="237"/>
      <c r="D52" s="268"/>
      <c r="H52" s="269"/>
      <c r="J52" s="52"/>
      <c r="P52" s="269"/>
      <c r="R52" s="238"/>
    </row>
    <row r="53" spans="2:18" ht="11.25">
      <c r="B53" s="237"/>
      <c r="D53" s="268"/>
      <c r="H53" s="269"/>
      <c r="J53" s="52"/>
      <c r="P53" s="269"/>
      <c r="R53" s="238"/>
    </row>
    <row r="54" spans="2:18" ht="11.25">
      <c r="B54" s="237"/>
      <c r="D54" s="268"/>
      <c r="H54" s="269"/>
      <c r="J54" s="52"/>
      <c r="P54" s="269"/>
      <c r="R54" s="238"/>
    </row>
    <row r="55" spans="2:18" ht="11.25">
      <c r="B55" s="237"/>
      <c r="D55" s="268"/>
      <c r="H55" s="269"/>
      <c r="J55" s="52"/>
      <c r="P55" s="269"/>
      <c r="R55" s="238"/>
    </row>
    <row r="56" spans="2:18" ht="11.25">
      <c r="B56" s="237"/>
      <c r="D56" s="268"/>
      <c r="H56" s="269"/>
      <c r="J56" s="52"/>
      <c r="P56" s="269"/>
      <c r="R56" s="238"/>
    </row>
    <row r="57" spans="2:18" ht="11.25">
      <c r="B57" s="237"/>
      <c r="D57" s="268"/>
      <c r="H57" s="269"/>
      <c r="J57" s="52"/>
      <c r="P57" s="269"/>
      <c r="R57" s="238"/>
    </row>
    <row r="58" spans="2:18" ht="12.75">
      <c r="B58" s="237"/>
      <c r="D58" s="270" t="s">
        <v>29</v>
      </c>
      <c r="E58" s="271"/>
      <c r="F58" s="271"/>
      <c r="G58" s="272" t="s">
        <v>30</v>
      </c>
      <c r="H58" s="273"/>
      <c r="J58" s="53" t="s">
        <v>29</v>
      </c>
      <c r="K58" s="271"/>
      <c r="L58" s="271"/>
      <c r="M58" s="271"/>
      <c r="N58" s="272" t="s">
        <v>30</v>
      </c>
      <c r="O58" s="271"/>
      <c r="P58" s="273"/>
      <c r="R58" s="238"/>
    </row>
    <row r="59" spans="2:18" ht="11.25">
      <c r="B59" s="237"/>
      <c r="J59" s="47"/>
      <c r="R59" s="238"/>
    </row>
    <row r="60" spans="2:18" ht="12.75">
      <c r="B60" s="237"/>
      <c r="D60" s="265" t="s">
        <v>31</v>
      </c>
      <c r="E60" s="266"/>
      <c r="F60" s="266"/>
      <c r="G60" s="266"/>
      <c r="H60" s="267"/>
      <c r="J60" s="51" t="s">
        <v>32</v>
      </c>
      <c r="K60" s="266"/>
      <c r="L60" s="266"/>
      <c r="M60" s="266"/>
      <c r="N60" s="266"/>
      <c r="O60" s="266"/>
      <c r="P60" s="267"/>
      <c r="R60" s="238"/>
    </row>
    <row r="61" spans="2:18" ht="11.25">
      <c r="B61" s="237"/>
      <c r="D61" s="268"/>
      <c r="H61" s="269"/>
      <c r="J61" s="52"/>
      <c r="P61" s="269"/>
      <c r="R61" s="238"/>
    </row>
    <row r="62" spans="2:18" ht="11.25">
      <c r="B62" s="237"/>
      <c r="D62" s="268"/>
      <c r="H62" s="269"/>
      <c r="J62" s="52"/>
      <c r="P62" s="269"/>
      <c r="R62" s="238"/>
    </row>
    <row r="63" spans="2:18" ht="11.25">
      <c r="B63" s="237"/>
      <c r="D63" s="268"/>
      <c r="H63" s="269"/>
      <c r="J63" s="52"/>
      <c r="P63" s="269"/>
      <c r="R63" s="238"/>
    </row>
    <row r="64" spans="2:18" ht="11.25">
      <c r="B64" s="237"/>
      <c r="D64" s="268"/>
      <c r="H64" s="269"/>
      <c r="J64" s="52"/>
      <c r="P64" s="269"/>
      <c r="R64" s="238"/>
    </row>
    <row r="65" spans="2:18" ht="11.25">
      <c r="B65" s="237"/>
      <c r="D65" s="268"/>
      <c r="H65" s="269"/>
      <c r="J65" s="52"/>
      <c r="P65" s="269"/>
      <c r="R65" s="238"/>
    </row>
    <row r="66" spans="2:18" ht="11.25">
      <c r="B66" s="237"/>
      <c r="D66" s="268"/>
      <c r="H66" s="269"/>
      <c r="J66" s="52"/>
      <c r="P66" s="269"/>
      <c r="R66" s="238"/>
    </row>
    <row r="67" spans="2:18" ht="11.25">
      <c r="B67" s="237"/>
      <c r="D67" s="268"/>
      <c r="H67" s="269"/>
      <c r="J67" s="52"/>
      <c r="P67" s="269"/>
      <c r="R67" s="238"/>
    </row>
    <row r="68" spans="2:18" ht="11.25">
      <c r="B68" s="237"/>
      <c r="D68" s="268"/>
      <c r="H68" s="269"/>
      <c r="J68" s="52"/>
      <c r="P68" s="269"/>
      <c r="R68" s="238"/>
    </row>
    <row r="69" spans="2:18" ht="12.75">
      <c r="B69" s="237"/>
      <c r="D69" s="270" t="s">
        <v>29</v>
      </c>
      <c r="E69" s="271"/>
      <c r="F69" s="271"/>
      <c r="G69" s="272" t="s">
        <v>30</v>
      </c>
      <c r="H69" s="273"/>
      <c r="J69" s="53" t="s">
        <v>29</v>
      </c>
      <c r="K69" s="271"/>
      <c r="L69" s="271"/>
      <c r="M69" s="271"/>
      <c r="N69" s="272" t="s">
        <v>30</v>
      </c>
      <c r="O69" s="271"/>
      <c r="P69" s="273"/>
      <c r="R69" s="238"/>
    </row>
    <row r="70" spans="2:18" ht="11.25">
      <c r="B70" s="274"/>
      <c r="C70" s="275"/>
      <c r="D70" s="275"/>
      <c r="E70" s="275"/>
      <c r="F70" s="275"/>
      <c r="G70" s="275"/>
      <c r="H70" s="275"/>
      <c r="I70" s="275"/>
      <c r="J70" s="54"/>
      <c r="K70" s="275"/>
      <c r="L70" s="275"/>
      <c r="M70" s="275"/>
      <c r="N70" s="275"/>
      <c r="O70" s="275"/>
      <c r="P70" s="275"/>
      <c r="Q70" s="275"/>
      <c r="R70" s="276"/>
    </row>
    <row r="74" spans="2:18" ht="11.25">
      <c r="B74" s="233"/>
      <c r="C74" s="234"/>
      <c r="D74" s="234"/>
      <c r="E74" s="234"/>
      <c r="F74" s="234"/>
      <c r="G74" s="234"/>
      <c r="H74" s="234"/>
      <c r="I74" s="234"/>
      <c r="J74" s="46"/>
      <c r="K74" s="234"/>
      <c r="L74" s="234"/>
      <c r="M74" s="234"/>
      <c r="N74" s="234"/>
      <c r="O74" s="234"/>
      <c r="P74" s="234"/>
      <c r="Q74" s="234"/>
      <c r="R74" s="235"/>
    </row>
    <row r="75" spans="2:18" ht="20.25">
      <c r="B75" s="237"/>
      <c r="C75" s="697" t="s">
        <v>40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238"/>
    </row>
    <row r="76" spans="2:18" ht="11.25">
      <c r="B76" s="237"/>
      <c r="J76" s="47"/>
      <c r="R76" s="238"/>
    </row>
    <row r="77" spans="2:18" ht="12">
      <c r="B77" s="237"/>
      <c r="C77" s="239" t="s">
        <v>3</v>
      </c>
      <c r="F77" s="721" t="str">
        <f>F4</f>
        <v>Stavební úpravy, vestavba a přístavba stávajícího objektu</v>
      </c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R77" s="238"/>
    </row>
    <row r="78" spans="2:18" ht="15.75">
      <c r="B78" s="237"/>
      <c r="C78" s="241" t="s">
        <v>39</v>
      </c>
      <c r="F78" s="691" t="str">
        <f>F5</f>
        <v>Bourání a demolice</v>
      </c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R78" s="238"/>
    </row>
    <row r="79" spans="2:18" ht="11.25">
      <c r="B79" s="237"/>
      <c r="J79" s="47"/>
      <c r="R79" s="238"/>
    </row>
    <row r="80" spans="2:18" ht="12">
      <c r="B80" s="237"/>
      <c r="C80" s="239" t="s">
        <v>6</v>
      </c>
      <c r="F80" s="240" t="str">
        <f>F7</f>
        <v>Mírové náměstí 23/12, Bílina - p.č. 124, 125/1, 125/2, 125/3, k.ú. Bílina (604208)</v>
      </c>
      <c r="J80" s="47"/>
      <c r="K80" s="239" t="s">
        <v>7</v>
      </c>
      <c r="M80" s="712">
        <f>IF(O7="","",O7)</f>
        <v>0</v>
      </c>
      <c r="N80" s="712"/>
      <c r="O80" s="712"/>
      <c r="P80" s="712"/>
      <c r="R80" s="238"/>
    </row>
    <row r="81" spans="2:29" ht="11.25">
      <c r="B81" s="237"/>
      <c r="J81" s="47"/>
      <c r="R81" s="238"/>
    </row>
    <row r="82" spans="2:29" ht="12">
      <c r="B82" s="237"/>
      <c r="C82" s="239" t="s">
        <v>8</v>
      </c>
      <c r="F82" s="240" t="str">
        <f>F9</f>
        <v>město Bílina</v>
      </c>
      <c r="J82" s="47"/>
      <c r="K82" s="239" t="s">
        <v>13</v>
      </c>
      <c r="M82" s="692" t="str">
        <f>E16</f>
        <v>Ing. arch. Bořek Peška</v>
      </c>
      <c r="N82" s="692"/>
      <c r="O82" s="692"/>
      <c r="P82" s="692"/>
      <c r="Q82" s="692"/>
      <c r="R82" s="238"/>
    </row>
    <row r="83" spans="2:29" ht="12">
      <c r="B83" s="237"/>
      <c r="C83" s="239" t="s">
        <v>11</v>
      </c>
      <c r="F83" s="240">
        <f>F12</f>
        <v>0</v>
      </c>
      <c r="J83" s="47"/>
      <c r="K83" s="239" t="s">
        <v>14</v>
      </c>
      <c r="M83" s="692" t="str">
        <f>E19</f>
        <v>Jakub Kulhavý</v>
      </c>
      <c r="N83" s="692"/>
      <c r="O83" s="692"/>
      <c r="P83" s="692"/>
      <c r="Q83" s="692"/>
      <c r="R83" s="238"/>
    </row>
    <row r="84" spans="2:29" ht="11.25">
      <c r="B84" s="237"/>
      <c r="J84" s="47"/>
      <c r="R84" s="238"/>
    </row>
    <row r="85" spans="2:29" ht="12">
      <c r="B85" s="237"/>
      <c r="C85" s="742" t="s">
        <v>41</v>
      </c>
      <c r="D85" s="743"/>
      <c r="E85" s="743"/>
      <c r="F85" s="743"/>
      <c r="G85" s="743"/>
      <c r="H85" s="297" t="s">
        <v>198</v>
      </c>
      <c r="I85" s="319">
        <f>Rekapitulace!AS118</f>
        <v>803.81999999999982</v>
      </c>
      <c r="J85" s="55"/>
      <c r="K85" s="297" t="s">
        <v>197</v>
      </c>
      <c r="L85" s="297"/>
      <c r="M85" s="297"/>
      <c r="N85" s="742" t="s">
        <v>42</v>
      </c>
      <c r="O85" s="743"/>
      <c r="P85" s="743"/>
      <c r="Q85" s="743"/>
      <c r="R85" s="238"/>
    </row>
    <row r="86" spans="2:29" ht="11.25">
      <c r="B86" s="237"/>
      <c r="J86" s="47"/>
      <c r="R86" s="238"/>
    </row>
    <row r="87" spans="2:29" ht="15.75">
      <c r="B87" s="237"/>
      <c r="C87" s="320" t="str">
        <f>C116</f>
        <v>1) Náklady z rozpočtu - prostory Infocentrum a navazující</v>
      </c>
      <c r="I87" s="306">
        <v>30.61</v>
      </c>
      <c r="J87" s="47"/>
      <c r="K87" s="79">
        <f>N87/$I$87</f>
        <v>0</v>
      </c>
      <c r="N87" s="681">
        <f>N88</f>
        <v>0</v>
      </c>
      <c r="O87" s="744"/>
      <c r="P87" s="744"/>
      <c r="Q87" s="744"/>
      <c r="R87" s="238"/>
      <c r="T87" s="56"/>
    </row>
    <row r="88" spans="2:29" s="322" customFormat="1" ht="15">
      <c r="B88" s="321"/>
      <c r="D88" s="323" t="s">
        <v>43</v>
      </c>
      <c r="J88" s="57"/>
      <c r="K88" s="80">
        <f>N88/$I$87</f>
        <v>0</v>
      </c>
      <c r="N88" s="730">
        <f>SUM(N89:Q90)</f>
        <v>0</v>
      </c>
      <c r="O88" s="731"/>
      <c r="P88" s="731"/>
      <c r="Q88" s="731"/>
      <c r="R88" s="324"/>
      <c r="T88" s="56"/>
      <c r="U88" s="325"/>
      <c r="V88" s="325"/>
      <c r="W88" s="325"/>
      <c r="X88" s="325"/>
      <c r="Y88" s="325"/>
      <c r="Z88" s="325"/>
      <c r="AA88" s="325"/>
      <c r="AB88" s="325"/>
      <c r="AC88" s="326"/>
    </row>
    <row r="89" spans="2:29" s="302" customFormat="1" ht="12.75">
      <c r="B89" s="327"/>
      <c r="D89" s="328" t="str">
        <f>D118</f>
        <v xml:space="preserve">    9 - Ostatní konstrukce a práce, bourání</v>
      </c>
      <c r="J89" s="58"/>
      <c r="K89" s="81">
        <f>N89/$I$87</f>
        <v>0</v>
      </c>
      <c r="N89" s="732">
        <f>N118</f>
        <v>0</v>
      </c>
      <c r="O89" s="733"/>
      <c r="P89" s="733"/>
      <c r="Q89" s="733"/>
      <c r="R89" s="329"/>
      <c r="T89" s="43"/>
      <c r="U89" s="330"/>
      <c r="V89" s="330"/>
      <c r="W89" s="330"/>
      <c r="X89" s="330"/>
      <c r="Y89" s="330"/>
      <c r="Z89" s="330"/>
      <c r="AA89" s="330"/>
      <c r="AB89" s="330"/>
      <c r="AC89" s="331"/>
    </row>
    <row r="90" spans="2:29" s="302" customFormat="1" ht="12.75">
      <c r="B90" s="327"/>
      <c r="D90" s="328" t="str">
        <f>D143</f>
        <v xml:space="preserve">    997 - Přesuny suti</v>
      </c>
      <c r="J90" s="58"/>
      <c r="K90" s="81">
        <f>N90/$I$87</f>
        <v>0</v>
      </c>
      <c r="N90" s="732">
        <f>N143</f>
        <v>0</v>
      </c>
      <c r="O90" s="733"/>
      <c r="P90" s="733"/>
      <c r="Q90" s="733"/>
      <c r="R90" s="329"/>
      <c r="T90" s="43"/>
      <c r="U90" s="330"/>
      <c r="V90" s="330"/>
      <c r="W90" s="330"/>
      <c r="X90" s="330"/>
      <c r="Y90" s="330"/>
      <c r="Z90" s="330"/>
      <c r="AA90" s="330"/>
      <c r="AB90" s="330"/>
      <c r="AC90" s="331"/>
    </row>
    <row r="91" spans="2:29" ht="15.75">
      <c r="B91" s="237"/>
      <c r="C91" s="320" t="str">
        <f>C153</f>
        <v>2) Náklady z rozpočtu</v>
      </c>
      <c r="I91" s="332">
        <f>I85-I87</f>
        <v>773.20999999999981</v>
      </c>
      <c r="J91" s="47"/>
      <c r="K91" s="79">
        <f>N91/$I$91</f>
        <v>0</v>
      </c>
      <c r="N91" s="681">
        <f>N92</f>
        <v>0</v>
      </c>
      <c r="O91" s="744"/>
      <c r="P91" s="744"/>
      <c r="Q91" s="744"/>
      <c r="R91" s="238"/>
      <c r="T91" s="56"/>
    </row>
    <row r="92" spans="2:29" s="322" customFormat="1" ht="15">
      <c r="B92" s="321"/>
      <c r="D92" s="323" t="s">
        <v>43</v>
      </c>
      <c r="J92" s="57"/>
      <c r="K92" s="80">
        <f>N92/$I$91</f>
        <v>0</v>
      </c>
      <c r="N92" s="730">
        <f>SUM(N93:Q95)</f>
        <v>0</v>
      </c>
      <c r="O92" s="731"/>
      <c r="P92" s="731"/>
      <c r="Q92" s="731"/>
      <c r="R92" s="324"/>
      <c r="T92" s="56"/>
      <c r="U92" s="325"/>
      <c r="V92" s="325"/>
      <c r="W92" s="325"/>
      <c r="X92" s="325"/>
      <c r="Y92" s="325"/>
      <c r="Z92" s="325"/>
      <c r="AA92" s="325"/>
      <c r="AB92" s="325"/>
      <c r="AC92" s="326"/>
    </row>
    <row r="93" spans="2:29" s="302" customFormat="1" ht="12.75">
      <c r="B93" s="327"/>
      <c r="D93" s="328" t="str">
        <f>D155</f>
        <v xml:space="preserve">    5 - Komunikace a venkovní plochy</v>
      </c>
      <c r="J93" s="58"/>
      <c r="K93" s="81">
        <f>N93/$I$91</f>
        <v>0</v>
      </c>
      <c r="N93" s="732">
        <f>N155</f>
        <v>0</v>
      </c>
      <c r="O93" s="733"/>
      <c r="P93" s="733"/>
      <c r="Q93" s="733"/>
      <c r="R93" s="329"/>
      <c r="T93" s="43"/>
      <c r="U93" s="330"/>
      <c r="V93" s="330"/>
      <c r="W93" s="330"/>
      <c r="X93" s="330"/>
      <c r="Y93" s="330"/>
      <c r="Z93" s="330"/>
      <c r="AA93" s="330"/>
      <c r="AB93" s="330"/>
      <c r="AC93" s="331"/>
    </row>
    <row r="94" spans="2:29" s="302" customFormat="1" ht="12.75">
      <c r="B94" s="327"/>
      <c r="D94" s="328" t="str">
        <f>D158</f>
        <v xml:space="preserve">    9 - Ostatní konstrukce a práce, bourání</v>
      </c>
      <c r="J94" s="58"/>
      <c r="K94" s="81">
        <f>N94/$I$91</f>
        <v>0</v>
      </c>
      <c r="N94" s="732">
        <f>N158</f>
        <v>0</v>
      </c>
      <c r="O94" s="733"/>
      <c r="P94" s="733"/>
      <c r="Q94" s="733"/>
      <c r="R94" s="329"/>
      <c r="T94" s="43"/>
      <c r="U94" s="330"/>
      <c r="V94" s="330"/>
      <c r="W94" s="330"/>
      <c r="X94" s="330"/>
      <c r="Y94" s="330"/>
      <c r="Z94" s="330"/>
      <c r="AA94" s="330"/>
      <c r="AB94" s="330"/>
      <c r="AC94" s="331"/>
    </row>
    <row r="95" spans="2:29" s="302" customFormat="1" ht="12.75">
      <c r="B95" s="327"/>
      <c r="D95" s="328" t="str">
        <f>D273</f>
        <v xml:space="preserve">    997 - Přesuny suti</v>
      </c>
      <c r="J95" s="58"/>
      <c r="K95" s="81">
        <f>N95/$I$91</f>
        <v>0</v>
      </c>
      <c r="N95" s="732">
        <f>N273</f>
        <v>0</v>
      </c>
      <c r="O95" s="733"/>
      <c r="P95" s="733"/>
      <c r="Q95" s="733"/>
      <c r="R95" s="329"/>
      <c r="T95" s="43"/>
      <c r="U95" s="330"/>
      <c r="V95" s="330"/>
      <c r="W95" s="330"/>
      <c r="X95" s="330"/>
      <c r="Y95" s="330"/>
      <c r="Z95" s="330"/>
      <c r="AA95" s="330"/>
      <c r="AB95" s="330"/>
      <c r="AC95" s="331"/>
    </row>
    <row r="96" spans="2:29" ht="11.25">
      <c r="B96" s="237"/>
      <c r="J96" s="47"/>
      <c r="R96" s="238"/>
      <c r="T96" s="217"/>
      <c r="U96" s="333"/>
      <c r="V96" s="333"/>
    </row>
    <row r="97" spans="2:22" ht="15.75">
      <c r="B97" s="237"/>
      <c r="C97" s="296" t="s">
        <v>95</v>
      </c>
      <c r="D97" s="297"/>
      <c r="E97" s="297"/>
      <c r="F97" s="297"/>
      <c r="G97" s="297"/>
      <c r="H97" s="297"/>
      <c r="I97" s="297"/>
      <c r="J97" s="55"/>
      <c r="K97" s="82">
        <f>L97/$I$85</f>
        <v>0</v>
      </c>
      <c r="L97" s="669">
        <f>ROUND(N87+N91,2)</f>
        <v>0</v>
      </c>
      <c r="M97" s="669"/>
      <c r="N97" s="669"/>
      <c r="O97" s="669"/>
      <c r="P97" s="669"/>
      <c r="Q97" s="669"/>
      <c r="R97" s="238"/>
      <c r="T97" s="217"/>
      <c r="U97" s="333"/>
      <c r="V97" s="333"/>
    </row>
    <row r="98" spans="2:22" ht="11.25">
      <c r="B98" s="274"/>
      <c r="C98" s="275"/>
      <c r="D98" s="275"/>
      <c r="E98" s="275"/>
      <c r="F98" s="275"/>
      <c r="G98" s="275"/>
      <c r="H98" s="275"/>
      <c r="I98" s="275"/>
      <c r="J98" s="54"/>
      <c r="K98" s="275"/>
      <c r="L98" s="275"/>
      <c r="M98" s="275"/>
      <c r="N98" s="275"/>
      <c r="O98" s="275"/>
      <c r="P98" s="275"/>
      <c r="Q98" s="275"/>
      <c r="R98" s="276"/>
      <c r="T98" s="217"/>
      <c r="U98" s="333"/>
      <c r="V98" s="333"/>
    </row>
    <row r="99" spans="2:22" ht="11.25">
      <c r="T99" s="217"/>
      <c r="U99" s="333"/>
      <c r="V99" s="333"/>
    </row>
    <row r="102" spans="2:22" ht="11.25">
      <c r="B102" s="233"/>
      <c r="C102" s="234"/>
      <c r="D102" s="234"/>
      <c r="E102" s="234"/>
      <c r="F102" s="234"/>
      <c r="G102" s="234"/>
      <c r="H102" s="234"/>
      <c r="I102" s="234"/>
      <c r="J102" s="46"/>
      <c r="K102" s="234"/>
      <c r="L102" s="234"/>
      <c r="M102" s="234"/>
      <c r="N102" s="234"/>
      <c r="O102" s="234"/>
      <c r="P102" s="234"/>
      <c r="Q102" s="234"/>
      <c r="R102" s="235"/>
    </row>
    <row r="103" spans="2:22" ht="20.25">
      <c r="B103" s="237"/>
      <c r="C103" s="697" t="s">
        <v>55</v>
      </c>
      <c r="D103" s="671"/>
      <c r="E103" s="671"/>
      <c r="F103" s="671"/>
      <c r="G103" s="671"/>
      <c r="H103" s="671"/>
      <c r="I103" s="671"/>
      <c r="J103" s="671"/>
      <c r="K103" s="671"/>
      <c r="L103" s="671"/>
      <c r="M103" s="671"/>
      <c r="N103" s="671"/>
      <c r="O103" s="671"/>
      <c r="P103" s="671"/>
      <c r="Q103" s="671"/>
      <c r="R103" s="238"/>
    </row>
    <row r="104" spans="2:22" ht="2.25" customHeight="1">
      <c r="B104" s="237"/>
      <c r="J104" s="47"/>
      <c r="R104" s="238"/>
    </row>
    <row r="105" spans="2:22" ht="12">
      <c r="B105" s="237"/>
      <c r="C105" s="239" t="s">
        <v>3</v>
      </c>
      <c r="F105" s="721" t="str">
        <f>F4</f>
        <v>Stavební úpravy, vestavba a přístavba stávajícího objektu</v>
      </c>
      <c r="G105" s="722"/>
      <c r="H105" s="722"/>
      <c r="I105" s="722"/>
      <c r="J105" s="722"/>
      <c r="K105" s="722"/>
      <c r="L105" s="722"/>
      <c r="M105" s="722"/>
      <c r="N105" s="722"/>
      <c r="O105" s="722"/>
      <c r="P105" s="722"/>
      <c r="R105" s="238"/>
    </row>
    <row r="106" spans="2:22" ht="15.75">
      <c r="B106" s="237"/>
      <c r="C106" s="241" t="s">
        <v>39</v>
      </c>
      <c r="F106" s="691" t="str">
        <f>F5</f>
        <v>Bourání a demolice</v>
      </c>
      <c r="G106" s="671"/>
      <c r="H106" s="671"/>
      <c r="I106" s="671"/>
      <c r="J106" s="671"/>
      <c r="K106" s="671"/>
      <c r="L106" s="671"/>
      <c r="M106" s="671"/>
      <c r="N106" s="671"/>
      <c r="O106" s="671"/>
      <c r="P106" s="671"/>
      <c r="R106" s="238"/>
    </row>
    <row r="107" spans="2:22" ht="11.25">
      <c r="B107" s="237"/>
      <c r="J107" s="47"/>
      <c r="R107" s="238"/>
    </row>
    <row r="108" spans="2:22" ht="12">
      <c r="B108" s="237"/>
      <c r="C108" s="239" t="s">
        <v>6</v>
      </c>
      <c r="F108" s="240" t="str">
        <f>F7</f>
        <v>Mírové náměstí 23/12, Bílina - p.č. 124, 125/1, 125/2, 125/3, k.ú. Bílina (604208)</v>
      </c>
      <c r="J108" s="47"/>
      <c r="K108" s="239" t="s">
        <v>7</v>
      </c>
      <c r="M108" s="712">
        <f>IF(O7="","",O7)</f>
        <v>0</v>
      </c>
      <c r="N108" s="712"/>
      <c r="O108" s="712"/>
      <c r="P108" s="712"/>
      <c r="R108" s="238"/>
    </row>
    <row r="109" spans="2:22" ht="11.25">
      <c r="B109" s="237"/>
      <c r="J109" s="47"/>
      <c r="R109" s="238"/>
    </row>
    <row r="110" spans="2:22" ht="12">
      <c r="B110" s="237"/>
      <c r="C110" s="239" t="s">
        <v>8</v>
      </c>
      <c r="F110" s="240" t="str">
        <f>F82</f>
        <v>město Bílina</v>
      </c>
      <c r="J110" s="47"/>
      <c r="K110" s="239" t="s">
        <v>13</v>
      </c>
      <c r="M110" s="692" t="str">
        <f>E16</f>
        <v>Ing. arch. Bořek Peška</v>
      </c>
      <c r="N110" s="692"/>
      <c r="O110" s="692"/>
      <c r="P110" s="692"/>
      <c r="Q110" s="692"/>
      <c r="R110" s="238"/>
    </row>
    <row r="111" spans="2:22" ht="12">
      <c r="B111" s="237"/>
      <c r="C111" s="239" t="s">
        <v>11</v>
      </c>
      <c r="F111" s="240">
        <f>F83</f>
        <v>0</v>
      </c>
      <c r="J111" s="47"/>
      <c r="K111" s="239" t="s">
        <v>14</v>
      </c>
      <c r="M111" s="692" t="str">
        <f>E19</f>
        <v>Jakub Kulhavý</v>
      </c>
      <c r="N111" s="692"/>
      <c r="O111" s="692"/>
      <c r="P111" s="692"/>
      <c r="Q111" s="692"/>
      <c r="R111" s="238"/>
    </row>
    <row r="112" spans="2:22" ht="12">
      <c r="B112" s="237"/>
      <c r="C112" s="239"/>
      <c r="F112" s="721"/>
      <c r="G112" s="722"/>
      <c r="H112" s="722"/>
      <c r="I112" s="722"/>
      <c r="J112" s="722"/>
      <c r="K112" s="722"/>
      <c r="L112" s="722"/>
      <c r="M112" s="722"/>
      <c r="N112" s="722"/>
      <c r="O112" s="722"/>
      <c r="P112" s="722"/>
      <c r="R112" s="238"/>
    </row>
    <row r="113" spans="2:29" ht="28.5" customHeight="1">
      <c r="B113" s="237"/>
      <c r="C113" s="239" t="s">
        <v>106</v>
      </c>
      <c r="F113" s="690" t="s">
        <v>2047</v>
      </c>
      <c r="G113" s="690"/>
      <c r="H113" s="690"/>
      <c r="I113" s="690"/>
      <c r="J113" s="690"/>
      <c r="K113" s="690"/>
      <c r="L113" s="690"/>
      <c r="M113" s="690"/>
      <c r="N113" s="690"/>
      <c r="O113" s="690"/>
      <c r="P113" s="690"/>
      <c r="R113" s="238"/>
    </row>
    <row r="114" spans="2:29" ht="3.75" customHeight="1">
      <c r="B114" s="237"/>
      <c r="J114" s="47"/>
      <c r="R114" s="238"/>
    </row>
    <row r="115" spans="2:29" s="338" customFormat="1" ht="12">
      <c r="B115" s="334"/>
      <c r="C115" s="335" t="s">
        <v>56</v>
      </c>
      <c r="D115" s="336" t="s">
        <v>57</v>
      </c>
      <c r="E115" s="336" t="s">
        <v>34</v>
      </c>
      <c r="F115" s="723" t="s">
        <v>58</v>
      </c>
      <c r="G115" s="723"/>
      <c r="H115" s="723"/>
      <c r="I115" s="723"/>
      <c r="J115" s="59" t="s">
        <v>59</v>
      </c>
      <c r="K115" s="336" t="s">
        <v>60</v>
      </c>
      <c r="L115" s="724" t="s">
        <v>61</v>
      </c>
      <c r="M115" s="724"/>
      <c r="N115" s="723" t="s">
        <v>42</v>
      </c>
      <c r="O115" s="723"/>
      <c r="P115" s="723"/>
      <c r="Q115" s="725"/>
      <c r="R115" s="337"/>
      <c r="T115" s="44"/>
      <c r="U115" s="339"/>
      <c r="V115" s="339"/>
      <c r="W115" s="339"/>
      <c r="X115" s="339"/>
      <c r="Y115" s="339"/>
      <c r="Z115" s="339"/>
      <c r="AA115" s="339"/>
      <c r="AB115" s="339"/>
    </row>
    <row r="116" spans="2:29" ht="15.75">
      <c r="B116" s="237"/>
      <c r="C116" s="285" t="s">
        <v>2486</v>
      </c>
      <c r="J116" s="47"/>
      <c r="N116" s="746">
        <f>N117</f>
        <v>0</v>
      </c>
      <c r="O116" s="747"/>
      <c r="P116" s="747"/>
      <c r="Q116" s="747"/>
      <c r="R116" s="238"/>
      <c r="T116" s="42">
        <f>SUM(N116:Q151)/4</f>
        <v>0</v>
      </c>
      <c r="U116" s="248">
        <f>SUM(U117:U147)</f>
        <v>0</v>
      </c>
      <c r="V116" s="248">
        <f>SUM(V117:V147)</f>
        <v>0.20699999999999999</v>
      </c>
      <c r="W116" s="248">
        <f t="shared" ref="W116:AB116" si="0">SUM(W117:W142)</f>
        <v>13.59165</v>
      </c>
      <c r="X116" s="248">
        <f t="shared" si="0"/>
        <v>1.5772000000000002</v>
      </c>
      <c r="Y116" s="248">
        <f t="shared" si="0"/>
        <v>0</v>
      </c>
      <c r="Z116" s="248">
        <f t="shared" si="0"/>
        <v>1.4164100000000002</v>
      </c>
      <c r="AA116" s="248">
        <f t="shared" si="0"/>
        <v>38.069305999999997</v>
      </c>
      <c r="AB116" s="248">
        <f t="shared" si="0"/>
        <v>0</v>
      </c>
    </row>
    <row r="117" spans="2:29" s="341" customFormat="1" ht="15">
      <c r="B117" s="340"/>
      <c r="D117" s="323" t="s">
        <v>43</v>
      </c>
      <c r="E117" s="323"/>
      <c r="F117" s="323"/>
      <c r="G117" s="323"/>
      <c r="H117" s="323"/>
      <c r="I117" s="323"/>
      <c r="J117" s="60"/>
      <c r="K117" s="323"/>
      <c r="L117" s="323"/>
      <c r="M117" s="323"/>
      <c r="N117" s="730">
        <f>N118+N143</f>
        <v>0</v>
      </c>
      <c r="O117" s="730"/>
      <c r="P117" s="730"/>
      <c r="Q117" s="730"/>
      <c r="R117" s="342"/>
      <c r="T117" s="45">
        <f>SUM(N117:Q151)/3</f>
        <v>0</v>
      </c>
      <c r="U117" s="248"/>
      <c r="V117" s="248"/>
      <c r="W117" s="248"/>
      <c r="X117" s="248"/>
      <c r="Y117" s="248"/>
      <c r="Z117" s="248"/>
      <c r="AA117" s="248"/>
      <c r="AB117" s="248"/>
      <c r="AC117" s="343"/>
    </row>
    <row r="118" spans="2:29" s="341" customFormat="1" ht="12.75">
      <c r="B118" s="340"/>
      <c r="C118" s="344"/>
      <c r="D118" s="344" t="s">
        <v>98</v>
      </c>
      <c r="E118" s="344"/>
      <c r="F118" s="344"/>
      <c r="G118" s="344"/>
      <c r="H118" s="344"/>
      <c r="I118" s="344"/>
      <c r="J118" s="61"/>
      <c r="K118" s="344"/>
      <c r="L118" s="72"/>
      <c r="M118" s="72"/>
      <c r="N118" s="734">
        <f>SUM(N119:Q142)</f>
        <v>0</v>
      </c>
      <c r="O118" s="734"/>
      <c r="P118" s="734"/>
      <c r="Q118" s="734"/>
      <c r="R118" s="342"/>
      <c r="T118" s="45">
        <f>SUM(N118:Q142)/2</f>
        <v>0</v>
      </c>
      <c r="U118" s="248"/>
      <c r="V118" s="248"/>
      <c r="W118" s="248"/>
      <c r="X118" s="248"/>
      <c r="Y118" s="248"/>
      <c r="Z118" s="248"/>
      <c r="AA118" s="248"/>
      <c r="AB118" s="248"/>
      <c r="AC118" s="343"/>
    </row>
    <row r="119" spans="2:29" ht="11.25" outlineLevel="1">
      <c r="B119" s="237"/>
      <c r="C119" s="345"/>
      <c r="D119" s="345" t="s">
        <v>62</v>
      </c>
      <c r="E119" s="346">
        <v>962032230</v>
      </c>
      <c r="F119" s="719" t="s">
        <v>360</v>
      </c>
      <c r="G119" s="719"/>
      <c r="H119" s="719"/>
      <c r="I119" s="719"/>
      <c r="J119" s="63" t="s">
        <v>64</v>
      </c>
      <c r="K119" s="347">
        <f>SUM(K120:K121)</f>
        <v>1.5772000000000002</v>
      </c>
      <c r="L119" s="726"/>
      <c r="M119" s="726"/>
      <c r="N119" s="720">
        <f>ROUND(L119*K119,2)</f>
        <v>0</v>
      </c>
      <c r="O119" s="720"/>
      <c r="P119" s="720"/>
      <c r="Q119" s="720"/>
      <c r="R119" s="238"/>
      <c r="T119" s="45"/>
      <c r="X119" s="348">
        <f>K119</f>
        <v>1.5772000000000002</v>
      </c>
    </row>
    <row r="120" spans="2:29" s="248" customFormat="1" ht="22.5" outlineLevel="1">
      <c r="B120" s="247"/>
      <c r="E120" s="349" t="s">
        <v>613</v>
      </c>
      <c r="F120" s="717" t="s">
        <v>2493</v>
      </c>
      <c r="G120" s="718">
        <f>0.25*0.5*2.4*2+0.65*2.36*0.3+0.8*0.85*0.15*6+(3.7*3.77-1.25*2)*0.4+0.2*0.3*2.2*2+1.4*2.25*0.3+0.8*0.2*2.8+16*0.4*2.75*2</f>
        <v>43.108800000000002</v>
      </c>
      <c r="H120" s="718">
        <f>0.25*0.5*2.4*2+0.65*2.36*0.3+0.8*0.85*0.15*6+(3.7*3.77-1.25*2)*0.4+0.2*0.3*2.2*2+1.4*2.25*0.3+0.8*0.2*2.8+16*0.4*2.75*2</f>
        <v>43.108800000000002</v>
      </c>
      <c r="I120" s="718">
        <f>0.25*0.5*2.4*2+0.65*2.36*0.3+0.8*0.85*0.15*6+(3.7*3.77-1.25*2)*0.4+0.2*0.3*2.2*2+1.4*2.25*0.3+0.8*0.2*2.8+16*0.4*2.75*2</f>
        <v>43.108800000000002</v>
      </c>
      <c r="J120" s="64"/>
      <c r="K120" s="350">
        <f>0.2*0.3*2.2*2+0.65*2.36*0.3+0.8*0.2*2.8</f>
        <v>1.1722000000000001</v>
      </c>
      <c r="L120" s="196"/>
      <c r="M120" s="196"/>
      <c r="R120" s="249"/>
      <c r="T120" s="45"/>
      <c r="AC120" s="351"/>
    </row>
    <row r="121" spans="2:29" s="248" customFormat="1" ht="36" customHeight="1" outlineLevel="1">
      <c r="B121" s="247"/>
      <c r="E121" s="349" t="s">
        <v>615</v>
      </c>
      <c r="F121" s="717" t="s">
        <v>2494</v>
      </c>
      <c r="G121" s="718">
        <f>1.5*2.25*0.3+0.35*0.35*1.6+(0.8+0.2)*0.7*3.38+0.1*0.2*2.225*2*2+1*2.2*0.25+3.1*3.26*0.2</f>
        <v>6.3236999999999988</v>
      </c>
      <c r="H121" s="718">
        <f>1.5*2.25*0.3+0.35*0.35*1.6+(0.8+0.2)*0.7*3.38+0.1*0.2*2.225*2*2+1*2.2*0.25+3.1*3.26*0.2</f>
        <v>6.3236999999999988</v>
      </c>
      <c r="I121" s="718">
        <f>1.5*2.25*0.3+0.35*0.35*1.6+(0.8+0.2)*0.7*3.38+0.1*0.2*2.225*2*2+1*2.2*0.25+3.1*3.26*0.2</f>
        <v>6.3236999999999988</v>
      </c>
      <c r="J121" s="64"/>
      <c r="K121" s="350">
        <f>0.15*2.25*0.3*2*2</f>
        <v>0.40499999999999997</v>
      </c>
      <c r="L121" s="196"/>
      <c r="M121" s="196"/>
      <c r="R121" s="249"/>
      <c r="T121" s="45"/>
      <c r="AC121" s="351"/>
    </row>
    <row r="122" spans="2:29" ht="11.25" outlineLevel="1">
      <c r="B122" s="237"/>
      <c r="C122" s="345"/>
      <c r="D122" s="345" t="s">
        <v>62</v>
      </c>
      <c r="E122" s="346">
        <v>963042819</v>
      </c>
      <c r="F122" s="719" t="s">
        <v>362</v>
      </c>
      <c r="G122" s="719"/>
      <c r="H122" s="719"/>
      <c r="I122" s="719"/>
      <c r="J122" s="63" t="s">
        <v>68</v>
      </c>
      <c r="K122" s="347">
        <f>SUM(K123:K123)</f>
        <v>6</v>
      </c>
      <c r="L122" s="726"/>
      <c r="M122" s="726"/>
      <c r="N122" s="720">
        <f>ROUND(L122*K122,2)</f>
        <v>0</v>
      </c>
      <c r="O122" s="720"/>
      <c r="P122" s="720"/>
      <c r="Q122" s="720"/>
      <c r="R122" s="238"/>
      <c r="T122" s="45"/>
      <c r="V122" s="248">
        <f>0.2*0.3/2</f>
        <v>0.03</v>
      </c>
      <c r="W122" s="248">
        <f>V122*K122</f>
        <v>0.18</v>
      </c>
    </row>
    <row r="123" spans="2:29" s="248" customFormat="1" ht="11.25" outlineLevel="1">
      <c r="B123" s="247"/>
      <c r="E123" s="349" t="s">
        <v>617</v>
      </c>
      <c r="F123" s="717" t="s">
        <v>793</v>
      </c>
      <c r="G123" s="718">
        <f>2*3</f>
        <v>6</v>
      </c>
      <c r="H123" s="718">
        <f>2*3</f>
        <v>6</v>
      </c>
      <c r="I123" s="718">
        <f>2*3</f>
        <v>6</v>
      </c>
      <c r="J123" s="64"/>
      <c r="K123" s="350">
        <f>2*3</f>
        <v>6</v>
      </c>
      <c r="L123" s="196"/>
      <c r="M123" s="196"/>
      <c r="R123" s="249"/>
      <c r="T123" s="45"/>
      <c r="AC123" s="351"/>
    </row>
    <row r="124" spans="2:29" ht="27" customHeight="1" outlineLevel="1">
      <c r="B124" s="237"/>
      <c r="C124" s="345"/>
      <c r="D124" s="345" t="s">
        <v>62</v>
      </c>
      <c r="E124" s="346" t="s">
        <v>370</v>
      </c>
      <c r="F124" s="719" t="s">
        <v>371</v>
      </c>
      <c r="G124" s="719"/>
      <c r="H124" s="719"/>
      <c r="I124" s="719"/>
      <c r="J124" s="63" t="s">
        <v>64</v>
      </c>
      <c r="K124" s="347">
        <f>SUM(K125:K125)</f>
        <v>13.41165</v>
      </c>
      <c r="L124" s="726"/>
      <c r="M124" s="726"/>
      <c r="N124" s="720">
        <f>ROUND(L124*K124,2)</f>
        <v>0</v>
      </c>
      <c r="O124" s="720"/>
      <c r="P124" s="720"/>
      <c r="Q124" s="720"/>
      <c r="R124" s="238"/>
      <c r="T124" s="45"/>
      <c r="W124" s="348">
        <f>K124</f>
        <v>13.41165</v>
      </c>
    </row>
    <row r="125" spans="2:29" s="248" customFormat="1" ht="22.5" outlineLevel="1">
      <c r="B125" s="247"/>
      <c r="E125" s="349" t="s">
        <v>603</v>
      </c>
      <c r="F125" s="717" t="s">
        <v>2495</v>
      </c>
      <c r="G125" s="718" t="e">
        <f>(20+15.1+30.61+4.95+2.28+23.93+28.19+18.07)*F125</f>
        <v>#VALUE!</v>
      </c>
      <c r="H125" s="718" t="e">
        <f>(20+15.1+30.61+4.95+2.28+23.93+28.19+18.07)*G125</f>
        <v>#VALUE!</v>
      </c>
      <c r="I125" s="718" t="e">
        <f>(20+15.1+30.61+4.95+2.28+23.93+28.19+18.07)*H125</f>
        <v>#VALUE!</v>
      </c>
      <c r="J125" s="64">
        <v>0.26500000000000001</v>
      </c>
      <c r="K125" s="350">
        <f>(20+30.61)*J125</f>
        <v>13.41165</v>
      </c>
      <c r="L125" s="196"/>
      <c r="M125" s="196"/>
      <c r="R125" s="249"/>
      <c r="T125" s="45"/>
      <c r="AC125" s="351"/>
    </row>
    <row r="126" spans="2:29" ht="11.25" outlineLevel="1">
      <c r="B126" s="237"/>
      <c r="C126" s="345"/>
      <c r="D126" s="345" t="s">
        <v>62</v>
      </c>
      <c r="E126" s="346" t="s">
        <v>368</v>
      </c>
      <c r="F126" s="719" t="s">
        <v>369</v>
      </c>
      <c r="G126" s="719"/>
      <c r="H126" s="719"/>
      <c r="I126" s="719"/>
      <c r="J126" s="63" t="s">
        <v>64</v>
      </c>
      <c r="K126" s="347">
        <f>SUM(K127:K127)</f>
        <v>19.484850000000002</v>
      </c>
      <c r="L126" s="726"/>
      <c r="M126" s="726"/>
      <c r="N126" s="720">
        <f>ROUND(L126*K126,2)</f>
        <v>0</v>
      </c>
      <c r="O126" s="720"/>
      <c r="P126" s="720"/>
      <c r="Q126" s="720"/>
      <c r="R126" s="238"/>
      <c r="T126" s="45"/>
      <c r="AA126" s="348">
        <f>K126</f>
        <v>19.484850000000002</v>
      </c>
    </row>
    <row r="127" spans="2:29" s="248" customFormat="1" ht="11.25" outlineLevel="1">
      <c r="B127" s="247"/>
      <c r="E127" s="349" t="s">
        <v>604</v>
      </c>
      <c r="F127" s="717" t="s">
        <v>2495</v>
      </c>
      <c r="G127" s="718" t="e">
        <f>(22.76+27.72+40.52)*(F127-#REF!)+(20+15.1+30.61+4.95+2.28)*(F127-F125)</f>
        <v>#VALUE!</v>
      </c>
      <c r="H127" s="718" t="e">
        <f>(22.76+27.72+40.52)*(G127-#REF!)+(20+15.1+30.61+4.95+2.28)*(G127-G125)</f>
        <v>#VALUE!</v>
      </c>
      <c r="I127" s="718" t="e">
        <f>(22.76+27.72+40.52)*(H127-#REF!)+(20+15.1+30.61+4.95+2.28)*(H127-H125)</f>
        <v>#VALUE!</v>
      </c>
      <c r="J127" s="64">
        <v>0.65</v>
      </c>
      <c r="K127" s="350">
        <f>(20+30.61)*(J127-J125)</f>
        <v>19.484850000000002</v>
      </c>
      <c r="L127" s="196"/>
      <c r="M127" s="196"/>
      <c r="R127" s="249"/>
      <c r="T127" s="45"/>
      <c r="AC127" s="351"/>
    </row>
    <row r="128" spans="2:29" ht="11.25" outlineLevel="1">
      <c r="B128" s="237"/>
      <c r="C128" s="345"/>
      <c r="D128" s="345" t="s">
        <v>62</v>
      </c>
      <c r="E128" s="346">
        <v>968062247</v>
      </c>
      <c r="F128" s="719" t="s">
        <v>628</v>
      </c>
      <c r="G128" s="719"/>
      <c r="H128" s="719"/>
      <c r="I128" s="719"/>
      <c r="J128" s="63" t="s">
        <v>63</v>
      </c>
      <c r="K128" s="347">
        <f>SUM(K129:K129)</f>
        <v>7.2520000000000007</v>
      </c>
      <c r="L128" s="726"/>
      <c r="M128" s="726"/>
      <c r="N128" s="720">
        <f>ROUND(L128*K128,2)</f>
        <v>0</v>
      </c>
      <c r="O128" s="720"/>
      <c r="P128" s="720"/>
      <c r="Q128" s="720"/>
      <c r="R128" s="238"/>
      <c r="T128" s="45"/>
      <c r="V128" s="248">
        <v>0.08</v>
      </c>
      <c r="Z128" s="248">
        <f>V128*K128</f>
        <v>0.58016000000000012</v>
      </c>
    </row>
    <row r="129" spans="2:29" s="248" customFormat="1" ht="11.25" outlineLevel="1">
      <c r="B129" s="247"/>
      <c r="E129" s="349" t="s">
        <v>355</v>
      </c>
      <c r="F129" s="717" t="s">
        <v>2454</v>
      </c>
      <c r="G129" s="718">
        <f>2.58*1.92+2.96*2.45*2</f>
        <v>19.457599999999999</v>
      </c>
      <c r="H129" s="718">
        <f>2.58*1.92+2.96*2.45*2</f>
        <v>19.457599999999999</v>
      </c>
      <c r="I129" s="718">
        <f>2.58*1.92+2.96*2.45*2</f>
        <v>19.457599999999999</v>
      </c>
      <c r="J129" s="64"/>
      <c r="K129" s="350">
        <f>2.96*2.45</f>
        <v>7.2520000000000007</v>
      </c>
      <c r="L129" s="196"/>
      <c r="M129" s="196"/>
      <c r="R129" s="249"/>
      <c r="T129" s="45"/>
      <c r="AC129" s="351"/>
    </row>
    <row r="130" spans="2:29" ht="11.25" outlineLevel="1">
      <c r="B130" s="237"/>
      <c r="C130" s="345"/>
      <c r="D130" s="345" t="s">
        <v>62</v>
      </c>
      <c r="E130" s="346" t="s">
        <v>397</v>
      </c>
      <c r="F130" s="719" t="s">
        <v>398</v>
      </c>
      <c r="G130" s="719"/>
      <c r="H130" s="719"/>
      <c r="I130" s="719"/>
      <c r="J130" s="63" t="s">
        <v>68</v>
      </c>
      <c r="K130" s="347">
        <f>SUM(K131:K132)</f>
        <v>21.5</v>
      </c>
      <c r="L130" s="726"/>
      <c r="M130" s="726"/>
      <c r="N130" s="720">
        <f>ROUND(L130*K130,2)</f>
        <v>0</v>
      </c>
      <c r="O130" s="720"/>
      <c r="P130" s="720"/>
      <c r="Q130" s="720"/>
      <c r="R130" s="238"/>
      <c r="T130" s="45"/>
      <c r="V130" s="248">
        <f>0.15*0.25</f>
        <v>3.7499999999999999E-2</v>
      </c>
      <c r="Z130" s="248">
        <f>V130*K130</f>
        <v>0.80625000000000002</v>
      </c>
    </row>
    <row r="131" spans="2:29" s="248" customFormat="1" ht="11.25" outlineLevel="1">
      <c r="B131" s="247"/>
      <c r="E131" s="349" t="s">
        <v>82</v>
      </c>
      <c r="F131" s="717" t="s">
        <v>2522</v>
      </c>
      <c r="G131" s="718">
        <f>2*2.15+2.8*6+3.5*4+2.28*2+2.75*3+2.65*3+3.3*3</f>
        <v>65.759999999999991</v>
      </c>
      <c r="H131" s="718">
        <f>2*2.15+2.8*6+3.5*4+2.28*2+2.75*3+2.65*3+3.3*3</f>
        <v>65.759999999999991</v>
      </c>
      <c r="I131" s="718">
        <f>2*2.15+2.8*6+3.5*4+2.28*2+2.75*3+2.65*3+3.3*3</f>
        <v>65.759999999999991</v>
      </c>
      <c r="J131" s="64">
        <v>1</v>
      </c>
      <c r="K131" s="350">
        <f>2.5+3+1.9*3+2*2</f>
        <v>15.2</v>
      </c>
      <c r="L131" s="196"/>
      <c r="M131" s="196"/>
      <c r="R131" s="249"/>
      <c r="T131" s="45"/>
      <c r="AC131" s="351"/>
    </row>
    <row r="132" spans="2:29" s="248" customFormat="1" ht="11.25" outlineLevel="1">
      <c r="B132" s="247"/>
      <c r="E132" s="349" t="s">
        <v>83</v>
      </c>
      <c r="F132" s="717" t="s">
        <v>2519</v>
      </c>
      <c r="G132" s="718">
        <f>1.85*2+1.85*2+1.3*2+3.5*4+1.3*2</f>
        <v>26.6</v>
      </c>
      <c r="H132" s="718">
        <f>1.85*2+1.85*2+1.3*2+3.5*4+1.3*2</f>
        <v>26.6</v>
      </c>
      <c r="I132" s="718">
        <f>1.85*2+1.85*2+1.3*2+3.5*4+1.3*2</f>
        <v>26.6</v>
      </c>
      <c r="J132" s="64">
        <v>1</v>
      </c>
      <c r="K132" s="350">
        <f>1.85*2+1.3*2</f>
        <v>6.3000000000000007</v>
      </c>
      <c r="L132" s="196"/>
      <c r="M132" s="196"/>
      <c r="R132" s="249"/>
      <c r="T132" s="45"/>
      <c r="AC132" s="351"/>
    </row>
    <row r="133" spans="2:29" ht="27" customHeight="1" outlineLevel="1">
      <c r="B133" s="237"/>
      <c r="C133" s="345"/>
      <c r="D133" s="345" t="s">
        <v>62</v>
      </c>
      <c r="E133" s="346">
        <v>978011161</v>
      </c>
      <c r="F133" s="719" t="s">
        <v>632</v>
      </c>
      <c r="G133" s="719"/>
      <c r="H133" s="719"/>
      <c r="I133" s="719"/>
      <c r="J133" s="63" t="s">
        <v>63</v>
      </c>
      <c r="K133" s="347">
        <f>SUM(K134:K135)</f>
        <v>154.82</v>
      </c>
      <c r="L133" s="726"/>
      <c r="M133" s="726"/>
      <c r="N133" s="720">
        <f>ROUND(L133*K133,2)</f>
        <v>0</v>
      </c>
      <c r="O133" s="720"/>
      <c r="P133" s="720"/>
      <c r="Q133" s="720"/>
      <c r="R133" s="238"/>
      <c r="T133" s="45"/>
      <c r="V133" s="248">
        <v>2.5000000000000001E-2</v>
      </c>
      <c r="AA133" s="248">
        <f>V133*K133</f>
        <v>3.8704999999999998</v>
      </c>
    </row>
    <row r="134" spans="2:29" s="248" customFormat="1" ht="11.25" outlineLevel="1">
      <c r="B134" s="247"/>
      <c r="E134" s="349" t="s">
        <v>633</v>
      </c>
      <c r="F134" s="717" t="s">
        <v>2497</v>
      </c>
      <c r="G134" s="718">
        <f>80.02-14.25+102.21+30.61+62.21-6.91</f>
        <v>253.88999999999996</v>
      </c>
      <c r="H134" s="718">
        <f>80.02-14.25+102.21+30.61+62.21-6.91</f>
        <v>253.88999999999996</v>
      </c>
      <c r="I134" s="718">
        <f>80.02-14.25+102.21+30.61+62.21-6.91</f>
        <v>253.88999999999996</v>
      </c>
      <c r="J134" s="64"/>
      <c r="K134" s="350">
        <f>20+30.61</f>
        <v>50.61</v>
      </c>
      <c r="L134" s="196"/>
      <c r="M134" s="196"/>
      <c r="R134" s="249"/>
      <c r="T134" s="45"/>
      <c r="AC134" s="351"/>
    </row>
    <row r="135" spans="2:29" s="248" customFormat="1" ht="11.25" outlineLevel="1">
      <c r="B135" s="247"/>
      <c r="E135" s="349" t="s">
        <v>634</v>
      </c>
      <c r="F135" s="717" t="s">
        <v>2498</v>
      </c>
      <c r="G135" s="718">
        <f>43.92+156.64+80.64</f>
        <v>281.2</v>
      </c>
      <c r="H135" s="718">
        <f>43.92+156.64+80.64</f>
        <v>281.2</v>
      </c>
      <c r="I135" s="718">
        <f>43.92+156.64+80.64</f>
        <v>281.2</v>
      </c>
      <c r="J135" s="64"/>
      <c r="K135" s="350">
        <f>34+24.54+43.31+2.36</f>
        <v>104.21</v>
      </c>
      <c r="L135" s="196"/>
      <c r="M135" s="196"/>
      <c r="R135" s="249"/>
      <c r="T135" s="45"/>
      <c r="AC135" s="351"/>
    </row>
    <row r="136" spans="2:29" ht="27" customHeight="1" outlineLevel="1">
      <c r="B136" s="237"/>
      <c r="C136" s="345"/>
      <c r="D136" s="345" t="s">
        <v>62</v>
      </c>
      <c r="E136" s="346">
        <v>978013161</v>
      </c>
      <c r="F136" s="719" t="s">
        <v>636</v>
      </c>
      <c r="G136" s="719"/>
      <c r="H136" s="719"/>
      <c r="I136" s="719"/>
      <c r="J136" s="63" t="s">
        <v>63</v>
      </c>
      <c r="K136" s="347">
        <f>SUM(K137:K138)</f>
        <v>375.14800000000002</v>
      </c>
      <c r="L136" s="726"/>
      <c r="M136" s="726"/>
      <c r="N136" s="720">
        <f>ROUND(L136*K136,2)</f>
        <v>0</v>
      </c>
      <c r="O136" s="720"/>
      <c r="P136" s="720"/>
      <c r="Q136" s="720"/>
      <c r="R136" s="238"/>
      <c r="T136" s="45"/>
      <c r="V136" s="248">
        <f>2.3*0.015</f>
        <v>3.4499999999999996E-2</v>
      </c>
      <c r="AA136" s="248">
        <f>V136*K136</f>
        <v>12.942606</v>
      </c>
    </row>
    <row r="137" spans="2:29" s="248" customFormat="1" ht="11.25" outlineLevel="1">
      <c r="B137" s="247"/>
      <c r="E137" s="349" t="s">
        <v>637</v>
      </c>
      <c r="F137" s="717" t="s">
        <v>2499</v>
      </c>
      <c r="G137" s="718">
        <f>(6.66+3.62)*2*3.8+(4.57+6.66)*2*3.8+(4.9+3.7+1.3)*2*3.77+(5.9+3.7+4.7+5.9+6.1+6.6+6.3+3.2+5.6+5.4+4+2.5)*2*3</f>
        <v>597.52200000000005</v>
      </c>
      <c r="H137" s="718">
        <f>(6.66+3.62)*2*3.8+(4.57+6.66)*2*3.8+(4.9+3.7+1.3)*2*3.77+(5.9+3.7+4.7+5.9+6.1+6.6+6.3+3.2+5.6+5.4+4+2.5)*2*3</f>
        <v>597.52200000000005</v>
      </c>
      <c r="I137" s="718">
        <f>(6.66+3.62)*2*3.8+(4.57+6.66)*2*3.8+(4.9+3.7+1.3)*2*3.77+(5.9+3.7+4.7+5.9+6.1+6.6+6.3+3.2+5.6+5.4+4+2.5)*2*3</f>
        <v>597.52200000000005</v>
      </c>
      <c r="J137" s="64"/>
      <c r="K137" s="350">
        <f>(5.6+5.4+6.3+3.2)*2*3</f>
        <v>123</v>
      </c>
      <c r="L137" s="196"/>
      <c r="M137" s="196"/>
      <c r="R137" s="249"/>
      <c r="T137" s="45"/>
      <c r="AC137" s="351"/>
    </row>
    <row r="138" spans="2:29" s="248" customFormat="1" ht="11.25" outlineLevel="1">
      <c r="B138" s="247"/>
      <c r="E138" s="349" t="s">
        <v>638</v>
      </c>
      <c r="F138" s="717" t="s">
        <v>2500</v>
      </c>
      <c r="G138" s="718">
        <f>(5.1+5.6+2.95+5.8+5.8+3.8+11.3+1.1)*2*2.76+(4.5+5.1+5+5.2+6.9+6.3+6+3.5+5.9+5.7+3.6+4.1+7.8+1.1)*2*3.38+(3.1+4.2)*2*3.26</f>
        <v>754.33199999999999</v>
      </c>
      <c r="H138" s="718">
        <f>(5.1+5.6+2.95+5.8+5.8+3.8+11.3+1.1)*2*2.76+(4.5+5.1+5+5.2+6.9+6.3+6+3.5+5.9+5.7+3.6+4.1+7.8+1.1)*2*3.38+(3.1+4.2)*2*3.26</f>
        <v>754.33199999999999</v>
      </c>
      <c r="I138" s="718">
        <f>(5.1+5.6+2.95+5.8+5.8+3.8+11.3+1.1)*2*2.76+(4.5+5.1+5+5.2+6.9+6.3+6+3.5+5.9+5.7+3.6+4.1+7.8+1.1)*2*3.38+(3.1+4.2)*2*3.26</f>
        <v>754.33199999999999</v>
      </c>
      <c r="J138" s="64"/>
      <c r="K138" s="350">
        <f>(6.9+6.3+6+3.5+5.9+5.7+1.9+1.1)*2*3.38</f>
        <v>252.14800000000002</v>
      </c>
      <c r="L138" s="196"/>
      <c r="M138" s="196"/>
      <c r="R138" s="249"/>
      <c r="T138" s="45"/>
      <c r="AC138" s="351"/>
    </row>
    <row r="139" spans="2:29" ht="11.25" outlineLevel="1">
      <c r="B139" s="237"/>
      <c r="C139" s="345"/>
      <c r="D139" s="345" t="s">
        <v>62</v>
      </c>
      <c r="E139" s="346">
        <v>766691914</v>
      </c>
      <c r="F139" s="719" t="s">
        <v>358</v>
      </c>
      <c r="G139" s="719"/>
      <c r="H139" s="719"/>
      <c r="I139" s="719"/>
      <c r="J139" s="63" t="s">
        <v>67</v>
      </c>
      <c r="K139" s="347">
        <f>SUM(K140:K140)</f>
        <v>1</v>
      </c>
      <c r="L139" s="726"/>
      <c r="M139" s="726"/>
      <c r="N139" s="720">
        <f>ROUND(L139*K139,2)</f>
        <v>0</v>
      </c>
      <c r="O139" s="720"/>
      <c r="P139" s="720"/>
      <c r="Q139" s="720"/>
      <c r="R139" s="238"/>
      <c r="T139" s="45"/>
      <c r="Z139" s="248">
        <f>K139*0.03</f>
        <v>0.03</v>
      </c>
    </row>
    <row r="140" spans="2:29" s="248" customFormat="1" ht="11.25" outlineLevel="1">
      <c r="B140" s="247"/>
      <c r="E140" s="349" t="s">
        <v>375</v>
      </c>
      <c r="F140" s="717">
        <v>1</v>
      </c>
      <c r="G140" s="718">
        <v>12</v>
      </c>
      <c r="H140" s="718">
        <v>12</v>
      </c>
      <c r="I140" s="718">
        <v>12</v>
      </c>
      <c r="J140" s="64"/>
      <c r="K140" s="350">
        <v>1</v>
      </c>
      <c r="L140" s="196"/>
      <c r="M140" s="196"/>
      <c r="R140" s="249"/>
      <c r="T140" s="45"/>
      <c r="AC140" s="351"/>
    </row>
    <row r="141" spans="2:29" ht="11.25" outlineLevel="1">
      <c r="B141" s="237"/>
      <c r="C141" s="345"/>
      <c r="D141" s="345" t="s">
        <v>62</v>
      </c>
      <c r="E141" s="346">
        <v>771571810</v>
      </c>
      <c r="F141" s="719" t="s">
        <v>366</v>
      </c>
      <c r="G141" s="719"/>
      <c r="H141" s="719"/>
      <c r="I141" s="719"/>
      <c r="J141" s="63" t="s">
        <v>63</v>
      </c>
      <c r="K141" s="347">
        <f>SUM(K142:K142)</f>
        <v>50.61</v>
      </c>
      <c r="L141" s="726"/>
      <c r="M141" s="726"/>
      <c r="N141" s="720">
        <f>ROUND(L141*K141,2)</f>
        <v>0</v>
      </c>
      <c r="O141" s="720"/>
      <c r="P141" s="720"/>
      <c r="Q141" s="720"/>
      <c r="R141" s="238"/>
      <c r="T141" s="45"/>
      <c r="AA141" s="248">
        <f>K141*0.035</f>
        <v>1.7713500000000002</v>
      </c>
    </row>
    <row r="142" spans="2:29" s="248" customFormat="1" ht="22.5" outlineLevel="1">
      <c r="B142" s="247"/>
      <c r="E142" s="349" t="s">
        <v>603</v>
      </c>
      <c r="F142" s="717" t="s">
        <v>2501</v>
      </c>
      <c r="G142" s="718">
        <f>(20+15.1+30.61+4.95+2.28+23.93+28.19+18.07)</f>
        <v>143.13</v>
      </c>
      <c r="H142" s="718">
        <f>(20+15.1+30.61+4.95+2.28+23.93+28.19+18.07)</f>
        <v>143.13</v>
      </c>
      <c r="I142" s="718">
        <f>(20+15.1+30.61+4.95+2.28+23.93+28.19+18.07)</f>
        <v>143.13</v>
      </c>
      <c r="J142" s="64"/>
      <c r="K142" s="350">
        <f>(20+30.61)</f>
        <v>50.61</v>
      </c>
      <c r="L142" s="196"/>
      <c r="M142" s="196"/>
      <c r="R142" s="249"/>
      <c r="T142" s="45"/>
      <c r="AC142" s="351"/>
    </row>
    <row r="143" spans="2:29" s="341" customFormat="1" ht="12.75">
      <c r="B143" s="340"/>
      <c r="C143" s="344"/>
      <c r="D143" s="344" t="s">
        <v>377</v>
      </c>
      <c r="E143" s="344"/>
      <c r="F143" s="344"/>
      <c r="G143" s="344"/>
      <c r="H143" s="344"/>
      <c r="I143" s="344"/>
      <c r="J143" s="61"/>
      <c r="K143" s="344"/>
      <c r="L143" s="72"/>
      <c r="M143" s="72"/>
      <c r="N143" s="734">
        <f>SUM(N144:Q151)</f>
        <v>0</v>
      </c>
      <c r="O143" s="734"/>
      <c r="P143" s="734"/>
      <c r="Q143" s="734"/>
      <c r="R143" s="342"/>
      <c r="T143" s="45">
        <f>SUM(N143:Q151)/2</f>
        <v>0</v>
      </c>
      <c r="U143" s="248"/>
      <c r="V143" s="248"/>
      <c r="W143" s="248">
        <v>2.4</v>
      </c>
      <c r="X143" s="248">
        <v>2</v>
      </c>
      <c r="Y143" s="248">
        <v>1.2</v>
      </c>
      <c r="Z143" s="248">
        <v>2</v>
      </c>
      <c r="AA143" s="248">
        <v>0.6</v>
      </c>
      <c r="AB143" s="248">
        <v>1.8</v>
      </c>
      <c r="AC143" s="343"/>
    </row>
    <row r="144" spans="2:29" ht="27" customHeight="1" outlineLevel="1">
      <c r="B144" s="237"/>
      <c r="C144" s="345"/>
      <c r="D144" s="345" t="s">
        <v>62</v>
      </c>
      <c r="E144" s="346" t="s">
        <v>1945</v>
      </c>
      <c r="F144" s="719" t="s">
        <v>1946</v>
      </c>
      <c r="G144" s="719"/>
      <c r="H144" s="719"/>
      <c r="I144" s="719"/>
      <c r="J144" s="63" t="s">
        <v>66</v>
      </c>
      <c r="K144" s="347">
        <f>SUM(K148:K151)</f>
        <v>61.448763599999992</v>
      </c>
      <c r="L144" s="726"/>
      <c r="M144" s="726"/>
      <c r="N144" s="720">
        <f>ROUND(L144*K144,2)</f>
        <v>0</v>
      </c>
      <c r="O144" s="720"/>
      <c r="P144" s="720"/>
      <c r="Q144" s="720"/>
      <c r="R144" s="238"/>
      <c r="T144" s="45"/>
    </row>
    <row r="145" spans="2:29" ht="11.25" outlineLevel="1">
      <c r="B145" s="237"/>
      <c r="C145" s="345"/>
      <c r="D145" s="345" t="s">
        <v>62</v>
      </c>
      <c r="E145" s="346">
        <v>997013501</v>
      </c>
      <c r="F145" s="719" t="s">
        <v>384</v>
      </c>
      <c r="G145" s="719"/>
      <c r="H145" s="719"/>
      <c r="I145" s="719"/>
      <c r="J145" s="63" t="s">
        <v>66</v>
      </c>
      <c r="K145" s="347">
        <f>K144</f>
        <v>61.448763599999992</v>
      </c>
      <c r="L145" s="726"/>
      <c r="M145" s="726"/>
      <c r="N145" s="720">
        <f>ROUND(L145*K145,2)</f>
        <v>0</v>
      </c>
      <c r="O145" s="720"/>
      <c r="P145" s="720"/>
      <c r="Q145" s="720"/>
      <c r="R145" s="238"/>
      <c r="T145" s="45"/>
    </row>
    <row r="146" spans="2:29" ht="11.25" outlineLevel="1">
      <c r="B146" s="237"/>
      <c r="C146" s="345"/>
      <c r="D146" s="345" t="s">
        <v>62</v>
      </c>
      <c r="E146" s="346">
        <v>997013509</v>
      </c>
      <c r="F146" s="719" t="s">
        <v>385</v>
      </c>
      <c r="G146" s="719"/>
      <c r="H146" s="719"/>
      <c r="I146" s="719"/>
      <c r="J146" s="63" t="s">
        <v>66</v>
      </c>
      <c r="K146" s="347">
        <f>K147</f>
        <v>1167.5265083999998</v>
      </c>
      <c r="L146" s="726"/>
      <c r="M146" s="726"/>
      <c r="N146" s="720">
        <f>ROUND(L146*K146,2)</f>
        <v>0</v>
      </c>
      <c r="O146" s="720"/>
      <c r="P146" s="720"/>
      <c r="Q146" s="720"/>
      <c r="R146" s="238"/>
      <c r="T146" s="45"/>
    </row>
    <row r="147" spans="2:29" s="248" customFormat="1" ht="11.25" outlineLevel="1">
      <c r="B147" s="247"/>
      <c r="E147" s="349" t="s">
        <v>0</v>
      </c>
      <c r="F147" s="717" t="s">
        <v>2272</v>
      </c>
      <c r="G147" s="718"/>
      <c r="H147" s="718"/>
      <c r="I147" s="718"/>
      <c r="J147" s="64">
        <v>19</v>
      </c>
      <c r="K147" s="350">
        <f>K145*J147</f>
        <v>1167.5265083999998</v>
      </c>
      <c r="L147" s="196"/>
      <c r="M147" s="196"/>
      <c r="R147" s="249"/>
      <c r="T147" s="45"/>
      <c r="AC147" s="351"/>
    </row>
    <row r="148" spans="2:29" ht="27" customHeight="1" outlineLevel="1">
      <c r="B148" s="237"/>
      <c r="C148" s="345"/>
      <c r="D148" s="345" t="s">
        <v>62</v>
      </c>
      <c r="E148" s="346">
        <v>997013861</v>
      </c>
      <c r="F148" s="719" t="s">
        <v>378</v>
      </c>
      <c r="G148" s="719"/>
      <c r="H148" s="719"/>
      <c r="I148" s="719"/>
      <c r="J148" s="63" t="s">
        <v>66</v>
      </c>
      <c r="K148" s="347">
        <f>W149</f>
        <v>32.619959999999999</v>
      </c>
      <c r="L148" s="726"/>
      <c r="M148" s="726"/>
      <c r="N148" s="720">
        <f>ROUND(L148*K148,2)</f>
        <v>0</v>
      </c>
      <c r="O148" s="720"/>
      <c r="P148" s="720"/>
      <c r="Q148" s="720"/>
      <c r="R148" s="238"/>
      <c r="T148" s="45"/>
      <c r="W148" s="248">
        <f t="shared" ref="W148:AB148" si="1">W116</f>
        <v>13.59165</v>
      </c>
      <c r="X148" s="248">
        <f t="shared" si="1"/>
        <v>1.5772000000000002</v>
      </c>
      <c r="Y148" s="248">
        <f t="shared" si="1"/>
        <v>0</v>
      </c>
      <c r="Z148" s="248">
        <f t="shared" si="1"/>
        <v>1.4164100000000002</v>
      </c>
      <c r="AA148" s="248">
        <f t="shared" si="1"/>
        <v>38.069305999999997</v>
      </c>
      <c r="AB148" s="248">
        <f t="shared" si="1"/>
        <v>0</v>
      </c>
    </row>
    <row r="149" spans="2:29" ht="27" customHeight="1" outlineLevel="1">
      <c r="B149" s="237"/>
      <c r="C149" s="345"/>
      <c r="D149" s="345" t="s">
        <v>62</v>
      </c>
      <c r="E149" s="346">
        <v>997013863</v>
      </c>
      <c r="F149" s="719" t="s">
        <v>379</v>
      </c>
      <c r="G149" s="719"/>
      <c r="H149" s="719"/>
      <c r="I149" s="719"/>
      <c r="J149" s="63" t="s">
        <v>66</v>
      </c>
      <c r="K149" s="347">
        <f>X149</f>
        <v>3.1544000000000003</v>
      </c>
      <c r="L149" s="726"/>
      <c r="M149" s="726"/>
      <c r="N149" s="720">
        <f>ROUND(L149*K149,2)</f>
        <v>0</v>
      </c>
      <c r="O149" s="720"/>
      <c r="P149" s="720"/>
      <c r="Q149" s="720"/>
      <c r="R149" s="238"/>
      <c r="T149" s="45"/>
      <c r="W149" s="248">
        <f t="shared" ref="W149:AB149" si="2">W148*W143</f>
        <v>32.619959999999999</v>
      </c>
      <c r="X149" s="248">
        <f t="shared" si="2"/>
        <v>3.1544000000000003</v>
      </c>
      <c r="Y149" s="248">
        <f t="shared" si="2"/>
        <v>0</v>
      </c>
      <c r="Z149" s="248">
        <f t="shared" si="2"/>
        <v>2.8328200000000003</v>
      </c>
      <c r="AA149" s="248">
        <f t="shared" si="2"/>
        <v>22.841583599999996</v>
      </c>
      <c r="AB149" s="248">
        <f t="shared" si="2"/>
        <v>0</v>
      </c>
    </row>
    <row r="150" spans="2:29" ht="27" customHeight="1" outlineLevel="1">
      <c r="B150" s="237"/>
      <c r="C150" s="345"/>
      <c r="D150" s="345" t="s">
        <v>62</v>
      </c>
      <c r="E150" s="346">
        <v>997013871</v>
      </c>
      <c r="F150" s="719" t="s">
        <v>381</v>
      </c>
      <c r="G150" s="719"/>
      <c r="H150" s="719"/>
      <c r="I150" s="719"/>
      <c r="J150" s="63" t="s">
        <v>66</v>
      </c>
      <c r="K150" s="347">
        <f>AA149</f>
        <v>22.841583599999996</v>
      </c>
      <c r="L150" s="726"/>
      <c r="M150" s="726"/>
      <c r="N150" s="720">
        <f>ROUND(L150*K150,2)</f>
        <v>0</v>
      </c>
      <c r="O150" s="720"/>
      <c r="P150" s="720"/>
      <c r="Q150" s="720"/>
      <c r="R150" s="238"/>
      <c r="T150" s="45"/>
    </row>
    <row r="151" spans="2:29" ht="27" customHeight="1" outlineLevel="1">
      <c r="B151" s="237"/>
      <c r="C151" s="345"/>
      <c r="D151" s="345" t="s">
        <v>62</v>
      </c>
      <c r="E151" s="346">
        <v>997013811</v>
      </c>
      <c r="F151" s="719" t="s">
        <v>382</v>
      </c>
      <c r="G151" s="719"/>
      <c r="H151" s="719"/>
      <c r="I151" s="719"/>
      <c r="J151" s="63" t="s">
        <v>66</v>
      </c>
      <c r="K151" s="347">
        <f>Z149</f>
        <v>2.8328200000000003</v>
      </c>
      <c r="L151" s="726"/>
      <c r="M151" s="726"/>
      <c r="N151" s="720">
        <f>ROUND(L151*K151,2)</f>
        <v>0</v>
      </c>
      <c r="O151" s="720"/>
      <c r="P151" s="720"/>
      <c r="Q151" s="720"/>
      <c r="R151" s="238"/>
      <c r="T151" s="45"/>
    </row>
    <row r="152" spans="2:29" ht="15.75">
      <c r="B152" s="237"/>
      <c r="C152" s="285"/>
      <c r="J152" s="47"/>
      <c r="L152" s="367"/>
      <c r="M152" s="367"/>
      <c r="N152" s="746"/>
      <c r="O152" s="747"/>
      <c r="P152" s="747"/>
      <c r="Q152" s="747"/>
      <c r="R152" s="238"/>
    </row>
    <row r="153" spans="2:29" ht="15.75">
      <c r="B153" s="237"/>
      <c r="C153" s="285" t="s">
        <v>2453</v>
      </c>
      <c r="J153" s="47"/>
      <c r="L153" s="367"/>
      <c r="M153" s="367"/>
      <c r="N153" s="681">
        <f>N154</f>
        <v>0</v>
      </c>
      <c r="O153" s="745"/>
      <c r="P153" s="745"/>
      <c r="Q153" s="745"/>
      <c r="R153" s="238"/>
      <c r="T153" s="42">
        <f>SUM(N153:Q283)/4</f>
        <v>0</v>
      </c>
      <c r="U153" s="248">
        <f t="shared" ref="U153:AB153" si="3">SUM(U154:U277)</f>
        <v>0</v>
      </c>
      <c r="V153" s="248">
        <f t="shared" si="3"/>
        <v>2.2169999999999996</v>
      </c>
      <c r="W153" s="248">
        <f t="shared" si="3"/>
        <v>175.08679999999998</v>
      </c>
      <c r="X153" s="248">
        <f t="shared" si="3"/>
        <v>202.84449749999999</v>
      </c>
      <c r="Y153" s="248">
        <f t="shared" si="3"/>
        <v>1.8468</v>
      </c>
      <c r="Z153" s="248">
        <f t="shared" si="3"/>
        <v>49.068463999999999</v>
      </c>
      <c r="AA153" s="248">
        <f t="shared" si="3"/>
        <v>116.589297</v>
      </c>
      <c r="AB153" s="248">
        <f t="shared" si="3"/>
        <v>1.8</v>
      </c>
    </row>
    <row r="154" spans="2:29" s="341" customFormat="1" ht="15">
      <c r="B154" s="340"/>
      <c r="D154" s="323" t="s">
        <v>43</v>
      </c>
      <c r="E154" s="323"/>
      <c r="F154" s="323"/>
      <c r="G154" s="323"/>
      <c r="H154" s="323"/>
      <c r="I154" s="323"/>
      <c r="J154" s="60"/>
      <c r="K154" s="323"/>
      <c r="L154" s="73"/>
      <c r="M154" s="73"/>
      <c r="N154" s="730">
        <f>N155+N158+N273</f>
        <v>0</v>
      </c>
      <c r="O154" s="730"/>
      <c r="P154" s="730"/>
      <c r="Q154" s="730"/>
      <c r="R154" s="342"/>
      <c r="T154" s="45">
        <f>SUM(N154:Q282)/3</f>
        <v>0</v>
      </c>
      <c r="U154" s="248"/>
      <c r="V154" s="248"/>
      <c r="W154" s="248"/>
      <c r="X154" s="248"/>
      <c r="Y154" s="248"/>
      <c r="Z154" s="248"/>
      <c r="AA154" s="248"/>
      <c r="AB154" s="248"/>
      <c r="AC154" s="343"/>
    </row>
    <row r="155" spans="2:29" s="341" customFormat="1" ht="12.75">
      <c r="B155" s="340"/>
      <c r="C155" s="344"/>
      <c r="D155" s="344" t="s">
        <v>252</v>
      </c>
      <c r="E155" s="344"/>
      <c r="F155" s="344"/>
      <c r="G155" s="344"/>
      <c r="H155" s="344"/>
      <c r="I155" s="344"/>
      <c r="J155" s="61"/>
      <c r="K155" s="344"/>
      <c r="L155" s="72"/>
      <c r="M155" s="72"/>
      <c r="N155" s="734">
        <f>SUM(N156:Q157)</f>
        <v>0</v>
      </c>
      <c r="O155" s="734"/>
      <c r="P155" s="734"/>
      <c r="Q155" s="734"/>
      <c r="R155" s="342"/>
      <c r="T155" s="62">
        <f>SUM(N155:Q157)/2</f>
        <v>0</v>
      </c>
      <c r="U155" s="352"/>
      <c r="V155" s="352"/>
      <c r="W155" s="352"/>
      <c r="X155" s="352"/>
      <c r="Y155" s="352"/>
      <c r="Z155" s="352"/>
      <c r="AA155" s="248"/>
      <c r="AB155" s="248"/>
      <c r="AC155" s="343"/>
    </row>
    <row r="156" spans="2:29" ht="27" customHeight="1" outlineLevel="1">
      <c r="B156" s="237"/>
      <c r="C156" s="345"/>
      <c r="D156" s="345" t="s">
        <v>62</v>
      </c>
      <c r="E156" s="346">
        <v>113107171</v>
      </c>
      <c r="F156" s="719" t="s">
        <v>346</v>
      </c>
      <c r="G156" s="719"/>
      <c r="H156" s="719"/>
      <c r="I156" s="719"/>
      <c r="J156" s="63" t="s">
        <v>63</v>
      </c>
      <c r="K156" s="347">
        <f>SUM(K157:K157)</f>
        <v>111.7</v>
      </c>
      <c r="L156" s="726"/>
      <c r="M156" s="726"/>
      <c r="N156" s="720">
        <f>ROUND(L156*K156,2)</f>
        <v>0</v>
      </c>
      <c r="O156" s="720"/>
      <c r="P156" s="720"/>
      <c r="Q156" s="720"/>
      <c r="R156" s="238"/>
      <c r="T156" s="45"/>
      <c r="V156" s="248">
        <f>2.4*0.15</f>
        <v>0.36</v>
      </c>
      <c r="W156" s="248">
        <f>V156*K156</f>
        <v>40.211999999999996</v>
      </c>
    </row>
    <row r="157" spans="2:29" s="248" customFormat="1" ht="11.25" outlineLevel="1">
      <c r="B157" s="247"/>
      <c r="E157" s="349" t="s">
        <v>347</v>
      </c>
      <c r="F157" s="717" t="s">
        <v>776</v>
      </c>
      <c r="G157" s="718">
        <f>111.7</f>
        <v>111.7</v>
      </c>
      <c r="H157" s="718">
        <f>111.7</f>
        <v>111.7</v>
      </c>
      <c r="I157" s="718">
        <f>111.7</f>
        <v>111.7</v>
      </c>
      <c r="J157" s="64"/>
      <c r="K157" s="350">
        <f>111.7</f>
        <v>111.7</v>
      </c>
      <c r="L157" s="196"/>
      <c r="M157" s="196"/>
      <c r="R157" s="249"/>
      <c r="T157" s="45"/>
      <c r="AC157" s="351"/>
    </row>
    <row r="158" spans="2:29" s="341" customFormat="1" ht="12.75">
      <c r="B158" s="340"/>
      <c r="C158" s="344"/>
      <c r="D158" s="344" t="s">
        <v>98</v>
      </c>
      <c r="E158" s="344"/>
      <c r="F158" s="344"/>
      <c r="G158" s="344"/>
      <c r="H158" s="344"/>
      <c r="I158" s="344"/>
      <c r="J158" s="61"/>
      <c r="K158" s="344"/>
      <c r="L158" s="72"/>
      <c r="M158" s="72"/>
      <c r="N158" s="734">
        <f>SUM(N159:Q271)</f>
        <v>0</v>
      </c>
      <c r="O158" s="734"/>
      <c r="P158" s="734"/>
      <c r="Q158" s="734"/>
      <c r="R158" s="342"/>
      <c r="T158" s="45">
        <f>SUM(N158:Q271)/2</f>
        <v>0</v>
      </c>
      <c r="U158" s="248"/>
      <c r="V158" s="248"/>
      <c r="W158" s="248"/>
      <c r="X158" s="248"/>
      <c r="Y158" s="248"/>
      <c r="Z158" s="248"/>
      <c r="AA158" s="248"/>
      <c r="AB158" s="248"/>
      <c r="AC158" s="343"/>
    </row>
    <row r="159" spans="2:29" ht="11.25" outlineLevel="1">
      <c r="B159" s="237"/>
      <c r="C159" s="345"/>
      <c r="D159" s="345" t="s">
        <v>62</v>
      </c>
      <c r="E159" s="346">
        <v>961031411</v>
      </c>
      <c r="F159" s="719" t="s">
        <v>608</v>
      </c>
      <c r="G159" s="719"/>
      <c r="H159" s="719"/>
      <c r="I159" s="719"/>
      <c r="J159" s="63" t="s">
        <v>64</v>
      </c>
      <c r="K159" s="347">
        <f>SUM(K160:K162)</f>
        <v>39.777149999999999</v>
      </c>
      <c r="L159" s="726"/>
      <c r="M159" s="726"/>
      <c r="N159" s="720">
        <f>ROUND(L159*K159,2)</f>
        <v>0</v>
      </c>
      <c r="O159" s="720"/>
      <c r="P159" s="720"/>
      <c r="Q159" s="720"/>
      <c r="R159" s="238"/>
      <c r="T159" s="45"/>
      <c r="X159" s="348">
        <f>K159</f>
        <v>39.777149999999999</v>
      </c>
    </row>
    <row r="160" spans="2:29" s="248" customFormat="1" ht="11.25" outlineLevel="1">
      <c r="B160" s="247"/>
      <c r="E160" s="349" t="s">
        <v>609</v>
      </c>
      <c r="F160" s="717" t="s">
        <v>777</v>
      </c>
      <c r="G160" s="718">
        <f>(3.8+4.8+7.9)*2*0.5*0.7+(4.7*4+19.7)*0.7*0.7+2.5*1.2*0.7</f>
        <v>32.515000000000001</v>
      </c>
      <c r="H160" s="718">
        <f>(3.8+4.8+7.9)*2*0.5*0.7+(4.7*4+19.7)*0.7*0.7+2.5*1.2*0.7</f>
        <v>32.515000000000001</v>
      </c>
      <c r="I160" s="718">
        <f>(3.8+4.8+7.9)*2*0.5*0.7+(4.7*4+19.7)*0.7*0.7+2.5*1.2*0.7</f>
        <v>32.515000000000001</v>
      </c>
      <c r="J160" s="64"/>
      <c r="K160" s="350">
        <f>(3.8+4.8+7.9)*2*0.5*0.7+(4.7*4+19.7)*0.7*0.7+2.5*1.2*0.7</f>
        <v>32.515000000000001</v>
      </c>
      <c r="L160" s="196"/>
      <c r="M160" s="196"/>
      <c r="R160" s="249"/>
      <c r="T160" s="45"/>
      <c r="AC160" s="351"/>
    </row>
    <row r="161" spans="2:29" s="248" customFormat="1" ht="11.25" outlineLevel="1">
      <c r="B161" s="247"/>
      <c r="E161" s="349" t="s">
        <v>610</v>
      </c>
      <c r="F161" s="717" t="s">
        <v>778</v>
      </c>
      <c r="G161" s="718">
        <f>(6.7+6.65)*0.7*0.67+(0.5*0.2*0.7)</f>
        <v>6.3311500000000009</v>
      </c>
      <c r="H161" s="718">
        <f>(6.7+6.65)*0.7*0.67+(0.5*0.2*0.7)</f>
        <v>6.3311500000000009</v>
      </c>
      <c r="I161" s="718">
        <f>(6.7+6.65)*0.7*0.67+(0.5*0.2*0.7)</f>
        <v>6.3311500000000009</v>
      </c>
      <c r="J161" s="64"/>
      <c r="K161" s="350">
        <f>(6.7+6.65)*0.7*0.67+(0.5*0.2*0.7)</f>
        <v>6.3311500000000009</v>
      </c>
      <c r="L161" s="196"/>
      <c r="M161" s="196"/>
      <c r="R161" s="249"/>
      <c r="T161" s="45"/>
      <c r="AC161" s="351"/>
    </row>
    <row r="162" spans="2:29" s="248" customFormat="1" ht="11.25" outlineLevel="1">
      <c r="B162" s="247"/>
      <c r="E162" s="349" t="s">
        <v>612</v>
      </c>
      <c r="F162" s="717" t="s">
        <v>779</v>
      </c>
      <c r="G162" s="718">
        <f>1.9*0.7*0.7</f>
        <v>0.93099999999999983</v>
      </c>
      <c r="H162" s="718">
        <f>1.9*0.7*0.7</f>
        <v>0.93099999999999983</v>
      </c>
      <c r="I162" s="718">
        <f>1.9*0.7*0.7</f>
        <v>0.93099999999999983</v>
      </c>
      <c r="J162" s="64"/>
      <c r="K162" s="350">
        <f>1.9*0.7*0.7</f>
        <v>0.93099999999999983</v>
      </c>
      <c r="L162" s="196"/>
      <c r="M162" s="196"/>
      <c r="R162" s="249"/>
      <c r="T162" s="45"/>
      <c r="AC162" s="351"/>
    </row>
    <row r="163" spans="2:29" ht="11.25" outlineLevel="1">
      <c r="B163" s="237"/>
      <c r="C163" s="345"/>
      <c r="D163" s="345" t="s">
        <v>62</v>
      </c>
      <c r="E163" s="346">
        <v>962031133</v>
      </c>
      <c r="F163" s="719" t="s">
        <v>640</v>
      </c>
      <c r="G163" s="719"/>
      <c r="H163" s="719"/>
      <c r="I163" s="719"/>
      <c r="J163" s="63" t="s">
        <v>63</v>
      </c>
      <c r="K163" s="347">
        <f>SUM(K164:K165)</f>
        <v>86.19</v>
      </c>
      <c r="L163" s="726"/>
      <c r="M163" s="726"/>
      <c r="N163" s="720">
        <f>ROUND(L163*K163,2)</f>
        <v>0</v>
      </c>
      <c r="O163" s="720"/>
      <c r="P163" s="720"/>
      <c r="Q163" s="720"/>
      <c r="R163" s="238"/>
      <c r="T163" s="45"/>
      <c r="V163" s="248">
        <f>0.15</f>
        <v>0.15</v>
      </c>
      <c r="X163" s="248">
        <f>V163*K163</f>
        <v>12.9285</v>
      </c>
    </row>
    <row r="164" spans="2:29" s="248" customFormat="1" ht="11.25" outlineLevel="1">
      <c r="B164" s="247"/>
      <c r="E164" s="349" t="s">
        <v>641</v>
      </c>
      <c r="F164" s="717" t="s">
        <v>780</v>
      </c>
      <c r="G164" s="718">
        <f>1.1*2.2+1*2+(4+1.1*3+2.6+1.1*2+1.8)*3+1.3*2.1+0.4*2.3</f>
        <v>49.77000000000001</v>
      </c>
      <c r="H164" s="718">
        <f>1.1*2.2+1*2+(4+1.1*3+2.6+1.1*2+1.8)*3+1.3*2.1+0.4*2.3</f>
        <v>49.77000000000001</v>
      </c>
      <c r="I164" s="718">
        <f>1.1*2.2+1*2+(4+1.1*3+2.6+1.1*2+1.8)*3+1.3*2.1+0.4*2.3</f>
        <v>49.77000000000001</v>
      </c>
      <c r="J164" s="64"/>
      <c r="K164" s="350">
        <f>1.1*2.2+1*2+(4+1.1*3+2.6+1.1*2+1.8)*3+1.3*2.1+0.4*2.3</f>
        <v>49.77000000000001</v>
      </c>
      <c r="L164" s="196"/>
      <c r="M164" s="196"/>
      <c r="R164" s="249"/>
      <c r="T164" s="45"/>
      <c r="AC164" s="351"/>
    </row>
    <row r="165" spans="2:29" s="248" customFormat="1" ht="11.25" outlineLevel="1">
      <c r="B165" s="247"/>
      <c r="E165" s="349" t="s">
        <v>642</v>
      </c>
      <c r="F165" s="717" t="s">
        <v>781</v>
      </c>
      <c r="G165" s="718">
        <f>1*2.2+4*2.8+5.3*3.4+1.3*2.8+0.4*3.4</f>
        <v>36.419999999999995</v>
      </c>
      <c r="H165" s="718">
        <f>1*2.2+4*2.8+5.3*3.4+1.3*2.8+0.4*3.4</f>
        <v>36.419999999999995</v>
      </c>
      <c r="I165" s="718">
        <f>1*2.2+4*2.8+5.3*3.4+1.3*2.8+0.4*3.4</f>
        <v>36.419999999999995</v>
      </c>
      <c r="J165" s="64"/>
      <c r="K165" s="350">
        <f>1*2.2+4*2.8+5.3*3.4+1.3*2.8+0.4*3.4</f>
        <v>36.419999999999995</v>
      </c>
      <c r="L165" s="196"/>
      <c r="M165" s="196"/>
      <c r="R165" s="249"/>
      <c r="T165" s="45"/>
      <c r="AC165" s="351"/>
    </row>
    <row r="166" spans="2:29" s="358" customFormat="1" ht="11.25" outlineLevel="1">
      <c r="B166" s="353"/>
      <c r="C166" s="354"/>
      <c r="D166" s="354" t="s">
        <v>62</v>
      </c>
      <c r="E166" s="355">
        <v>962032230</v>
      </c>
      <c r="F166" s="727" t="s">
        <v>360</v>
      </c>
      <c r="G166" s="727"/>
      <c r="H166" s="727"/>
      <c r="I166" s="727"/>
      <c r="J166" s="215" t="s">
        <v>64</v>
      </c>
      <c r="K166" s="356">
        <f>SUM(K167:K177)</f>
        <v>73.530847499999993</v>
      </c>
      <c r="L166" s="728"/>
      <c r="M166" s="728"/>
      <c r="N166" s="729">
        <f>ROUND(L166*K166,2)</f>
        <v>0</v>
      </c>
      <c r="O166" s="729"/>
      <c r="P166" s="729"/>
      <c r="Q166" s="729"/>
      <c r="R166" s="357"/>
      <c r="T166" s="216"/>
      <c r="U166" s="359"/>
      <c r="V166" s="359"/>
      <c r="W166" s="359"/>
      <c r="X166" s="360">
        <f>K166</f>
        <v>73.530847499999993</v>
      </c>
      <c r="Y166" s="359"/>
      <c r="Z166" s="359"/>
      <c r="AA166" s="359"/>
      <c r="AB166" s="359"/>
      <c r="AC166" s="361"/>
    </row>
    <row r="167" spans="2:29" s="248" customFormat="1" ht="11.25" outlineLevel="1">
      <c r="B167" s="247"/>
      <c r="E167" s="349" t="s">
        <v>606</v>
      </c>
      <c r="F167" s="717" t="s">
        <v>782</v>
      </c>
      <c r="G167" s="718">
        <f>0.19*(8.3+0.83)</f>
        <v>1.7347000000000001</v>
      </c>
      <c r="H167" s="718">
        <f>0.19*(8.3+0.83)</f>
        <v>1.7347000000000001</v>
      </c>
      <c r="I167" s="718">
        <f>0.19*(8.3+0.83)</f>
        <v>1.7347000000000001</v>
      </c>
      <c r="J167" s="64"/>
      <c r="K167" s="350">
        <f>0.19*(8.3+0.83)</f>
        <v>1.7347000000000001</v>
      </c>
      <c r="L167" s="196"/>
      <c r="M167" s="196"/>
      <c r="R167" s="249"/>
      <c r="T167" s="45"/>
      <c r="AC167" s="351"/>
    </row>
    <row r="168" spans="2:29" s="248" customFormat="1" ht="11.25" outlineLevel="1">
      <c r="B168" s="247"/>
      <c r="E168" s="349" t="s">
        <v>607</v>
      </c>
      <c r="F168" s="717" t="s">
        <v>778</v>
      </c>
      <c r="G168" s="718">
        <f>(6.7+6.65)*0.7*0.67+(0.5*0.2*0.7)</f>
        <v>6.3311500000000009</v>
      </c>
      <c r="H168" s="718">
        <f>(6.7+6.65)*0.7*0.67+(0.5*0.2*0.7)</f>
        <v>6.3311500000000009</v>
      </c>
      <c r="I168" s="718">
        <f>(6.7+6.65)*0.7*0.67+(0.5*0.2*0.7)</f>
        <v>6.3311500000000009</v>
      </c>
      <c r="J168" s="64"/>
      <c r="K168" s="350">
        <f>(6.7+6.65)*0.7*0.67+(0.5*0.2*0.7)</f>
        <v>6.3311500000000009</v>
      </c>
      <c r="L168" s="196"/>
      <c r="M168" s="196"/>
      <c r="R168" s="249"/>
      <c r="T168" s="45"/>
      <c r="AC168" s="351"/>
    </row>
    <row r="169" spans="2:29" s="248" customFormat="1" ht="11.25" outlineLevel="1">
      <c r="B169" s="247"/>
      <c r="E169" s="349" t="s">
        <v>614</v>
      </c>
      <c r="F169" s="717" t="s">
        <v>783</v>
      </c>
      <c r="G169" s="718">
        <f>0.915*1.65*0.25</f>
        <v>0.37743749999999998</v>
      </c>
      <c r="H169" s="718">
        <f>0.915*1.65*0.25</f>
        <v>0.37743749999999998</v>
      </c>
      <c r="I169" s="718">
        <f>0.915*1.65*0.25</f>
        <v>0.37743749999999998</v>
      </c>
      <c r="J169" s="64"/>
      <c r="K169" s="350">
        <f>0.915*1.65*0.25</f>
        <v>0.37743749999999998</v>
      </c>
      <c r="L169" s="196"/>
      <c r="M169" s="196"/>
      <c r="R169" s="249"/>
      <c r="T169" s="45"/>
      <c r="AC169" s="351"/>
    </row>
    <row r="170" spans="2:29" s="248" customFormat="1" ht="11.25" outlineLevel="1">
      <c r="B170" s="247"/>
      <c r="E170" s="349" t="s">
        <v>621</v>
      </c>
      <c r="F170" s="717" t="s">
        <v>784</v>
      </c>
      <c r="G170" s="718">
        <f t="shared" ref="G170:I171" si="4">4*0.9*0.25</f>
        <v>0.9</v>
      </c>
      <c r="H170" s="718">
        <f t="shared" si="4"/>
        <v>0.9</v>
      </c>
      <c r="I170" s="718">
        <f t="shared" si="4"/>
        <v>0.9</v>
      </c>
      <c r="J170" s="64"/>
      <c r="K170" s="350">
        <f>4*0.9*0.25</f>
        <v>0.9</v>
      </c>
      <c r="L170" s="196"/>
      <c r="M170" s="196"/>
      <c r="R170" s="249"/>
      <c r="T170" s="45"/>
      <c r="AC170" s="351"/>
    </row>
    <row r="171" spans="2:29" s="248" customFormat="1" ht="11.25" outlineLevel="1">
      <c r="B171" s="247"/>
      <c r="E171" s="349" t="s">
        <v>620</v>
      </c>
      <c r="F171" s="717" t="s">
        <v>784</v>
      </c>
      <c r="G171" s="718">
        <f t="shared" si="4"/>
        <v>0.9</v>
      </c>
      <c r="H171" s="718">
        <f t="shared" si="4"/>
        <v>0.9</v>
      </c>
      <c r="I171" s="718">
        <f t="shared" si="4"/>
        <v>0.9</v>
      </c>
      <c r="J171" s="64"/>
      <c r="K171" s="350">
        <f>4*0.9*0.25</f>
        <v>0.9</v>
      </c>
      <c r="L171" s="196"/>
      <c r="M171" s="196"/>
      <c r="R171" s="249"/>
      <c r="T171" s="45"/>
      <c r="AC171" s="351"/>
    </row>
    <row r="172" spans="2:29" s="248" customFormat="1" ht="11.25" outlineLevel="1">
      <c r="B172" s="247"/>
      <c r="E172" s="349" t="s">
        <v>611</v>
      </c>
      <c r="F172" s="717" t="s">
        <v>785</v>
      </c>
      <c r="G172" s="718">
        <f>1.4*1.9*0.7</f>
        <v>1.8619999999999997</v>
      </c>
      <c r="H172" s="718">
        <f>1.4*1.9*0.7</f>
        <v>1.8619999999999997</v>
      </c>
      <c r="I172" s="718">
        <f>1.4*1.9*0.7</f>
        <v>1.8619999999999997</v>
      </c>
      <c r="J172" s="64"/>
      <c r="K172" s="350">
        <f>1.4*1.9*0.7</f>
        <v>1.8619999999999997</v>
      </c>
      <c r="L172" s="196"/>
      <c r="M172" s="196"/>
      <c r="R172" s="249"/>
      <c r="T172" s="45"/>
      <c r="AC172" s="351"/>
    </row>
    <row r="173" spans="2:29" s="248" customFormat="1" ht="11.25" outlineLevel="1">
      <c r="B173" s="247"/>
      <c r="E173" s="349" t="s">
        <v>361</v>
      </c>
      <c r="F173" s="717" t="s">
        <v>786</v>
      </c>
      <c r="G173" s="718">
        <f>1.1*1.08*1.12+1*0.75*0.52+1*0.75*0.25+2.85*0.35*0.2</f>
        <v>2.1075600000000003</v>
      </c>
      <c r="H173" s="718">
        <f>1.1*1.08*1.12+1*0.75*0.52+1*0.75*0.25+2.85*0.35*0.2</f>
        <v>2.1075600000000003</v>
      </c>
      <c r="I173" s="718">
        <f>1.1*1.08*1.12+1*0.75*0.52+1*0.75*0.25+2.85*0.35*0.2</f>
        <v>2.1075600000000003</v>
      </c>
      <c r="J173" s="64"/>
      <c r="K173" s="350">
        <f>1.1*1.08*1.12+1*0.75*0.52+1*0.75*0.25+2.85*0.35*0.2</f>
        <v>2.1075600000000003</v>
      </c>
      <c r="L173" s="196"/>
      <c r="M173" s="196"/>
      <c r="R173" s="249"/>
      <c r="T173" s="45"/>
      <c r="AC173" s="351"/>
    </row>
    <row r="174" spans="2:29" s="248" customFormat="1" ht="22.5" outlineLevel="1">
      <c r="B174" s="247"/>
      <c r="E174" s="349" t="s">
        <v>613</v>
      </c>
      <c r="F174" s="717" t="s">
        <v>2030</v>
      </c>
      <c r="G174" s="718">
        <f>0.25*0.5*2.4*2+0.65*2.36*0.3+0.8*0.85*0.15*6+(3.7*3.77-1.25*2)*0.4+0.2*0.3*2.2*2+1.4*2.25*0.3+0.8*0.2*2.8+16*0.4*2.75*2</f>
        <v>43.108800000000002</v>
      </c>
      <c r="H174" s="718">
        <f>0.25*0.5*2.4*2+0.65*2.36*0.3+0.8*0.85*0.15*6+(3.7*3.77-1.25*2)*0.4+0.2*0.3*2.2*2+1.4*2.25*0.3+0.8*0.2*2.8+16*0.4*2.75*2</f>
        <v>43.108800000000002</v>
      </c>
      <c r="I174" s="718">
        <f>0.25*0.5*2.4*2+0.65*2.36*0.3+0.8*0.85*0.15*6+(3.7*3.77-1.25*2)*0.4+0.2*0.3*2.2*2+1.4*2.25*0.3+0.8*0.2*2.8+16*0.4*2.75*2</f>
        <v>43.108800000000002</v>
      </c>
      <c r="J174" s="64"/>
      <c r="K174" s="350">
        <f>0.25*0.5*2.4*2+0.65*2.36*0.3+0.8*0.85*0.15*6+(3.7*3.77-1.25*2)*0.4+0.2*0.3*2.2*2+1.4*2.25*0.3+0.8*0.2*2.8+16*0.4*2.75*2+0.75*0.28*2*2.435</f>
        <v>44.131500000000003</v>
      </c>
      <c r="L174" s="196"/>
      <c r="M174" s="196"/>
      <c r="R174" s="249"/>
      <c r="T174" s="45"/>
      <c r="AC174" s="351"/>
    </row>
    <row r="175" spans="2:29" s="248" customFormat="1" ht="36" customHeight="1" outlineLevel="1">
      <c r="B175" s="247"/>
      <c r="E175" s="349" t="s">
        <v>615</v>
      </c>
      <c r="F175" s="717" t="s">
        <v>787</v>
      </c>
      <c r="G175" s="718">
        <f>1.5*2.25*0.3+0.35*0.35*1.6+(0.8+0.2)*0.7*3.38+0.1*0.2*2.225*2*2+1*2.2*0.25+3.1*3.26*0.2</f>
        <v>6.3236999999999988</v>
      </c>
      <c r="H175" s="718">
        <f>1.5*2.25*0.3+0.35*0.35*1.6+(0.8+0.2)*0.7*3.38+0.1*0.2*2.225*2*2+1*2.2*0.25+3.1*3.26*0.2</f>
        <v>6.3236999999999988</v>
      </c>
      <c r="I175" s="718">
        <f>1.5*2.25*0.3+0.35*0.35*1.6+(0.8+0.2)*0.7*3.38+0.1*0.2*2.225*2*2+1*2.2*0.25+3.1*3.26*0.2</f>
        <v>6.3236999999999988</v>
      </c>
      <c r="J175" s="64"/>
      <c r="K175" s="350">
        <f>1.5*2.25*0.3+0.35*0.35*1.6+(0.8+0.2)*0.7*3.38+0.1*0.2*2.225*2*2+1*2.2*0.25+3.1*3.26*0.2</f>
        <v>6.3236999999999988</v>
      </c>
      <c r="L175" s="196"/>
      <c r="M175" s="196"/>
      <c r="R175" s="249"/>
      <c r="T175" s="45"/>
      <c r="AC175" s="351"/>
    </row>
    <row r="176" spans="2:29" s="248" customFormat="1" ht="22.5" outlineLevel="1">
      <c r="B176" s="247"/>
      <c r="E176" s="349" t="s">
        <v>616</v>
      </c>
      <c r="F176" s="717" t="s">
        <v>2037</v>
      </c>
      <c r="G176" s="718">
        <f t="shared" ref="G176:I177" si="5">(1.4+1.5)*2*(0.25*0.6)*12+0.35*0.45*2.3</f>
        <v>10.802249999999999</v>
      </c>
      <c r="H176" s="718">
        <f t="shared" si="5"/>
        <v>10.802249999999999</v>
      </c>
      <c r="I176" s="718">
        <f t="shared" si="5"/>
        <v>10.802249999999999</v>
      </c>
      <c r="J176" s="64"/>
      <c r="K176" s="350">
        <f>(1.4+1.5)*2*(0.25*0.6)*12</f>
        <v>10.44</v>
      </c>
      <c r="L176" s="196"/>
      <c r="M176" s="196"/>
      <c r="R176" s="249"/>
      <c r="T176" s="45"/>
      <c r="AC176" s="351"/>
    </row>
    <row r="177" spans="2:29" s="333" customFormat="1" ht="11.25" outlineLevel="1">
      <c r="B177" s="362"/>
      <c r="E177" s="363" t="s">
        <v>2520</v>
      </c>
      <c r="F177" s="715" t="s">
        <v>2456</v>
      </c>
      <c r="G177" s="716">
        <f t="shared" si="5"/>
        <v>10.802249999999999</v>
      </c>
      <c r="H177" s="716">
        <f t="shared" si="5"/>
        <v>10.802249999999999</v>
      </c>
      <c r="I177" s="716">
        <f t="shared" si="5"/>
        <v>10.802249999999999</v>
      </c>
      <c r="J177" s="209">
        <v>-1</v>
      </c>
      <c r="K177" s="364">
        <f>K119*J177</f>
        <v>-1.5772000000000002</v>
      </c>
      <c r="L177" s="210"/>
      <c r="M177" s="210"/>
      <c r="R177" s="365"/>
      <c r="T177" s="211"/>
      <c r="AC177" s="366"/>
    </row>
    <row r="178" spans="2:29" ht="11.25" outlineLevel="1">
      <c r="B178" s="237"/>
      <c r="C178" s="345"/>
      <c r="D178" s="345" t="s">
        <v>62</v>
      </c>
      <c r="E178" s="346">
        <v>962081131</v>
      </c>
      <c r="F178" s="719" t="s">
        <v>625</v>
      </c>
      <c r="G178" s="719"/>
      <c r="H178" s="719"/>
      <c r="I178" s="719"/>
      <c r="J178" s="63" t="s">
        <v>63</v>
      </c>
      <c r="K178" s="347">
        <f>SUM(K179:K180)</f>
        <v>9.6</v>
      </c>
      <c r="L178" s="726"/>
      <c r="M178" s="726"/>
      <c r="N178" s="720">
        <f>ROUND(L178*K178,2)</f>
        <v>0</v>
      </c>
      <c r="O178" s="720"/>
      <c r="P178" s="720"/>
      <c r="Q178" s="720"/>
      <c r="R178" s="238"/>
      <c r="T178" s="45"/>
      <c r="V178" s="248">
        <v>0.17</v>
      </c>
      <c r="W178" s="248">
        <f>V178*K178</f>
        <v>1.6320000000000001</v>
      </c>
    </row>
    <row r="179" spans="2:29" s="248" customFormat="1" ht="11.25" outlineLevel="1">
      <c r="B179" s="247"/>
      <c r="E179" s="349" t="s">
        <v>626</v>
      </c>
      <c r="F179" s="717" t="s">
        <v>788</v>
      </c>
      <c r="G179" s="718">
        <f>1*1.4*2</f>
        <v>2.8</v>
      </c>
      <c r="H179" s="718">
        <f>1*1.4*2</f>
        <v>2.8</v>
      </c>
      <c r="I179" s="718">
        <f>1*1.4*2</f>
        <v>2.8</v>
      </c>
      <c r="J179" s="64"/>
      <c r="K179" s="350">
        <f>1*1.4*2</f>
        <v>2.8</v>
      </c>
      <c r="L179" s="196"/>
      <c r="M179" s="196"/>
      <c r="R179" s="249"/>
      <c r="T179" s="45"/>
      <c r="AC179" s="351"/>
    </row>
    <row r="180" spans="2:29" s="248" customFormat="1" ht="11.25" outlineLevel="1">
      <c r="B180" s="247"/>
      <c r="E180" s="349" t="s">
        <v>627</v>
      </c>
      <c r="F180" s="717" t="s">
        <v>789</v>
      </c>
      <c r="G180" s="718">
        <f>1*1.2*3+1*1.6*2</f>
        <v>6.8</v>
      </c>
      <c r="H180" s="718">
        <f>1*1.2*3+1*1.6*2</f>
        <v>6.8</v>
      </c>
      <c r="I180" s="718">
        <f>1*1.2*3+1*1.6*2</f>
        <v>6.8</v>
      </c>
      <c r="J180" s="64"/>
      <c r="K180" s="350">
        <f>1*1.2*3+1*1.6*2</f>
        <v>6.8</v>
      </c>
      <c r="L180" s="196"/>
      <c r="M180" s="196"/>
      <c r="R180" s="249"/>
      <c r="T180" s="45"/>
      <c r="AC180" s="351"/>
    </row>
    <row r="181" spans="2:29" ht="11.25" outlineLevel="1">
      <c r="B181" s="237"/>
      <c r="C181" s="345"/>
      <c r="D181" s="345" t="s">
        <v>62</v>
      </c>
      <c r="E181" s="346" t="s">
        <v>643</v>
      </c>
      <c r="F181" s="719" t="s">
        <v>644</v>
      </c>
      <c r="G181" s="719"/>
      <c r="H181" s="719"/>
      <c r="I181" s="719"/>
      <c r="J181" s="63" t="s">
        <v>64</v>
      </c>
      <c r="K181" s="347">
        <f>SUM(K182:K183)</f>
        <v>2.0910000000000002</v>
      </c>
      <c r="L181" s="726"/>
      <c r="M181" s="726"/>
      <c r="N181" s="720">
        <f>ROUND(L181*K181,2)</f>
        <v>0</v>
      </c>
      <c r="O181" s="720"/>
      <c r="P181" s="720"/>
      <c r="Q181" s="720"/>
      <c r="R181" s="238"/>
      <c r="T181" s="45"/>
      <c r="W181" s="348">
        <f>K181</f>
        <v>2.0910000000000002</v>
      </c>
    </row>
    <row r="182" spans="2:29" s="248" customFormat="1" ht="11.25" outlineLevel="1">
      <c r="B182" s="247"/>
      <c r="E182" s="349" t="s">
        <v>645</v>
      </c>
      <c r="F182" s="717" t="s">
        <v>790</v>
      </c>
      <c r="G182" s="717" t="e">
        <f>3.45*2*F182</f>
        <v>#VALUE!</v>
      </c>
      <c r="H182" s="717" t="e">
        <f>3.45*2*G182</f>
        <v>#VALUE!</v>
      </c>
      <c r="I182" s="717" t="e">
        <f>3.45*2*H182</f>
        <v>#VALUE!</v>
      </c>
      <c r="J182" s="64">
        <v>0.25</v>
      </c>
      <c r="K182" s="350">
        <f>3.45*2*J182</f>
        <v>1.7250000000000001</v>
      </c>
      <c r="L182" s="196"/>
      <c r="M182" s="196"/>
      <c r="R182" s="249"/>
      <c r="T182" s="45"/>
      <c r="AC182" s="351"/>
    </row>
    <row r="183" spans="2:29" s="248" customFormat="1" ht="11.25" outlineLevel="1">
      <c r="B183" s="247"/>
      <c r="E183" s="349" t="s">
        <v>646</v>
      </c>
      <c r="F183" s="717" t="s">
        <v>791</v>
      </c>
      <c r="G183" s="717" t="e">
        <f>(1.2*0.6+1*0.5)*F183</f>
        <v>#VALUE!</v>
      </c>
      <c r="H183" s="717" t="e">
        <f>(1.2*0.6+1*0.5)*G183</f>
        <v>#VALUE!</v>
      </c>
      <c r="I183" s="717" t="e">
        <f>(1.2*0.6+1*0.5)*H183</f>
        <v>#VALUE!</v>
      </c>
      <c r="J183" s="64">
        <v>0.3</v>
      </c>
      <c r="K183" s="350">
        <f>(1.2*0.6+1*0.5)*J183</f>
        <v>0.36599999999999999</v>
      </c>
      <c r="L183" s="196"/>
      <c r="M183" s="196"/>
      <c r="R183" s="249"/>
      <c r="T183" s="45"/>
      <c r="AC183" s="351"/>
    </row>
    <row r="184" spans="2:29" ht="11.25" outlineLevel="1">
      <c r="B184" s="237"/>
      <c r="C184" s="345"/>
      <c r="D184" s="345" t="s">
        <v>62</v>
      </c>
      <c r="E184" s="346">
        <v>963023711</v>
      </c>
      <c r="F184" s="719" t="s">
        <v>349</v>
      </c>
      <c r="G184" s="719"/>
      <c r="H184" s="719"/>
      <c r="I184" s="719"/>
      <c r="J184" s="63" t="s">
        <v>68</v>
      </c>
      <c r="K184" s="347">
        <f>SUM(K185:K185)</f>
        <v>5.2</v>
      </c>
      <c r="L184" s="726"/>
      <c r="M184" s="726"/>
      <c r="N184" s="720">
        <f>ROUND(L184*K184,2)</f>
        <v>0</v>
      </c>
      <c r="O184" s="720"/>
      <c r="P184" s="720"/>
      <c r="Q184" s="720"/>
      <c r="R184" s="238"/>
      <c r="T184" s="45"/>
      <c r="V184" s="248">
        <f>0.2*0.3/2</f>
        <v>0.03</v>
      </c>
      <c r="W184" s="248">
        <f>V184*K184</f>
        <v>0.156</v>
      </c>
    </row>
    <row r="185" spans="2:29" s="248" customFormat="1" ht="11.25" outlineLevel="1">
      <c r="B185" s="247"/>
      <c r="E185" s="349" t="s">
        <v>619</v>
      </c>
      <c r="F185" s="717" t="s">
        <v>792</v>
      </c>
      <c r="G185" s="718">
        <f>2.6*2</f>
        <v>5.2</v>
      </c>
      <c r="H185" s="718">
        <f>2.6*2</f>
        <v>5.2</v>
      </c>
      <c r="I185" s="718">
        <f>2.6*2</f>
        <v>5.2</v>
      </c>
      <c r="J185" s="64"/>
      <c r="K185" s="350">
        <f>2.6*2</f>
        <v>5.2</v>
      </c>
      <c r="L185" s="196"/>
      <c r="M185" s="196"/>
      <c r="R185" s="249"/>
      <c r="T185" s="45"/>
      <c r="AC185" s="351"/>
    </row>
    <row r="186" spans="2:29" s="358" customFormat="1" ht="11.25" outlineLevel="1">
      <c r="B186" s="353"/>
      <c r="C186" s="354"/>
      <c r="D186" s="354" t="s">
        <v>62</v>
      </c>
      <c r="E186" s="355">
        <v>963042819</v>
      </c>
      <c r="F186" s="727" t="s">
        <v>362</v>
      </c>
      <c r="G186" s="727"/>
      <c r="H186" s="727"/>
      <c r="I186" s="727"/>
      <c r="J186" s="215" t="s">
        <v>68</v>
      </c>
      <c r="K186" s="356">
        <f>SUM(K187:K189)</f>
        <v>3.1999999999999993</v>
      </c>
      <c r="L186" s="728"/>
      <c r="M186" s="728"/>
      <c r="N186" s="729">
        <f>ROUND(L186*K186,2)</f>
        <v>0</v>
      </c>
      <c r="O186" s="729"/>
      <c r="P186" s="729"/>
      <c r="Q186" s="729"/>
      <c r="R186" s="357"/>
      <c r="T186" s="216"/>
      <c r="U186" s="359"/>
      <c r="V186" s="359">
        <f>0.2*0.3/2</f>
        <v>0.03</v>
      </c>
      <c r="W186" s="359">
        <f>V186*K186</f>
        <v>9.5999999999999974E-2</v>
      </c>
      <c r="X186" s="359"/>
      <c r="Y186" s="359"/>
      <c r="Z186" s="359"/>
      <c r="AA186" s="359"/>
      <c r="AB186" s="359"/>
      <c r="AC186" s="361"/>
    </row>
    <row r="187" spans="2:29" s="248" customFormat="1" ht="11.25" outlineLevel="1">
      <c r="B187" s="247"/>
      <c r="E187" s="349" t="s">
        <v>617</v>
      </c>
      <c r="F187" s="717" t="s">
        <v>793</v>
      </c>
      <c r="G187" s="718">
        <f>2*3</f>
        <v>6</v>
      </c>
      <c r="H187" s="718">
        <f>2*3</f>
        <v>6</v>
      </c>
      <c r="I187" s="718">
        <f>2*3</f>
        <v>6</v>
      </c>
      <c r="J187" s="64"/>
      <c r="K187" s="350">
        <f>2*3</f>
        <v>6</v>
      </c>
      <c r="L187" s="196"/>
      <c r="M187" s="196"/>
      <c r="R187" s="249"/>
      <c r="T187" s="45"/>
      <c r="AC187" s="351"/>
    </row>
    <row r="188" spans="2:29" s="248" customFormat="1" ht="11.25" outlineLevel="1">
      <c r="B188" s="247"/>
      <c r="E188" s="349" t="s">
        <v>618</v>
      </c>
      <c r="F188" s="717" t="s">
        <v>794</v>
      </c>
      <c r="G188" s="718">
        <f>1.6*2</f>
        <v>3.2</v>
      </c>
      <c r="H188" s="718">
        <f>1.6*2</f>
        <v>3.2</v>
      </c>
      <c r="I188" s="718">
        <f>1.6*2</f>
        <v>3.2</v>
      </c>
      <c r="J188" s="64"/>
      <c r="K188" s="350">
        <f>1.6*2</f>
        <v>3.2</v>
      </c>
      <c r="L188" s="196"/>
      <c r="M188" s="196"/>
      <c r="R188" s="249"/>
      <c r="T188" s="45"/>
      <c r="AC188" s="351"/>
    </row>
    <row r="189" spans="2:29" s="333" customFormat="1" ht="11.25" outlineLevel="1">
      <c r="B189" s="362"/>
      <c r="E189" s="363" t="s">
        <v>2520</v>
      </c>
      <c r="F189" s="715" t="s">
        <v>2456</v>
      </c>
      <c r="G189" s="716">
        <f>(1.4+1.5)*2*(0.25*0.6)*12+0.35*0.45*2.3</f>
        <v>10.802249999999999</v>
      </c>
      <c r="H189" s="716">
        <f>(1.4+1.5)*2*(0.25*0.6)*12+0.35*0.45*2.3</f>
        <v>10.802249999999999</v>
      </c>
      <c r="I189" s="716">
        <f>(1.4+1.5)*2*(0.25*0.6)*12+0.35*0.45*2.3</f>
        <v>10.802249999999999</v>
      </c>
      <c r="J189" s="209">
        <v>-1</v>
      </c>
      <c r="K189" s="364">
        <f>K122*J189</f>
        <v>-6</v>
      </c>
      <c r="L189" s="210"/>
      <c r="M189" s="210"/>
      <c r="R189" s="365"/>
      <c r="T189" s="211"/>
      <c r="AC189" s="366"/>
    </row>
    <row r="190" spans="2:29" s="358" customFormat="1" ht="27" customHeight="1" outlineLevel="1">
      <c r="B190" s="353"/>
      <c r="C190" s="354"/>
      <c r="D190" s="354" t="s">
        <v>62</v>
      </c>
      <c r="E190" s="355" t="s">
        <v>370</v>
      </c>
      <c r="F190" s="727" t="s">
        <v>371</v>
      </c>
      <c r="G190" s="727"/>
      <c r="H190" s="727"/>
      <c r="I190" s="727"/>
      <c r="J190" s="215" t="s">
        <v>64</v>
      </c>
      <c r="K190" s="356">
        <f>SUM(K191:K194)</f>
        <v>81.627800000000008</v>
      </c>
      <c r="L190" s="728"/>
      <c r="M190" s="728"/>
      <c r="N190" s="729">
        <f>ROUND(L190*K190,2)</f>
        <v>0</v>
      </c>
      <c r="O190" s="729"/>
      <c r="P190" s="729"/>
      <c r="Q190" s="729"/>
      <c r="R190" s="357"/>
      <c r="T190" s="216"/>
      <c r="U190" s="359"/>
      <c r="V190" s="359"/>
      <c r="W190" s="360">
        <f>K190</f>
        <v>81.627800000000008</v>
      </c>
      <c r="X190" s="359"/>
      <c r="Y190" s="359"/>
      <c r="Z190" s="359"/>
      <c r="AA190" s="359"/>
      <c r="AB190" s="359"/>
      <c r="AC190" s="361"/>
    </row>
    <row r="191" spans="2:29" s="248" customFormat="1" ht="22.5" outlineLevel="1">
      <c r="B191" s="247"/>
      <c r="E191" s="349" t="s">
        <v>601</v>
      </c>
      <c r="F191" s="717" t="s">
        <v>795</v>
      </c>
      <c r="G191" s="718" t="e">
        <f>142.9*F191</f>
        <v>#VALUE!</v>
      </c>
      <c r="H191" s="718" t="e">
        <f>142.9*G191</f>
        <v>#VALUE!</v>
      </c>
      <c r="I191" s="718" t="e">
        <f>142.9*H191</f>
        <v>#VALUE!</v>
      </c>
      <c r="J191" s="64">
        <v>0.25</v>
      </c>
      <c r="K191" s="350">
        <f>142.9*J191</f>
        <v>35.725000000000001</v>
      </c>
      <c r="L191" s="196"/>
      <c r="M191" s="196"/>
      <c r="R191" s="249"/>
      <c r="T191" s="45"/>
      <c r="AC191" s="351"/>
    </row>
    <row r="192" spans="2:29" s="248" customFormat="1" ht="22.5" outlineLevel="1">
      <c r="B192" s="247"/>
      <c r="E192" s="349" t="s">
        <v>602</v>
      </c>
      <c r="F192" s="717" t="s">
        <v>796</v>
      </c>
      <c r="G192" s="718" t="e">
        <f>(22.76+27.72+40.52)*F192</f>
        <v>#VALUE!</v>
      </c>
      <c r="H192" s="718" t="e">
        <f>(22.76+27.72+40.52)*G192</f>
        <v>#VALUE!</v>
      </c>
      <c r="I192" s="718" t="e">
        <f>(22.76+27.72+40.52)*H192</f>
        <v>#VALUE!</v>
      </c>
      <c r="J192" s="64">
        <v>0.23499999999999999</v>
      </c>
      <c r="K192" s="350">
        <f>(22.76+27.72+40.52)*J192</f>
        <v>21.384999999999998</v>
      </c>
      <c r="L192" s="196"/>
      <c r="M192" s="196"/>
      <c r="R192" s="249"/>
      <c r="T192" s="45"/>
      <c r="AC192" s="351"/>
    </row>
    <row r="193" spans="2:29" s="248" customFormat="1" ht="22.5" outlineLevel="1">
      <c r="B193" s="247"/>
      <c r="E193" s="349" t="s">
        <v>603</v>
      </c>
      <c r="F193" s="717" t="s">
        <v>797</v>
      </c>
      <c r="G193" s="718" t="e">
        <f>(20+15.1+30.61+4.95+2.28+23.93+28.19+18.07)*F193</f>
        <v>#VALUE!</v>
      </c>
      <c r="H193" s="718" t="e">
        <f>(20+15.1+30.61+4.95+2.28+23.93+28.19+18.07)*G193</f>
        <v>#VALUE!</v>
      </c>
      <c r="I193" s="718" t="e">
        <f>(20+15.1+30.61+4.95+2.28+23.93+28.19+18.07)*H193</f>
        <v>#VALUE!</v>
      </c>
      <c r="J193" s="64">
        <v>0.26500000000000001</v>
      </c>
      <c r="K193" s="350">
        <f>(20+15.1+30.61+4.95+2.28+23.93+28.19+18.07)*J193</f>
        <v>37.929450000000003</v>
      </c>
      <c r="L193" s="196"/>
      <c r="M193" s="196"/>
      <c r="R193" s="249"/>
      <c r="T193" s="45"/>
      <c r="AC193" s="351"/>
    </row>
    <row r="194" spans="2:29" s="333" customFormat="1" ht="11.25" outlineLevel="1">
      <c r="B194" s="362"/>
      <c r="E194" s="363" t="s">
        <v>2520</v>
      </c>
      <c r="F194" s="715" t="s">
        <v>2456</v>
      </c>
      <c r="G194" s="716">
        <f>(1.4+1.5)*2*(0.25*0.6)*12+0.35*0.45*2.3</f>
        <v>10.802249999999999</v>
      </c>
      <c r="H194" s="716">
        <f>(1.4+1.5)*2*(0.25*0.6)*12+0.35*0.45*2.3</f>
        <v>10.802249999999999</v>
      </c>
      <c r="I194" s="716">
        <f>(1.4+1.5)*2*(0.25*0.6)*12+0.35*0.45*2.3</f>
        <v>10.802249999999999</v>
      </c>
      <c r="J194" s="209">
        <v>-1</v>
      </c>
      <c r="K194" s="364">
        <f>K124*J194</f>
        <v>-13.41165</v>
      </c>
      <c r="L194" s="210"/>
      <c r="M194" s="210"/>
      <c r="R194" s="365"/>
      <c r="T194" s="211"/>
      <c r="AC194" s="366"/>
    </row>
    <row r="195" spans="2:29" ht="27" customHeight="1" outlineLevel="1">
      <c r="B195" s="237"/>
      <c r="C195" s="345"/>
      <c r="D195" s="345" t="s">
        <v>62</v>
      </c>
      <c r="E195" s="346" t="s">
        <v>647</v>
      </c>
      <c r="F195" s="719" t="s">
        <v>648</v>
      </c>
      <c r="G195" s="719"/>
      <c r="H195" s="719"/>
      <c r="I195" s="719"/>
      <c r="J195" s="63" t="s">
        <v>63</v>
      </c>
      <c r="K195" s="347">
        <f>SUM(K196:K196)</f>
        <v>19.260000000000002</v>
      </c>
      <c r="L195" s="726"/>
      <c r="M195" s="726"/>
      <c r="N195" s="720">
        <f>ROUND(L195*K195,2)</f>
        <v>0</v>
      </c>
      <c r="O195" s="720"/>
      <c r="P195" s="720"/>
      <c r="Q195" s="720"/>
      <c r="R195" s="238"/>
      <c r="T195" s="45"/>
      <c r="W195" s="348">
        <f>K195</f>
        <v>19.260000000000002</v>
      </c>
    </row>
    <row r="196" spans="2:29" s="248" customFormat="1" ht="11.25" outlineLevel="1">
      <c r="B196" s="247"/>
      <c r="E196" s="349" t="s">
        <v>83</v>
      </c>
      <c r="F196" s="717" t="s">
        <v>798</v>
      </c>
      <c r="G196" s="718">
        <f>19.26</f>
        <v>19.260000000000002</v>
      </c>
      <c r="H196" s="718">
        <f>19.26</f>
        <v>19.260000000000002</v>
      </c>
      <c r="I196" s="718">
        <f>19.26</f>
        <v>19.260000000000002</v>
      </c>
      <c r="J196" s="64"/>
      <c r="K196" s="350">
        <f>19.26</f>
        <v>19.260000000000002</v>
      </c>
      <c r="L196" s="196"/>
      <c r="M196" s="196"/>
      <c r="R196" s="249"/>
      <c r="T196" s="45"/>
      <c r="AC196" s="351"/>
    </row>
    <row r="197" spans="2:29" ht="11.25" outlineLevel="1">
      <c r="B197" s="237"/>
      <c r="C197" s="345"/>
      <c r="D197" s="345" t="s">
        <v>69</v>
      </c>
      <c r="E197" s="346" t="s">
        <v>622</v>
      </c>
      <c r="F197" s="719" t="s">
        <v>623</v>
      </c>
      <c r="G197" s="719"/>
      <c r="H197" s="719"/>
      <c r="I197" s="719"/>
      <c r="J197" s="63" t="s">
        <v>63</v>
      </c>
      <c r="K197" s="347">
        <f>SUM(K198:K198)</f>
        <v>42.53</v>
      </c>
      <c r="L197" s="726"/>
      <c r="M197" s="726"/>
      <c r="N197" s="720">
        <f>ROUND(L197*K197,2)</f>
        <v>0</v>
      </c>
      <c r="O197" s="720"/>
      <c r="P197" s="720"/>
      <c r="Q197" s="720"/>
      <c r="R197" s="238"/>
      <c r="T197" s="45"/>
      <c r="V197" s="248">
        <f>0.05</f>
        <v>0.05</v>
      </c>
      <c r="X197" s="248">
        <f>V197*K197</f>
        <v>2.1265000000000001</v>
      </c>
    </row>
    <row r="198" spans="2:29" s="248" customFormat="1" ht="11.25" outlineLevel="1">
      <c r="B198" s="247"/>
      <c r="E198" s="349" t="s">
        <v>624</v>
      </c>
      <c r="F198" s="717" t="s">
        <v>799</v>
      </c>
      <c r="G198" s="718">
        <f>4.54+25.32+12.67</f>
        <v>42.53</v>
      </c>
      <c r="H198" s="718">
        <f>4.54+25.32+12.67</f>
        <v>42.53</v>
      </c>
      <c r="I198" s="718">
        <f>4.54+25.32+12.67</f>
        <v>42.53</v>
      </c>
      <c r="J198" s="64"/>
      <c r="K198" s="350">
        <f>4.54+25.32+12.67</f>
        <v>42.53</v>
      </c>
      <c r="L198" s="196"/>
      <c r="M198" s="196"/>
      <c r="R198" s="249"/>
      <c r="T198" s="45"/>
      <c r="AC198" s="351"/>
    </row>
    <row r="199" spans="2:29" s="358" customFormat="1" ht="11.25" outlineLevel="1">
      <c r="B199" s="353"/>
      <c r="C199" s="354"/>
      <c r="D199" s="354" t="s">
        <v>62</v>
      </c>
      <c r="E199" s="355" t="s">
        <v>368</v>
      </c>
      <c r="F199" s="727" t="s">
        <v>369</v>
      </c>
      <c r="G199" s="727"/>
      <c r="H199" s="727"/>
      <c r="I199" s="727"/>
      <c r="J199" s="215" t="s">
        <v>64</v>
      </c>
      <c r="K199" s="356">
        <f>SUM(K200:K202)</f>
        <v>50.156750000000009</v>
      </c>
      <c r="L199" s="728"/>
      <c r="M199" s="728"/>
      <c r="N199" s="729">
        <f>ROUND(L199*K199,2)</f>
        <v>0</v>
      </c>
      <c r="O199" s="729"/>
      <c r="P199" s="729"/>
      <c r="Q199" s="729"/>
      <c r="R199" s="357"/>
      <c r="T199" s="216"/>
      <c r="U199" s="359"/>
      <c r="V199" s="359"/>
      <c r="W199" s="359"/>
      <c r="X199" s="359"/>
      <c r="Y199" s="359"/>
      <c r="Z199" s="359"/>
      <c r="AA199" s="360">
        <f>K199</f>
        <v>50.156750000000009</v>
      </c>
      <c r="AB199" s="359"/>
      <c r="AC199" s="361"/>
    </row>
    <row r="200" spans="2:29" s="248" customFormat="1" ht="11.25" outlineLevel="1">
      <c r="B200" s="247"/>
      <c r="E200" s="349" t="s">
        <v>604</v>
      </c>
      <c r="F200" s="717" t="s">
        <v>2496</v>
      </c>
      <c r="G200" s="718" t="e">
        <f>(22.76+27.72+40.52)*(F200-F192)+(20+15.1+30.61+4.95+2.28)*(F200-F193)</f>
        <v>#VALUE!</v>
      </c>
      <c r="H200" s="718" t="e">
        <f>(22.76+27.72+40.52)*(G200-G192)+(20+15.1+30.61+4.95+2.28)*(G200-G193)</f>
        <v>#VALUE!</v>
      </c>
      <c r="I200" s="718" t="e">
        <f>(22.76+27.72+40.52)*(H200-H192)+(20+15.1+30.61+4.95+2.28)*(H200-H193)</f>
        <v>#VALUE!</v>
      </c>
      <c r="J200" s="64">
        <v>0.65</v>
      </c>
      <c r="K200" s="350">
        <f>(22.76+27.72+40.52)*(J200-J192)+(20+15.1+30.61+4.95+2.28)*(J200-J193)</f>
        <v>65.846900000000005</v>
      </c>
      <c r="L200" s="196"/>
      <c r="M200" s="196"/>
      <c r="R200" s="249"/>
      <c r="T200" s="45"/>
      <c r="AC200" s="351"/>
    </row>
    <row r="201" spans="2:29" s="248" customFormat="1" ht="11.25" outlineLevel="1">
      <c r="B201" s="247"/>
      <c r="E201" s="349" t="s">
        <v>605</v>
      </c>
      <c r="F201" s="717" t="s">
        <v>800</v>
      </c>
      <c r="G201" s="718" t="e">
        <f>(6.86+11.21)*F201</f>
        <v>#VALUE!</v>
      </c>
      <c r="H201" s="718" t="e">
        <f>(6.86+11.21)*G201</f>
        <v>#VALUE!</v>
      </c>
      <c r="I201" s="718" t="e">
        <f>(6.86+11.21)*H201</f>
        <v>#VALUE!</v>
      </c>
      <c r="J201" s="64">
        <v>0.21</v>
      </c>
      <c r="K201" s="350">
        <f>(6.86+11.21)*J201</f>
        <v>3.7946999999999997</v>
      </c>
      <c r="L201" s="196"/>
      <c r="M201" s="196"/>
      <c r="R201" s="249"/>
      <c r="T201" s="45"/>
      <c r="AC201" s="351"/>
    </row>
    <row r="202" spans="2:29" s="333" customFormat="1" ht="11.25" outlineLevel="1">
      <c r="B202" s="362"/>
      <c r="E202" s="363" t="s">
        <v>2520</v>
      </c>
      <c r="F202" s="715" t="s">
        <v>2456</v>
      </c>
      <c r="G202" s="716">
        <f>(1.4+1.5)*2*(0.25*0.6)*12+0.35*0.45*2.3</f>
        <v>10.802249999999999</v>
      </c>
      <c r="H202" s="716">
        <f>(1.4+1.5)*2*(0.25*0.6)*12+0.35*0.45*2.3</f>
        <v>10.802249999999999</v>
      </c>
      <c r="I202" s="716">
        <f>(1.4+1.5)*2*(0.25*0.6)*12+0.35*0.45*2.3</f>
        <v>10.802249999999999</v>
      </c>
      <c r="J202" s="209">
        <v>-1</v>
      </c>
      <c r="K202" s="364">
        <f>K126*J202</f>
        <v>-19.484850000000002</v>
      </c>
      <c r="L202" s="210"/>
      <c r="M202" s="210"/>
      <c r="R202" s="365"/>
      <c r="T202" s="211"/>
      <c r="AC202" s="366"/>
    </row>
    <row r="203" spans="2:29" ht="11.25" outlineLevel="1">
      <c r="B203" s="237"/>
      <c r="C203" s="345"/>
      <c r="D203" s="345" t="s">
        <v>62</v>
      </c>
      <c r="E203" s="346" t="s">
        <v>650</v>
      </c>
      <c r="F203" s="719" t="s">
        <v>651</v>
      </c>
      <c r="G203" s="719"/>
      <c r="H203" s="719"/>
      <c r="I203" s="719"/>
      <c r="J203" s="63" t="s">
        <v>64</v>
      </c>
      <c r="K203" s="347">
        <f>SUM(K204:K204)</f>
        <v>3.1675</v>
      </c>
      <c r="L203" s="726"/>
      <c r="M203" s="726"/>
      <c r="N203" s="720">
        <f>ROUND(L203*K203,2)</f>
        <v>0</v>
      </c>
      <c r="O203" s="720"/>
      <c r="P203" s="720"/>
      <c r="Q203" s="720"/>
      <c r="R203" s="238"/>
      <c r="T203" s="45"/>
      <c r="AA203" s="348">
        <f>K203</f>
        <v>3.1675</v>
      </c>
    </row>
    <row r="204" spans="2:29" s="248" customFormat="1" ht="11.25" outlineLevel="1">
      <c r="B204" s="247"/>
      <c r="E204" s="349" t="s">
        <v>652</v>
      </c>
      <c r="F204" s="717" t="s">
        <v>801</v>
      </c>
      <c r="G204" s="718" t="e">
        <f>(12.67)*F204</f>
        <v>#VALUE!</v>
      </c>
      <c r="H204" s="718" t="e">
        <f>(12.67)*G204</f>
        <v>#VALUE!</v>
      </c>
      <c r="I204" s="718" t="e">
        <f>(12.67)*H204</f>
        <v>#VALUE!</v>
      </c>
      <c r="J204" s="64">
        <v>0.25</v>
      </c>
      <c r="K204" s="350">
        <f>(12.67)*J204</f>
        <v>3.1675</v>
      </c>
      <c r="L204" s="196"/>
      <c r="M204" s="196"/>
      <c r="R204" s="249"/>
      <c r="T204" s="45"/>
      <c r="AC204" s="351"/>
    </row>
    <row r="205" spans="2:29" ht="11.25" outlineLevel="1">
      <c r="B205" s="237"/>
      <c r="C205" s="345"/>
      <c r="D205" s="345" t="s">
        <v>62</v>
      </c>
      <c r="E205" s="346">
        <v>968062245</v>
      </c>
      <c r="F205" s="719" t="s">
        <v>359</v>
      </c>
      <c r="G205" s="719"/>
      <c r="H205" s="719"/>
      <c r="I205" s="719"/>
      <c r="J205" s="63" t="s">
        <v>63</v>
      </c>
      <c r="K205" s="347">
        <f>SUM(K206:K207)</f>
        <v>23.0106</v>
      </c>
      <c r="L205" s="726"/>
      <c r="M205" s="726"/>
      <c r="N205" s="720">
        <f>ROUND(L205*K205,2)</f>
        <v>0</v>
      </c>
      <c r="O205" s="720"/>
      <c r="P205" s="720"/>
      <c r="Q205" s="720"/>
      <c r="R205" s="238"/>
      <c r="T205" s="45"/>
      <c r="V205" s="248">
        <v>0.08</v>
      </c>
      <c r="Z205" s="248">
        <f>V205*K205</f>
        <v>1.840848</v>
      </c>
    </row>
    <row r="206" spans="2:29" s="248" customFormat="1" ht="11.25" outlineLevel="1">
      <c r="B206" s="247"/>
      <c r="E206" s="349" t="s">
        <v>356</v>
      </c>
      <c r="F206" s="717" t="s">
        <v>802</v>
      </c>
      <c r="G206" s="718">
        <f>1.1*1.6</f>
        <v>1.7600000000000002</v>
      </c>
      <c r="H206" s="718">
        <f>1.1*1.6</f>
        <v>1.7600000000000002</v>
      </c>
      <c r="I206" s="718">
        <f>1.1*1.6</f>
        <v>1.7600000000000002</v>
      </c>
      <c r="J206" s="64"/>
      <c r="K206" s="350">
        <f>1.1*1.6</f>
        <v>1.7600000000000002</v>
      </c>
      <c r="L206" s="196"/>
      <c r="M206" s="196"/>
      <c r="R206" s="249"/>
      <c r="T206" s="45"/>
      <c r="AC206" s="351"/>
    </row>
    <row r="207" spans="2:29" s="248" customFormat="1" ht="11.25" outlineLevel="1">
      <c r="B207" s="247"/>
      <c r="E207" s="349" t="s">
        <v>357</v>
      </c>
      <c r="F207" s="717" t="s">
        <v>803</v>
      </c>
      <c r="G207" s="718">
        <f>1.15*1.111*12+1.11*1.415*2+1.111*1.25*2</f>
        <v>21.250599999999999</v>
      </c>
      <c r="H207" s="718">
        <f>1.15*1.111*12+1.11*1.415*2+1.111*1.25*2</f>
        <v>21.250599999999999</v>
      </c>
      <c r="I207" s="718">
        <f>1.15*1.111*12+1.11*1.415*2+1.111*1.25*2</f>
        <v>21.250599999999999</v>
      </c>
      <c r="J207" s="64"/>
      <c r="K207" s="350">
        <f>1.15*1.111*12+1.11*1.415*2+1.111*1.25*2</f>
        <v>21.250599999999999</v>
      </c>
      <c r="L207" s="196"/>
      <c r="M207" s="196"/>
      <c r="R207" s="249"/>
      <c r="T207" s="45"/>
      <c r="AC207" s="351"/>
    </row>
    <row r="208" spans="2:29" ht="11.25" outlineLevel="1">
      <c r="B208" s="237"/>
      <c r="C208" s="345"/>
      <c r="D208" s="345" t="s">
        <v>62</v>
      </c>
      <c r="E208" s="346">
        <v>968062246</v>
      </c>
      <c r="F208" s="719" t="s">
        <v>374</v>
      </c>
      <c r="G208" s="719"/>
      <c r="H208" s="719"/>
      <c r="I208" s="719"/>
      <c r="J208" s="63" t="s">
        <v>63</v>
      </c>
      <c r="K208" s="347">
        <f>SUM(K209:K210)</f>
        <v>27.4756</v>
      </c>
      <c r="L208" s="726"/>
      <c r="M208" s="726"/>
      <c r="N208" s="720">
        <f>ROUND(L208*K208,2)</f>
        <v>0</v>
      </c>
      <c r="O208" s="720"/>
      <c r="P208" s="720"/>
      <c r="Q208" s="720"/>
      <c r="R208" s="238"/>
      <c r="T208" s="45"/>
      <c r="V208" s="248">
        <v>0.08</v>
      </c>
      <c r="Z208" s="248">
        <f>V208*K208</f>
        <v>2.198048</v>
      </c>
    </row>
    <row r="209" spans="2:29" s="248" customFormat="1" ht="11.25" outlineLevel="1">
      <c r="B209" s="247"/>
      <c r="E209" s="349" t="s">
        <v>356</v>
      </c>
      <c r="F209" s="717" t="s">
        <v>804</v>
      </c>
      <c r="G209" s="718">
        <f>1.1*2.4+1.7*1.65*2+1.6*2+1.6*2.2*2</f>
        <v>18.490000000000002</v>
      </c>
      <c r="H209" s="718">
        <f>1.1*2.4+1.7*1.65*2+1.6*2+1.6*2.2*2</f>
        <v>18.490000000000002</v>
      </c>
      <c r="I209" s="718">
        <f>1.1*2.4+1.7*1.65*2+1.6*2+1.6*2.2*2</f>
        <v>18.490000000000002</v>
      </c>
      <c r="J209" s="64"/>
      <c r="K209" s="350">
        <f>1.1*2.4+1.7*1.65*2+1.6*2+1.6*2.2*2</f>
        <v>18.490000000000002</v>
      </c>
      <c r="L209" s="196"/>
      <c r="M209" s="196"/>
      <c r="R209" s="249"/>
      <c r="T209" s="45"/>
      <c r="AC209" s="351"/>
    </row>
    <row r="210" spans="2:29" s="248" customFormat="1" ht="11.25" outlineLevel="1">
      <c r="B210" s="247"/>
      <c r="E210" s="349" t="s">
        <v>357</v>
      </c>
      <c r="F210" s="717" t="s">
        <v>805</v>
      </c>
      <c r="G210" s="718">
        <f>0.96*2.28*2+0.96*2.4*2</f>
        <v>8.985599999999998</v>
      </c>
      <c r="H210" s="718">
        <f>0.96*2.28*2+0.96*2.4*2</f>
        <v>8.985599999999998</v>
      </c>
      <c r="I210" s="718">
        <f>0.96*2.28*2+0.96*2.4*2</f>
        <v>8.985599999999998</v>
      </c>
      <c r="J210" s="64"/>
      <c r="K210" s="350">
        <f>0.96*2.28*2+0.96*2.4*2</f>
        <v>8.985599999999998</v>
      </c>
      <c r="L210" s="196"/>
      <c r="M210" s="196"/>
      <c r="R210" s="249"/>
      <c r="T210" s="45"/>
      <c r="AC210" s="351"/>
    </row>
    <row r="211" spans="2:29" s="358" customFormat="1" ht="11.25" outlineLevel="1">
      <c r="B211" s="353"/>
      <c r="C211" s="354"/>
      <c r="D211" s="354" t="s">
        <v>62</v>
      </c>
      <c r="E211" s="355">
        <v>968062247</v>
      </c>
      <c r="F211" s="727" t="s">
        <v>628</v>
      </c>
      <c r="G211" s="727"/>
      <c r="H211" s="727"/>
      <c r="I211" s="727"/>
      <c r="J211" s="215" t="s">
        <v>63</v>
      </c>
      <c r="K211" s="356">
        <f>SUM(K212:K213)</f>
        <v>12.205599999999999</v>
      </c>
      <c r="L211" s="728"/>
      <c r="M211" s="728"/>
      <c r="N211" s="729">
        <f>ROUND(L211*K211,2)</f>
        <v>0</v>
      </c>
      <c r="O211" s="729"/>
      <c r="P211" s="729"/>
      <c r="Q211" s="729"/>
      <c r="R211" s="357"/>
      <c r="T211" s="216"/>
      <c r="U211" s="359"/>
      <c r="V211" s="359">
        <v>0.08</v>
      </c>
      <c r="W211" s="359"/>
      <c r="X211" s="359"/>
      <c r="Y211" s="359"/>
      <c r="Z211" s="359">
        <f>V211*K211</f>
        <v>0.97644799999999987</v>
      </c>
      <c r="AA211" s="359"/>
      <c r="AB211" s="359"/>
      <c r="AC211" s="361"/>
    </row>
    <row r="212" spans="2:29" s="248" customFormat="1" ht="11.25" outlineLevel="1">
      <c r="B212" s="247"/>
      <c r="E212" s="349" t="s">
        <v>355</v>
      </c>
      <c r="F212" s="717" t="s">
        <v>806</v>
      </c>
      <c r="G212" s="718">
        <f t="shared" ref="G212:I215" si="6">2.58*1.92+2.96*2.45*2</f>
        <v>19.457599999999999</v>
      </c>
      <c r="H212" s="718">
        <f t="shared" si="6"/>
        <v>19.457599999999999</v>
      </c>
      <c r="I212" s="718">
        <f t="shared" si="6"/>
        <v>19.457599999999999</v>
      </c>
      <c r="J212" s="64"/>
      <c r="K212" s="350">
        <f>2.58*1.92+2.96*2.45*2</f>
        <v>19.457599999999999</v>
      </c>
      <c r="L212" s="196"/>
      <c r="M212" s="196"/>
      <c r="R212" s="249"/>
      <c r="T212" s="45"/>
      <c r="AC212" s="351"/>
    </row>
    <row r="213" spans="2:29" s="333" customFormat="1" ht="11.25" outlineLevel="1">
      <c r="B213" s="362"/>
      <c r="E213" s="363" t="s">
        <v>2520</v>
      </c>
      <c r="F213" s="715" t="s">
        <v>2456</v>
      </c>
      <c r="G213" s="716">
        <f>(1.4+1.5)*2*(0.25*0.6)*12+0.35*0.45*2.3</f>
        <v>10.802249999999999</v>
      </c>
      <c r="H213" s="716">
        <f>(1.4+1.5)*2*(0.25*0.6)*12+0.35*0.45*2.3</f>
        <v>10.802249999999999</v>
      </c>
      <c r="I213" s="716">
        <f>(1.4+1.5)*2*(0.25*0.6)*12+0.35*0.45*2.3</f>
        <v>10.802249999999999</v>
      </c>
      <c r="J213" s="209">
        <v>-1</v>
      </c>
      <c r="K213" s="364">
        <f>K128*J213</f>
        <v>-7.2520000000000007</v>
      </c>
      <c r="L213" s="210"/>
      <c r="M213" s="210"/>
      <c r="R213" s="365"/>
      <c r="T213" s="211"/>
      <c r="AC213" s="366"/>
    </row>
    <row r="214" spans="2:29" ht="11.25" outlineLevel="1">
      <c r="B214" s="237"/>
      <c r="C214" s="345"/>
      <c r="D214" s="345" t="s">
        <v>62</v>
      </c>
      <c r="E214" s="346">
        <v>974031164</v>
      </c>
      <c r="F214" s="719" t="s">
        <v>690</v>
      </c>
      <c r="G214" s="719"/>
      <c r="H214" s="719"/>
      <c r="I214" s="719"/>
      <c r="J214" s="63" t="s">
        <v>68</v>
      </c>
      <c r="K214" s="347">
        <f>SUM(K215:K215)</f>
        <v>18</v>
      </c>
      <c r="L214" s="726"/>
      <c r="M214" s="726"/>
      <c r="N214" s="720">
        <f>ROUND(L214*K214,2)</f>
        <v>0</v>
      </c>
      <c r="O214" s="720"/>
      <c r="P214" s="720"/>
      <c r="Q214" s="720"/>
      <c r="R214" s="238"/>
      <c r="T214" s="45"/>
      <c r="V214" s="248">
        <v>0.08</v>
      </c>
      <c r="Z214" s="248">
        <f>V214*K214</f>
        <v>1.44</v>
      </c>
    </row>
    <row r="215" spans="2:29" s="248" customFormat="1" ht="22.5" outlineLevel="1">
      <c r="B215" s="247"/>
      <c r="E215" s="349" t="s">
        <v>951</v>
      </c>
      <c r="F215" s="717" t="s">
        <v>952</v>
      </c>
      <c r="G215" s="718">
        <f t="shared" si="6"/>
        <v>19.457599999999999</v>
      </c>
      <c r="H215" s="718">
        <f t="shared" si="6"/>
        <v>19.457599999999999</v>
      </c>
      <c r="I215" s="718">
        <f t="shared" si="6"/>
        <v>19.457599999999999</v>
      </c>
      <c r="J215" s="64"/>
      <c r="K215" s="350">
        <f>18</f>
        <v>18</v>
      </c>
      <c r="L215" s="196"/>
      <c r="M215" s="196"/>
      <c r="R215" s="249"/>
      <c r="T215" s="45"/>
      <c r="AC215" s="351"/>
    </row>
    <row r="216" spans="2:29" s="358" customFormat="1" ht="11.25" outlineLevel="1">
      <c r="B216" s="353"/>
      <c r="C216" s="354"/>
      <c r="D216" s="354" t="s">
        <v>62</v>
      </c>
      <c r="E216" s="355" t="s">
        <v>397</v>
      </c>
      <c r="F216" s="727" t="s">
        <v>398</v>
      </c>
      <c r="G216" s="727"/>
      <c r="H216" s="727"/>
      <c r="I216" s="727"/>
      <c r="J216" s="215" t="s">
        <v>68</v>
      </c>
      <c r="K216" s="356">
        <f>SUM(K217:K219)</f>
        <v>60.16</v>
      </c>
      <c r="L216" s="728"/>
      <c r="M216" s="728"/>
      <c r="N216" s="729">
        <f>ROUND(L216*K216,2)</f>
        <v>0</v>
      </c>
      <c r="O216" s="729"/>
      <c r="P216" s="729"/>
      <c r="Q216" s="729"/>
      <c r="R216" s="357"/>
      <c r="T216" s="216"/>
      <c r="U216" s="359"/>
      <c r="V216" s="359">
        <f>0.15*0.25</f>
        <v>3.7499999999999999E-2</v>
      </c>
      <c r="W216" s="359"/>
      <c r="X216" s="359"/>
      <c r="Y216" s="359"/>
      <c r="Z216" s="359">
        <f>V216*K216</f>
        <v>2.2559999999999998</v>
      </c>
      <c r="AA216" s="359"/>
      <c r="AB216" s="359"/>
      <c r="AC216" s="361"/>
    </row>
    <row r="217" spans="2:29" s="248" customFormat="1" ht="11.25" outlineLevel="1">
      <c r="B217" s="247"/>
      <c r="E217" s="349" t="s">
        <v>82</v>
      </c>
      <c r="F217" s="717" t="s">
        <v>2031</v>
      </c>
      <c r="G217" s="718">
        <f>2*2.15+2.8*6+3.5*4+2.28*2+2.75*3+2.65*3+3.3*3</f>
        <v>65.759999999999991</v>
      </c>
      <c r="H217" s="718">
        <f>2*2.15+2.8*6+3.5*4+2.28*2+2.75*3+2.65*3+3.3*3</f>
        <v>65.759999999999991</v>
      </c>
      <c r="I217" s="718">
        <f>2*2.15+2.8*6+3.5*4+2.28*2+2.75*3+2.65*3+3.3*3</f>
        <v>65.759999999999991</v>
      </c>
      <c r="J217" s="64">
        <v>1</v>
      </c>
      <c r="K217" s="350">
        <f>2*2.15+2.8*6+3.5*4+2.28*2+2.1*2+1.9*3+2.5+3</f>
        <v>55.06</v>
      </c>
      <c r="L217" s="196"/>
      <c r="M217" s="196"/>
      <c r="R217" s="249"/>
      <c r="T217" s="45"/>
      <c r="AC217" s="351"/>
    </row>
    <row r="218" spans="2:29" s="248" customFormat="1" ht="11.25" outlineLevel="1">
      <c r="B218" s="247"/>
      <c r="E218" s="349" t="s">
        <v>83</v>
      </c>
      <c r="F218" s="717" t="s">
        <v>807</v>
      </c>
      <c r="G218" s="718">
        <f>1.85*2+1.85*2+1.3*2+3.5*4+1.3*2</f>
        <v>26.6</v>
      </c>
      <c r="H218" s="718">
        <f>1.85*2+1.85*2+1.3*2+3.5*4+1.3*2</f>
        <v>26.6</v>
      </c>
      <c r="I218" s="718">
        <f>1.85*2+1.85*2+1.3*2+3.5*4+1.3*2</f>
        <v>26.6</v>
      </c>
      <c r="J218" s="64">
        <v>1</v>
      </c>
      <c r="K218" s="350">
        <f>1.85*2+1.85*2+1.3*2+3.5*4+1.3*2</f>
        <v>26.6</v>
      </c>
      <c r="L218" s="196"/>
      <c r="M218" s="196"/>
      <c r="R218" s="249"/>
      <c r="T218" s="45"/>
      <c r="AC218" s="351"/>
    </row>
    <row r="219" spans="2:29" s="333" customFormat="1" ht="11.25" outlineLevel="1">
      <c r="B219" s="362"/>
      <c r="E219" s="363" t="s">
        <v>2520</v>
      </c>
      <c r="F219" s="715" t="s">
        <v>2456</v>
      </c>
      <c r="G219" s="716">
        <f>(1.4+1.5)*2*(0.25*0.6)*12+0.35*0.45*2.3</f>
        <v>10.802249999999999</v>
      </c>
      <c r="H219" s="716">
        <f>(1.4+1.5)*2*(0.25*0.6)*12+0.35*0.45*2.3</f>
        <v>10.802249999999999</v>
      </c>
      <c r="I219" s="716">
        <f>(1.4+1.5)*2*(0.25*0.6)*12+0.35*0.45*2.3</f>
        <v>10.802249999999999</v>
      </c>
      <c r="J219" s="209">
        <v>-1</v>
      </c>
      <c r="K219" s="364">
        <f>K130*J219</f>
        <v>-21.5</v>
      </c>
      <c r="L219" s="210"/>
      <c r="M219" s="210"/>
      <c r="R219" s="365"/>
      <c r="T219" s="211"/>
      <c r="AC219" s="366"/>
    </row>
    <row r="220" spans="2:29" ht="27" customHeight="1" outlineLevel="1">
      <c r="B220" s="237"/>
      <c r="C220" s="345"/>
      <c r="D220" s="345" t="s">
        <v>62</v>
      </c>
      <c r="E220" s="346" t="s">
        <v>630</v>
      </c>
      <c r="F220" s="719" t="s">
        <v>631</v>
      </c>
      <c r="G220" s="719"/>
      <c r="H220" s="719"/>
      <c r="I220" s="719"/>
      <c r="J220" s="63" t="s">
        <v>68</v>
      </c>
      <c r="K220" s="347">
        <f>SUM(K221:K221)</f>
        <v>21.9</v>
      </c>
      <c r="L220" s="726"/>
      <c r="M220" s="726"/>
      <c r="N220" s="720">
        <f>ROUND(L220*K220,2)</f>
        <v>0</v>
      </c>
      <c r="O220" s="720"/>
      <c r="P220" s="720"/>
      <c r="Q220" s="720"/>
      <c r="R220" s="238"/>
      <c r="T220" s="45"/>
      <c r="V220" s="248">
        <v>1</v>
      </c>
      <c r="Z220" s="248">
        <f>V220*K220</f>
        <v>21.9</v>
      </c>
    </row>
    <row r="221" spans="2:29" s="248" customFormat="1" ht="11.25" outlineLevel="1">
      <c r="B221" s="247"/>
      <c r="E221" s="349" t="s">
        <v>82</v>
      </c>
      <c r="F221" s="717" t="s">
        <v>866</v>
      </c>
      <c r="G221" s="718" t="e">
        <f t="shared" ref="G221:I222" si="7">2*F221</f>
        <v>#VALUE!</v>
      </c>
      <c r="H221" s="718" t="e">
        <f t="shared" si="7"/>
        <v>#VALUE!</v>
      </c>
      <c r="I221" s="718" t="e">
        <f t="shared" si="7"/>
        <v>#VALUE!</v>
      </c>
      <c r="J221" s="64">
        <v>3.65</v>
      </c>
      <c r="K221" s="350">
        <f>2*3*J221</f>
        <v>21.9</v>
      </c>
      <c r="L221" s="196"/>
      <c r="M221" s="196"/>
      <c r="R221" s="249"/>
      <c r="T221" s="45"/>
      <c r="AC221" s="351"/>
    </row>
    <row r="222" spans="2:29" s="248" customFormat="1" ht="11.25" outlineLevel="1">
      <c r="B222" s="247"/>
      <c r="E222" s="349" t="s">
        <v>83</v>
      </c>
      <c r="F222" s="717" t="s">
        <v>808</v>
      </c>
      <c r="G222" s="718" t="e">
        <f t="shared" si="7"/>
        <v>#VALUE!</v>
      </c>
      <c r="H222" s="718" t="e">
        <f t="shared" si="7"/>
        <v>#VALUE!</v>
      </c>
      <c r="I222" s="718" t="e">
        <f t="shared" si="7"/>
        <v>#VALUE!</v>
      </c>
      <c r="J222" s="64">
        <v>3.38</v>
      </c>
      <c r="K222" s="350">
        <f>2*J222</f>
        <v>6.76</v>
      </c>
      <c r="L222" s="196"/>
      <c r="M222" s="196"/>
      <c r="R222" s="249"/>
      <c r="T222" s="45"/>
      <c r="AC222" s="351"/>
    </row>
    <row r="223" spans="2:29" s="358" customFormat="1" ht="27" customHeight="1" outlineLevel="1">
      <c r="B223" s="353"/>
      <c r="C223" s="354"/>
      <c r="D223" s="354" t="s">
        <v>62</v>
      </c>
      <c r="E223" s="355">
        <v>978011161</v>
      </c>
      <c r="F223" s="727" t="s">
        <v>632</v>
      </c>
      <c r="G223" s="727"/>
      <c r="H223" s="727"/>
      <c r="I223" s="727"/>
      <c r="J223" s="215" t="s">
        <v>63</v>
      </c>
      <c r="K223" s="356">
        <f>SUM(K224:K227)</f>
        <v>390.1699999999999</v>
      </c>
      <c r="L223" s="728"/>
      <c r="M223" s="728"/>
      <c r="N223" s="729">
        <f>ROUND(L223*K223,2)</f>
        <v>0</v>
      </c>
      <c r="O223" s="729"/>
      <c r="P223" s="729"/>
      <c r="Q223" s="729"/>
      <c r="R223" s="357"/>
      <c r="T223" s="216"/>
      <c r="U223" s="359"/>
      <c r="V223" s="359">
        <v>2.5000000000000001E-2</v>
      </c>
      <c r="W223" s="359"/>
      <c r="X223" s="359"/>
      <c r="Y223" s="359"/>
      <c r="Z223" s="359"/>
      <c r="AA223" s="359">
        <f>V223*K223</f>
        <v>9.754249999999999</v>
      </c>
      <c r="AB223" s="359"/>
      <c r="AC223" s="361"/>
    </row>
    <row r="224" spans="2:29" s="248" customFormat="1" ht="11.25" outlineLevel="1">
      <c r="B224" s="247"/>
      <c r="E224" s="349" t="s">
        <v>633</v>
      </c>
      <c r="F224" s="717" t="s">
        <v>809</v>
      </c>
      <c r="G224" s="718">
        <f>80.02-14.25+102.21+30.61+62.21-6.91</f>
        <v>253.88999999999996</v>
      </c>
      <c r="H224" s="718">
        <f>80.02-14.25+102.21+30.61+62.21-6.91</f>
        <v>253.88999999999996</v>
      </c>
      <c r="I224" s="718">
        <f>80.02-14.25+102.21+30.61+62.21-6.91</f>
        <v>253.88999999999996</v>
      </c>
      <c r="J224" s="64"/>
      <c r="K224" s="350">
        <f>80.02-14.25+102.21+30.61+62.21-6.91</f>
        <v>253.88999999999996</v>
      </c>
      <c r="L224" s="196"/>
      <c r="M224" s="196"/>
      <c r="R224" s="249"/>
      <c r="T224" s="45"/>
      <c r="AC224" s="351"/>
    </row>
    <row r="225" spans="2:29" s="248" customFormat="1" ht="11.25" outlineLevel="1">
      <c r="B225" s="247"/>
      <c r="E225" s="349" t="s">
        <v>634</v>
      </c>
      <c r="F225" s="717" t="s">
        <v>810</v>
      </c>
      <c r="G225" s="718">
        <f>43.92+156.64+80.64</f>
        <v>281.2</v>
      </c>
      <c r="H225" s="718">
        <f>43.92+156.64+80.64</f>
        <v>281.2</v>
      </c>
      <c r="I225" s="718">
        <f>43.92+156.64+80.64</f>
        <v>281.2</v>
      </c>
      <c r="J225" s="64"/>
      <c r="K225" s="350">
        <f>43.92+156.64+80.64</f>
        <v>281.2</v>
      </c>
      <c r="L225" s="196"/>
      <c r="M225" s="196"/>
      <c r="R225" s="249"/>
      <c r="T225" s="45"/>
      <c r="AC225" s="351"/>
    </row>
    <row r="226" spans="2:29" s="248" customFormat="1" ht="11.25" outlineLevel="1">
      <c r="B226" s="247"/>
      <c r="E226" s="349" t="s">
        <v>635</v>
      </c>
      <c r="F226" s="717" t="s">
        <v>811</v>
      </c>
      <c r="G226" s="718">
        <f>9.9</f>
        <v>9.9</v>
      </c>
      <c r="H226" s="718">
        <f>9.9</f>
        <v>9.9</v>
      </c>
      <c r="I226" s="718">
        <f>9.9</f>
        <v>9.9</v>
      </c>
      <c r="J226" s="64"/>
      <c r="K226" s="350">
        <f>9.9</f>
        <v>9.9</v>
      </c>
      <c r="L226" s="196"/>
      <c r="M226" s="196"/>
      <c r="R226" s="249"/>
      <c r="T226" s="45"/>
      <c r="AC226" s="351"/>
    </row>
    <row r="227" spans="2:29" s="333" customFormat="1" ht="11.25" outlineLevel="1">
      <c r="B227" s="362"/>
      <c r="E227" s="363" t="s">
        <v>2520</v>
      </c>
      <c r="F227" s="715" t="s">
        <v>2456</v>
      </c>
      <c r="G227" s="716">
        <f>(1.4+1.5)*2*(0.25*0.6)*12+0.35*0.45*2.3</f>
        <v>10.802249999999999</v>
      </c>
      <c r="H227" s="716">
        <f>(1.4+1.5)*2*(0.25*0.6)*12+0.35*0.45*2.3</f>
        <v>10.802249999999999</v>
      </c>
      <c r="I227" s="716">
        <f>(1.4+1.5)*2*(0.25*0.6)*12+0.35*0.45*2.3</f>
        <v>10.802249999999999</v>
      </c>
      <c r="J227" s="209">
        <v>-1</v>
      </c>
      <c r="K227" s="364">
        <f>K133*J227</f>
        <v>-154.82</v>
      </c>
      <c r="L227" s="210"/>
      <c r="M227" s="210"/>
      <c r="R227" s="365"/>
      <c r="T227" s="211"/>
      <c r="AC227" s="366"/>
    </row>
    <row r="228" spans="2:29" s="358" customFormat="1" ht="27" customHeight="1" outlineLevel="1">
      <c r="B228" s="353"/>
      <c r="C228" s="354"/>
      <c r="D228" s="354" t="s">
        <v>62</v>
      </c>
      <c r="E228" s="355">
        <v>978013161</v>
      </c>
      <c r="F228" s="727" t="s">
        <v>636</v>
      </c>
      <c r="G228" s="727"/>
      <c r="H228" s="727"/>
      <c r="I228" s="727"/>
      <c r="J228" s="215" t="s">
        <v>63</v>
      </c>
      <c r="K228" s="356">
        <f>SUM(K229:K232)</f>
        <v>1006.6260000000001</v>
      </c>
      <c r="L228" s="728"/>
      <c r="M228" s="728"/>
      <c r="N228" s="729">
        <f>ROUND(L228*K228,2)</f>
        <v>0</v>
      </c>
      <c r="O228" s="729"/>
      <c r="P228" s="729"/>
      <c r="Q228" s="729"/>
      <c r="R228" s="357"/>
      <c r="T228" s="216"/>
      <c r="U228" s="359"/>
      <c r="V228" s="359">
        <f>2.3*0.015</f>
        <v>3.4499999999999996E-2</v>
      </c>
      <c r="W228" s="359"/>
      <c r="X228" s="359"/>
      <c r="Y228" s="359"/>
      <c r="Z228" s="359"/>
      <c r="AA228" s="359">
        <f>V228*K228</f>
        <v>34.728597000000001</v>
      </c>
      <c r="AB228" s="359"/>
      <c r="AC228" s="361"/>
    </row>
    <row r="229" spans="2:29" s="248" customFormat="1" ht="30" customHeight="1" outlineLevel="1">
      <c r="B229" s="247"/>
      <c r="E229" s="349" t="s">
        <v>637</v>
      </c>
      <c r="F229" s="717" t="s">
        <v>812</v>
      </c>
      <c r="G229" s="718">
        <f>(6.66+3.62)*2*3.8+(4.57+6.66)*2*3.8+(4.9+3.7+1.3)*2*3.77+(5.9+3.7+4.7+5.9+6.1+6.6+6.3+3.2+5.6+5.4+4+2.5)*2*3</f>
        <v>597.52200000000005</v>
      </c>
      <c r="H229" s="718">
        <f>(6.66+3.62)*2*3.8+(4.57+6.66)*2*3.8+(4.9+3.7+1.3)*2*3.77+(5.9+3.7+4.7+5.9+6.1+6.6+6.3+3.2+5.6+5.4+4+2.5)*2*3</f>
        <v>597.52200000000005</v>
      </c>
      <c r="I229" s="718">
        <f>(6.66+3.62)*2*3.8+(4.57+6.66)*2*3.8+(4.9+3.7+1.3)*2*3.77+(5.9+3.7+4.7+5.9+6.1+6.6+6.3+3.2+5.6+5.4+4+2.5)*2*3</f>
        <v>597.52200000000005</v>
      </c>
      <c r="J229" s="64"/>
      <c r="K229" s="350">
        <f>(6.66+3.62)*2*3.8+(4.57+6.66)*2*3.8+(4.9+3.7+1.3)*2*3.77+(5.9+3.7+4.7+5.9+6.1+6.6+6.3+3.2+5.6+5.4+4+2.5)*2*3</f>
        <v>597.52200000000005</v>
      </c>
      <c r="L229" s="196"/>
      <c r="M229" s="196"/>
      <c r="R229" s="249"/>
      <c r="T229" s="45"/>
      <c r="AC229" s="351"/>
    </row>
    <row r="230" spans="2:29" s="248" customFormat="1" ht="37.5" customHeight="1" outlineLevel="1">
      <c r="B230" s="247"/>
      <c r="E230" s="349" t="s">
        <v>638</v>
      </c>
      <c r="F230" s="717" t="s">
        <v>813</v>
      </c>
      <c r="G230" s="718">
        <f>(5.1+5.6+2.95+5.8+5.8+3.8+11.3+1.1)*2*2.76+(4.5+5.1+5+5.2+6.9+6.3+6+3.5+5.9+5.7+3.6+4.1+7.8+1.1)*2*3.38+(3.1+4.2)*2*3.26</f>
        <v>754.33199999999999</v>
      </c>
      <c r="H230" s="718">
        <f>(5.1+5.6+2.95+5.8+5.8+3.8+11.3+1.1)*2*2.76+(4.5+5.1+5+5.2+6.9+6.3+6+3.5+5.9+5.7+3.6+4.1+7.8+1.1)*2*3.38+(3.1+4.2)*2*3.26</f>
        <v>754.33199999999999</v>
      </c>
      <c r="I230" s="718">
        <f>(5.1+5.6+2.95+5.8+5.8+3.8+11.3+1.1)*2*2.76+(4.5+5.1+5+5.2+6.9+6.3+6+3.5+5.9+5.7+3.6+4.1+7.8+1.1)*2*3.38+(3.1+4.2)*2*3.26</f>
        <v>754.33199999999999</v>
      </c>
      <c r="J230" s="64"/>
      <c r="K230" s="350">
        <f>(5.1+5.6+2.95+5.8+5.8+3.8+11.3+1.1)*2*2.76+(4.5+5.1+5+5.2+6.9+6.3+6+3.5+5.9+5.7+3.6+4.1+7.8+1.1)*2*3.38+(3.1+4.2)*2*3.26</f>
        <v>754.33199999999999</v>
      </c>
      <c r="L230" s="196"/>
      <c r="M230" s="196"/>
      <c r="R230" s="249"/>
      <c r="T230" s="45"/>
      <c r="AC230" s="351"/>
    </row>
    <row r="231" spans="2:29" s="248" customFormat="1" ht="11.25" outlineLevel="1">
      <c r="B231" s="247"/>
      <c r="E231" s="349" t="s">
        <v>639</v>
      </c>
      <c r="F231" s="717" t="s">
        <v>814</v>
      </c>
      <c r="G231" s="718">
        <f>(4.2+2.6)*2*2.2</f>
        <v>29.920000000000005</v>
      </c>
      <c r="H231" s="718">
        <f>(4.2+2.6)*2*2.2</f>
        <v>29.920000000000005</v>
      </c>
      <c r="I231" s="718">
        <f>(4.2+2.6)*2*2.2</f>
        <v>29.920000000000005</v>
      </c>
      <c r="J231" s="64"/>
      <c r="K231" s="350">
        <f>(4.2+2.6)*2*2.2</f>
        <v>29.920000000000005</v>
      </c>
      <c r="L231" s="196"/>
      <c r="M231" s="196"/>
      <c r="R231" s="249"/>
      <c r="T231" s="45"/>
      <c r="AC231" s="351"/>
    </row>
    <row r="232" spans="2:29" s="333" customFormat="1" ht="11.25" outlineLevel="1">
      <c r="B232" s="362"/>
      <c r="E232" s="363" t="s">
        <v>2520</v>
      </c>
      <c r="F232" s="715" t="s">
        <v>2456</v>
      </c>
      <c r="G232" s="716">
        <f>(1.4+1.5)*2*(0.25*0.6)*12+0.35*0.45*2.3</f>
        <v>10.802249999999999</v>
      </c>
      <c r="H232" s="716">
        <f>(1.4+1.5)*2*(0.25*0.6)*12+0.35*0.45*2.3</f>
        <v>10.802249999999999</v>
      </c>
      <c r="I232" s="716">
        <f>(1.4+1.5)*2*(0.25*0.6)*12+0.35*0.45*2.3</f>
        <v>10.802249999999999</v>
      </c>
      <c r="J232" s="209">
        <v>-1</v>
      </c>
      <c r="K232" s="364">
        <f>K136*J232</f>
        <v>-375.14800000000002</v>
      </c>
      <c r="L232" s="210"/>
      <c r="M232" s="210"/>
      <c r="R232" s="365"/>
      <c r="T232" s="211"/>
      <c r="AC232" s="366"/>
    </row>
    <row r="233" spans="2:29" ht="11.25" outlineLevel="1">
      <c r="B233" s="237"/>
      <c r="C233" s="345"/>
      <c r="D233" s="345" t="s">
        <v>62</v>
      </c>
      <c r="E233" s="346">
        <v>978059541</v>
      </c>
      <c r="F233" s="719" t="s">
        <v>352</v>
      </c>
      <c r="G233" s="719"/>
      <c r="H233" s="719"/>
      <c r="I233" s="719"/>
      <c r="J233" s="63" t="s">
        <v>63</v>
      </c>
      <c r="K233" s="347">
        <f>SUM(K234:K234)</f>
        <v>25.400000000000002</v>
      </c>
      <c r="L233" s="726"/>
      <c r="M233" s="726"/>
      <c r="N233" s="720">
        <f>ROUND(L233*K233,2)</f>
        <v>0</v>
      </c>
      <c r="O233" s="720"/>
      <c r="P233" s="720"/>
      <c r="Q233" s="720"/>
      <c r="R233" s="238"/>
      <c r="T233" s="45"/>
      <c r="V233" s="248">
        <f>0.01</f>
        <v>0.01</v>
      </c>
      <c r="AA233" s="248">
        <f>V233*K233</f>
        <v>0.254</v>
      </c>
    </row>
    <row r="234" spans="2:29" s="248" customFormat="1" ht="11.25" outlineLevel="1">
      <c r="B234" s="247"/>
      <c r="E234" s="349" t="s">
        <v>351</v>
      </c>
      <c r="F234" s="717" t="s">
        <v>815</v>
      </c>
      <c r="G234" s="718">
        <f>(2.1+1.4+1.1+1.1+1.5+1.3+1.4+1.3+1.5)*2</f>
        <v>25.400000000000002</v>
      </c>
      <c r="H234" s="718">
        <f>(2.1+1.4+1.1+1.1+1.5+1.3+1.4+1.3+1.5)*2</f>
        <v>25.400000000000002</v>
      </c>
      <c r="I234" s="718">
        <f>(2.1+1.4+1.1+1.1+1.5+1.3+1.4+1.3+1.5)*2</f>
        <v>25.400000000000002</v>
      </c>
      <c r="J234" s="64"/>
      <c r="K234" s="350">
        <f>(2.1+1.4+1.1+1.1+1.5+1.3+1.4+1.3+1.5)*2</f>
        <v>25.400000000000002</v>
      </c>
      <c r="L234" s="196"/>
      <c r="M234" s="196"/>
      <c r="R234" s="249"/>
      <c r="T234" s="45"/>
      <c r="AC234" s="351"/>
    </row>
    <row r="235" spans="2:29" ht="11.25" outlineLevel="1">
      <c r="B235" s="237"/>
      <c r="C235" s="345"/>
      <c r="D235" s="345" t="s">
        <v>62</v>
      </c>
      <c r="E235" s="346">
        <v>981013313</v>
      </c>
      <c r="F235" s="719" t="s">
        <v>598</v>
      </c>
      <c r="G235" s="719"/>
      <c r="H235" s="719"/>
      <c r="I235" s="719"/>
      <c r="J235" s="63" t="s">
        <v>348</v>
      </c>
      <c r="K235" s="347">
        <f>SUM(K236:K237)</f>
        <v>575.25000000000011</v>
      </c>
      <c r="L235" s="726"/>
      <c r="M235" s="726"/>
      <c r="N235" s="720">
        <f>ROUND(L235*K235,2)</f>
        <v>0</v>
      </c>
      <c r="O235" s="720"/>
      <c r="P235" s="720"/>
      <c r="Q235" s="720"/>
      <c r="R235" s="238"/>
      <c r="T235" s="45"/>
      <c r="W235" s="248">
        <f>K235*0.1*0.2*2.4</f>
        <v>27.612000000000005</v>
      </c>
      <c r="X235" s="248">
        <f>K235*0.1*0.6*2.1</f>
        <v>72.481500000000025</v>
      </c>
      <c r="Z235" s="248">
        <f>K235*0.1*0.1*0.8</f>
        <v>4.6020000000000012</v>
      </c>
      <c r="AA235" s="248">
        <f>K235*0.1*0.1*2</f>
        <v>11.505000000000003</v>
      </c>
    </row>
    <row r="236" spans="2:29" s="248" customFormat="1" ht="11.25" outlineLevel="1">
      <c r="B236" s="247"/>
      <c r="E236" s="349" t="s">
        <v>599</v>
      </c>
      <c r="F236" s="717" t="s">
        <v>816</v>
      </c>
      <c r="G236" s="718">
        <f>142.9*3.9</f>
        <v>557.31000000000006</v>
      </c>
      <c r="H236" s="718">
        <f>142.9*3.9</f>
        <v>557.31000000000006</v>
      </c>
      <c r="I236" s="718">
        <f>142.9*3.9</f>
        <v>557.31000000000006</v>
      </c>
      <c r="J236" s="64"/>
      <c r="K236" s="350">
        <f>142.9*3.9</f>
        <v>557.31000000000006</v>
      </c>
      <c r="L236" s="196"/>
      <c r="M236" s="196"/>
      <c r="R236" s="249"/>
      <c r="T236" s="45"/>
      <c r="AC236" s="351"/>
    </row>
    <row r="237" spans="2:29" s="248" customFormat="1" ht="11.25" outlineLevel="1">
      <c r="B237" s="247"/>
      <c r="E237" s="349" t="s">
        <v>600</v>
      </c>
      <c r="F237" s="717" t="s">
        <v>817</v>
      </c>
      <c r="G237" s="718">
        <f>(2.7*1.8+2.1*1.4)*2.3</f>
        <v>17.940000000000001</v>
      </c>
      <c r="H237" s="718">
        <f>(2.7*1.8+2.1*1.4)*2.3</f>
        <v>17.940000000000001</v>
      </c>
      <c r="I237" s="718">
        <f>(2.7*1.8+2.1*1.4)*2.3</f>
        <v>17.940000000000001</v>
      </c>
      <c r="J237" s="64"/>
      <c r="K237" s="350">
        <f>(2.7*1.8+2.1*1.4)*2.3</f>
        <v>17.940000000000001</v>
      </c>
      <c r="L237" s="196"/>
      <c r="M237" s="196"/>
      <c r="R237" s="249"/>
      <c r="T237" s="45"/>
      <c r="AC237" s="351"/>
    </row>
    <row r="238" spans="2:29" ht="27" customHeight="1" outlineLevel="1">
      <c r="B238" s="237"/>
      <c r="C238" s="345"/>
      <c r="D238" s="345" t="s">
        <v>62</v>
      </c>
      <c r="E238" s="346">
        <v>713151813</v>
      </c>
      <c r="F238" s="719" t="s">
        <v>664</v>
      </c>
      <c r="G238" s="719"/>
      <c r="H238" s="719"/>
      <c r="I238" s="719"/>
      <c r="J238" s="63" t="s">
        <v>63</v>
      </c>
      <c r="K238" s="347">
        <f>SUM(K239:K242)</f>
        <v>514.83000000000004</v>
      </c>
      <c r="L238" s="726"/>
      <c r="M238" s="726"/>
      <c r="N238" s="720">
        <f>ROUND(L238*K238,2)</f>
        <v>0</v>
      </c>
      <c r="O238" s="720"/>
      <c r="P238" s="720"/>
      <c r="Q238" s="720"/>
      <c r="R238" s="238"/>
      <c r="T238" s="45"/>
    </row>
    <row r="239" spans="2:29" s="248" customFormat="1" ht="11.25" customHeight="1" outlineLevel="1">
      <c r="B239" s="247"/>
      <c r="E239" s="349" t="s">
        <v>1132</v>
      </c>
      <c r="F239" s="717" t="s">
        <v>110</v>
      </c>
      <c r="G239" s="718"/>
      <c r="H239" s="718"/>
      <c r="I239" s="718"/>
      <c r="J239" s="64"/>
      <c r="K239" s="350">
        <f>6.5*2*(18.7+12.4)/2</f>
        <v>202.15</v>
      </c>
      <c r="L239" s="196"/>
      <c r="M239" s="196"/>
      <c r="R239" s="249"/>
      <c r="T239" s="45"/>
      <c r="V239" s="351"/>
    </row>
    <row r="240" spans="2:29" s="248" customFormat="1" ht="11.25" customHeight="1" outlineLevel="1">
      <c r="B240" s="247"/>
      <c r="E240" s="349" t="s">
        <v>1135</v>
      </c>
      <c r="F240" s="717" t="s">
        <v>110</v>
      </c>
      <c r="G240" s="718"/>
      <c r="H240" s="718"/>
      <c r="I240" s="718"/>
      <c r="J240" s="64"/>
      <c r="K240" s="350">
        <f>2.3*(12.4+3)</f>
        <v>35.419999999999995</v>
      </c>
      <c r="L240" s="196"/>
      <c r="M240" s="196"/>
      <c r="R240" s="249"/>
      <c r="T240" s="45"/>
      <c r="V240" s="351"/>
    </row>
    <row r="241" spans="2:29" s="248" customFormat="1" ht="11.25" outlineLevel="1">
      <c r="B241" s="247"/>
      <c r="E241" s="349" t="s">
        <v>1133</v>
      </c>
      <c r="F241" s="717" t="s">
        <v>110</v>
      </c>
      <c r="G241" s="717"/>
      <c r="H241" s="717"/>
      <c r="I241" s="717"/>
      <c r="J241" s="64"/>
      <c r="K241" s="350">
        <f>4.2*2*(23.6+32.3)/2</f>
        <v>234.78</v>
      </c>
      <c r="L241" s="196"/>
      <c r="M241" s="196"/>
      <c r="R241" s="249"/>
      <c r="T241" s="45"/>
      <c r="V241" s="351"/>
    </row>
    <row r="242" spans="2:29" s="248" customFormat="1" ht="11.25" customHeight="1" outlineLevel="1">
      <c r="B242" s="247"/>
      <c r="E242" s="349" t="s">
        <v>1137</v>
      </c>
      <c r="F242" s="717" t="s">
        <v>110</v>
      </c>
      <c r="G242" s="718"/>
      <c r="H242" s="718"/>
      <c r="I242" s="718"/>
      <c r="J242" s="64"/>
      <c r="K242" s="350">
        <f>1.8*(23.6)</f>
        <v>42.480000000000004</v>
      </c>
      <c r="L242" s="196"/>
      <c r="M242" s="196"/>
      <c r="R242" s="249"/>
      <c r="T242" s="45"/>
      <c r="V242" s="351"/>
    </row>
    <row r="243" spans="2:29" ht="11.25" outlineLevel="1">
      <c r="B243" s="237"/>
      <c r="C243" s="345"/>
      <c r="D243" s="345" t="s">
        <v>62</v>
      </c>
      <c r="E243" s="346">
        <v>725110814</v>
      </c>
      <c r="F243" s="719" t="s">
        <v>363</v>
      </c>
      <c r="G243" s="719"/>
      <c r="H243" s="719"/>
      <c r="I243" s="719"/>
      <c r="J243" s="63" t="s">
        <v>67</v>
      </c>
      <c r="K243" s="347">
        <f>SUM(K244:K244)</f>
        <v>2</v>
      </c>
      <c r="L243" s="726"/>
      <c r="M243" s="726"/>
      <c r="N243" s="720">
        <f>ROUND(L243*K243,2)</f>
        <v>0</v>
      </c>
      <c r="O243" s="720"/>
      <c r="P243" s="720"/>
      <c r="Q243" s="720"/>
      <c r="R243" s="238"/>
      <c r="T243" s="45"/>
    </row>
    <row r="244" spans="2:29" s="248" customFormat="1" ht="11.25" outlineLevel="1">
      <c r="B244" s="247"/>
      <c r="E244" s="349" t="s">
        <v>82</v>
      </c>
      <c r="F244" s="717"/>
      <c r="G244" s="718"/>
      <c r="H244" s="718"/>
      <c r="I244" s="718"/>
      <c r="J244" s="64"/>
      <c r="K244" s="350">
        <v>2</v>
      </c>
      <c r="L244" s="196"/>
      <c r="M244" s="196"/>
      <c r="R244" s="249"/>
      <c r="T244" s="45"/>
      <c r="AC244" s="351"/>
    </row>
    <row r="245" spans="2:29" ht="11.25" outlineLevel="1">
      <c r="B245" s="237"/>
      <c r="C245" s="345"/>
      <c r="D245" s="345" t="s">
        <v>62</v>
      </c>
      <c r="E245" s="346">
        <v>725122817</v>
      </c>
      <c r="F245" s="719" t="s">
        <v>649</v>
      </c>
      <c r="G245" s="719"/>
      <c r="H245" s="719"/>
      <c r="I245" s="719"/>
      <c r="J245" s="63" t="s">
        <v>67</v>
      </c>
      <c r="K245" s="347">
        <f>SUM(K246:K246)</f>
        <v>2</v>
      </c>
      <c r="L245" s="726"/>
      <c r="M245" s="726"/>
      <c r="N245" s="720">
        <f>ROUND(L245*K245,2)</f>
        <v>0</v>
      </c>
      <c r="O245" s="720"/>
      <c r="P245" s="720"/>
      <c r="Q245" s="720"/>
      <c r="R245" s="238"/>
      <c r="T245" s="45"/>
    </row>
    <row r="246" spans="2:29" s="248" customFormat="1" ht="11.25" outlineLevel="1">
      <c r="B246" s="247"/>
      <c r="E246" s="349" t="s">
        <v>82</v>
      </c>
      <c r="F246" s="717"/>
      <c r="G246" s="718"/>
      <c r="H246" s="718"/>
      <c r="I246" s="718"/>
      <c r="J246" s="64"/>
      <c r="K246" s="350">
        <v>2</v>
      </c>
      <c r="L246" s="196"/>
      <c r="M246" s="196"/>
      <c r="R246" s="249"/>
      <c r="T246" s="45"/>
      <c r="AC246" s="351"/>
    </row>
    <row r="247" spans="2:29" ht="11.25" outlineLevel="1">
      <c r="B247" s="237"/>
      <c r="C247" s="345"/>
      <c r="D247" s="345" t="s">
        <v>62</v>
      </c>
      <c r="E247" s="346">
        <v>725210821</v>
      </c>
      <c r="F247" s="719" t="s">
        <v>364</v>
      </c>
      <c r="G247" s="719"/>
      <c r="H247" s="719"/>
      <c r="I247" s="719"/>
      <c r="J247" s="63" t="s">
        <v>67</v>
      </c>
      <c r="K247" s="347">
        <f>SUM(K248:K248)</f>
        <v>2</v>
      </c>
      <c r="L247" s="726"/>
      <c r="M247" s="726"/>
      <c r="N247" s="720">
        <f>ROUND(L247*K247,2)</f>
        <v>0</v>
      </c>
      <c r="O247" s="720"/>
      <c r="P247" s="720"/>
      <c r="Q247" s="720"/>
      <c r="R247" s="238"/>
      <c r="T247" s="45"/>
    </row>
    <row r="248" spans="2:29" s="248" customFormat="1" ht="11.25" outlineLevel="1">
      <c r="B248" s="247"/>
      <c r="E248" s="349" t="s">
        <v>82</v>
      </c>
      <c r="F248" s="717"/>
      <c r="G248" s="718"/>
      <c r="H248" s="718"/>
      <c r="I248" s="718"/>
      <c r="J248" s="64"/>
      <c r="K248" s="350">
        <v>2</v>
      </c>
      <c r="L248" s="196"/>
      <c r="M248" s="196"/>
      <c r="R248" s="249"/>
      <c r="T248" s="45"/>
      <c r="AC248" s="351"/>
    </row>
    <row r="249" spans="2:29" ht="11.25" outlineLevel="1">
      <c r="B249" s="237"/>
      <c r="C249" s="345"/>
      <c r="D249" s="345" t="s">
        <v>62</v>
      </c>
      <c r="E249" s="346">
        <v>725820801</v>
      </c>
      <c r="F249" s="719" t="s">
        <v>365</v>
      </c>
      <c r="G249" s="719"/>
      <c r="H249" s="719"/>
      <c r="I249" s="719"/>
      <c r="J249" s="63" t="s">
        <v>67</v>
      </c>
      <c r="K249" s="347">
        <f>SUM(K250:K250)</f>
        <v>2</v>
      </c>
      <c r="L249" s="726"/>
      <c r="M249" s="726"/>
      <c r="N249" s="720">
        <f>ROUND(L249*K249,2)</f>
        <v>0</v>
      </c>
      <c r="O249" s="720"/>
      <c r="P249" s="720"/>
      <c r="Q249" s="720"/>
      <c r="R249" s="238"/>
      <c r="T249" s="45"/>
    </row>
    <row r="250" spans="2:29" s="248" customFormat="1" ht="11.25" outlineLevel="1">
      <c r="B250" s="247"/>
      <c r="E250" s="349" t="s">
        <v>82</v>
      </c>
      <c r="F250" s="717"/>
      <c r="G250" s="718"/>
      <c r="H250" s="718"/>
      <c r="I250" s="718"/>
      <c r="J250" s="64"/>
      <c r="K250" s="350">
        <f>K248</f>
        <v>2</v>
      </c>
      <c r="L250" s="196"/>
      <c r="M250" s="196"/>
      <c r="R250" s="249"/>
      <c r="T250" s="45"/>
      <c r="AC250" s="351"/>
    </row>
    <row r="251" spans="2:29" ht="11.25" outlineLevel="1">
      <c r="B251" s="237"/>
      <c r="C251" s="345"/>
      <c r="D251" s="345" t="s">
        <v>62</v>
      </c>
      <c r="E251" s="346">
        <v>762331812</v>
      </c>
      <c r="F251" s="719" t="s">
        <v>658</v>
      </c>
      <c r="G251" s="719"/>
      <c r="H251" s="719"/>
      <c r="I251" s="719"/>
      <c r="J251" s="63" t="s">
        <v>68</v>
      </c>
      <c r="K251" s="347">
        <f>SUM(K252:K253)</f>
        <v>6.2</v>
      </c>
      <c r="L251" s="726"/>
      <c r="M251" s="726"/>
      <c r="N251" s="720">
        <f>ROUND(L251*K251,2)</f>
        <v>0</v>
      </c>
      <c r="O251" s="720"/>
      <c r="P251" s="720"/>
      <c r="Q251" s="720"/>
      <c r="R251" s="238"/>
      <c r="T251" s="45"/>
      <c r="Z251" s="248">
        <f>J252*K252+J253*K253</f>
        <v>0.11152000000000001</v>
      </c>
    </row>
    <row r="252" spans="2:29" s="248" customFormat="1" ht="11.25" outlineLevel="1">
      <c r="B252" s="247"/>
      <c r="E252" s="349" t="s">
        <v>656</v>
      </c>
      <c r="F252" s="717" t="s">
        <v>659</v>
      </c>
      <c r="G252" s="718"/>
      <c r="H252" s="718"/>
      <c r="I252" s="718"/>
      <c r="J252" s="64">
        <f>0.16*0.1</f>
        <v>1.6E-2</v>
      </c>
      <c r="K252" s="350">
        <f>4</f>
        <v>4</v>
      </c>
      <c r="L252" s="196"/>
      <c r="M252" s="196"/>
      <c r="R252" s="249"/>
      <c r="T252" s="45"/>
      <c r="AC252" s="351"/>
    </row>
    <row r="253" spans="2:29" s="248" customFormat="1" ht="11.25" outlineLevel="1">
      <c r="B253" s="247"/>
      <c r="E253" s="349" t="s">
        <v>656</v>
      </c>
      <c r="F253" s="717" t="s">
        <v>660</v>
      </c>
      <c r="G253" s="718"/>
      <c r="H253" s="718"/>
      <c r="I253" s="718"/>
      <c r="J253" s="64">
        <f>0.18*0.12</f>
        <v>2.1599999999999998E-2</v>
      </c>
      <c r="K253" s="350">
        <f>2.2</f>
        <v>2.2000000000000002</v>
      </c>
      <c r="L253" s="196"/>
      <c r="M253" s="196"/>
      <c r="R253" s="249"/>
      <c r="T253" s="45"/>
      <c r="AC253" s="351"/>
    </row>
    <row r="254" spans="2:29" ht="11.25" outlineLevel="1">
      <c r="B254" s="237"/>
      <c r="C254" s="345"/>
      <c r="D254" s="345" t="s">
        <v>62</v>
      </c>
      <c r="E254" s="346">
        <v>762331814</v>
      </c>
      <c r="F254" s="719" t="s">
        <v>663</v>
      </c>
      <c r="G254" s="719"/>
      <c r="H254" s="719"/>
      <c r="I254" s="719"/>
      <c r="J254" s="63" t="s">
        <v>68</v>
      </c>
      <c r="K254" s="347">
        <f>SUM(K255:K255)</f>
        <v>42</v>
      </c>
      <c r="L254" s="726"/>
      <c r="M254" s="726"/>
      <c r="N254" s="720">
        <f>ROUND(L254*K254,2)</f>
        <v>0</v>
      </c>
      <c r="O254" s="720"/>
      <c r="P254" s="720"/>
      <c r="Q254" s="720"/>
      <c r="R254" s="238"/>
      <c r="T254" s="45"/>
      <c r="Z254" s="248">
        <f>K255*J255</f>
        <v>1.3608</v>
      </c>
    </row>
    <row r="255" spans="2:29" s="248" customFormat="1" ht="11.25" outlineLevel="1">
      <c r="B255" s="247"/>
      <c r="E255" s="349" t="s">
        <v>661</v>
      </c>
      <c r="F255" s="717" t="s">
        <v>662</v>
      </c>
      <c r="G255" s="718"/>
      <c r="H255" s="718"/>
      <c r="I255" s="718"/>
      <c r="J255" s="64">
        <f>0.18*0.18</f>
        <v>3.2399999999999998E-2</v>
      </c>
      <c r="K255" s="350">
        <f>2.3*4+2.6*2*4+1.5*4*2</f>
        <v>42</v>
      </c>
      <c r="L255" s="196"/>
      <c r="M255" s="196"/>
      <c r="R255" s="249"/>
      <c r="T255" s="45"/>
      <c r="AC255" s="351"/>
    </row>
    <row r="256" spans="2:29" ht="11.25" outlineLevel="1">
      <c r="B256" s="237"/>
      <c r="C256" s="345"/>
      <c r="D256" s="345" t="s">
        <v>62</v>
      </c>
      <c r="E256" s="346">
        <v>762342811</v>
      </c>
      <c r="F256" s="719" t="s">
        <v>373</v>
      </c>
      <c r="G256" s="719"/>
      <c r="H256" s="719"/>
      <c r="I256" s="719"/>
      <c r="J256" s="63" t="s">
        <v>63</v>
      </c>
      <c r="K256" s="347">
        <f>K262</f>
        <v>8.8000000000000007</v>
      </c>
      <c r="L256" s="726"/>
      <c r="M256" s="726"/>
      <c r="N256" s="720">
        <f>ROUND(L256*K256,2)</f>
        <v>0</v>
      </c>
      <c r="O256" s="720"/>
      <c r="P256" s="720"/>
      <c r="Q256" s="720"/>
      <c r="R256" s="238"/>
      <c r="T256" s="45"/>
      <c r="Z256" s="248">
        <f>K256*0.05*0.3*0.8</f>
        <v>0.10560000000000001</v>
      </c>
    </row>
    <row r="257" spans="2:29" ht="11.25" outlineLevel="1">
      <c r="B257" s="237"/>
      <c r="C257" s="345"/>
      <c r="D257" s="345" t="s">
        <v>62</v>
      </c>
      <c r="E257" s="346">
        <v>762342813</v>
      </c>
      <c r="F257" s="719" t="s">
        <v>657</v>
      </c>
      <c r="G257" s="719"/>
      <c r="H257" s="719"/>
      <c r="I257" s="719"/>
      <c r="J257" s="63" t="s">
        <v>63</v>
      </c>
      <c r="K257" s="347">
        <f>K256</f>
        <v>8.8000000000000007</v>
      </c>
      <c r="L257" s="726"/>
      <c r="M257" s="726"/>
      <c r="N257" s="720">
        <f>ROUND(L257*K257,2)</f>
        <v>0</v>
      </c>
      <c r="O257" s="720"/>
      <c r="P257" s="720"/>
      <c r="Q257" s="720"/>
      <c r="R257" s="238"/>
      <c r="T257" s="45"/>
      <c r="Z257" s="248">
        <f>K257*0.05*0.3*0.8</f>
        <v>0.10560000000000001</v>
      </c>
    </row>
    <row r="258" spans="2:29" ht="11.25" outlineLevel="1">
      <c r="B258" s="237"/>
      <c r="C258" s="345"/>
      <c r="D258" s="345" t="s">
        <v>62</v>
      </c>
      <c r="E258" s="346">
        <v>762522811</v>
      </c>
      <c r="F258" s="719" t="s">
        <v>367</v>
      </c>
      <c r="G258" s="719"/>
      <c r="H258" s="719"/>
      <c r="I258" s="719"/>
      <c r="J258" s="63" t="s">
        <v>63</v>
      </c>
      <c r="K258" s="347">
        <f>SUM(K259:K259)</f>
        <v>231.04000000000002</v>
      </c>
      <c r="L258" s="726"/>
      <c r="M258" s="726"/>
      <c r="N258" s="720">
        <f>ROUND(L258*K258,2)</f>
        <v>0</v>
      </c>
      <c r="O258" s="720"/>
      <c r="P258" s="720"/>
      <c r="Q258" s="720"/>
      <c r="R258" s="238"/>
      <c r="T258" s="45"/>
      <c r="Z258" s="248">
        <f>K258*0.05*0.8</f>
        <v>9.2416000000000018</v>
      </c>
    </row>
    <row r="259" spans="2:29" s="248" customFormat="1" ht="11.25" outlineLevel="1">
      <c r="B259" s="247"/>
      <c r="E259" s="349" t="s">
        <v>83</v>
      </c>
      <c r="F259" s="717" t="s">
        <v>819</v>
      </c>
      <c r="G259" s="717">
        <f>27.26+17.17+22.69+23.2+26.64+43.31+24.54+34+7.87+4.36</f>
        <v>231.04000000000002</v>
      </c>
      <c r="H259" s="717">
        <f>27.26+17.17+22.69+23.2+26.64+43.31+24.54+34+7.87+4.36</f>
        <v>231.04000000000002</v>
      </c>
      <c r="I259" s="717">
        <f>27.26+17.17+22.69+23.2+26.64+43.31+24.54+34+7.87+4.36</f>
        <v>231.04000000000002</v>
      </c>
      <c r="J259" s="64"/>
      <c r="K259" s="350">
        <f>27.26+17.17+22.69+23.2+26.64+43.31+24.54+34+7.87+4.36</f>
        <v>231.04000000000002</v>
      </c>
      <c r="L259" s="196"/>
      <c r="M259" s="196"/>
      <c r="R259" s="249"/>
      <c r="T259" s="45"/>
      <c r="AC259" s="351"/>
    </row>
    <row r="260" spans="2:29" ht="27" customHeight="1" outlineLevel="1">
      <c r="B260" s="237"/>
      <c r="C260" s="345"/>
      <c r="D260" s="345" t="s">
        <v>62</v>
      </c>
      <c r="E260" s="346">
        <v>763131821</v>
      </c>
      <c r="F260" s="719" t="s">
        <v>653</v>
      </c>
      <c r="G260" s="719"/>
      <c r="H260" s="719"/>
      <c r="I260" s="719"/>
      <c r="J260" s="63" t="s">
        <v>63</v>
      </c>
      <c r="K260" s="347">
        <f>SUM(K261:K261)</f>
        <v>27.72</v>
      </c>
      <c r="L260" s="726"/>
      <c r="M260" s="726"/>
      <c r="N260" s="720">
        <f>ROUND(L260*K260,2)</f>
        <v>0</v>
      </c>
      <c r="O260" s="720"/>
      <c r="P260" s="720"/>
      <c r="Q260" s="720"/>
      <c r="R260" s="238"/>
      <c r="T260" s="45"/>
    </row>
    <row r="261" spans="2:29" s="248" customFormat="1" ht="11.25" outlineLevel="1">
      <c r="B261" s="247"/>
      <c r="E261" s="349" t="s">
        <v>654</v>
      </c>
      <c r="F261" s="717" t="s">
        <v>820</v>
      </c>
      <c r="G261" s="718">
        <f>27.72</f>
        <v>27.72</v>
      </c>
      <c r="H261" s="718">
        <f>27.72</f>
        <v>27.72</v>
      </c>
      <c r="I261" s="718">
        <f>27.72</f>
        <v>27.72</v>
      </c>
      <c r="J261" s="64"/>
      <c r="K261" s="350">
        <f>27.72</f>
        <v>27.72</v>
      </c>
      <c r="L261" s="196"/>
      <c r="M261" s="196"/>
      <c r="R261" s="249"/>
      <c r="T261" s="45"/>
      <c r="AC261" s="351"/>
    </row>
    <row r="262" spans="2:29" ht="11.25" outlineLevel="1">
      <c r="B262" s="237"/>
      <c r="C262" s="345"/>
      <c r="D262" s="345" t="s">
        <v>62</v>
      </c>
      <c r="E262" s="346">
        <v>765111823</v>
      </c>
      <c r="F262" s="719" t="s">
        <v>1976</v>
      </c>
      <c r="G262" s="719"/>
      <c r="H262" s="719"/>
      <c r="I262" s="719"/>
      <c r="J262" s="63" t="s">
        <v>63</v>
      </c>
      <c r="K262" s="347">
        <f>SUM(K263:K263)</f>
        <v>8.8000000000000007</v>
      </c>
      <c r="L262" s="726"/>
      <c r="M262" s="726"/>
      <c r="N262" s="720">
        <f>ROUND(L262*K262,2)</f>
        <v>0</v>
      </c>
      <c r="O262" s="720"/>
      <c r="P262" s="720"/>
      <c r="Q262" s="720"/>
      <c r="R262" s="238"/>
      <c r="T262" s="45"/>
      <c r="Y262" s="248">
        <f>K262*0.035*2.1</f>
        <v>0.64680000000000015</v>
      </c>
    </row>
    <row r="263" spans="2:29" s="248" customFormat="1" ht="11.25" outlineLevel="1">
      <c r="B263" s="247"/>
      <c r="E263" s="349" t="s">
        <v>656</v>
      </c>
      <c r="F263" s="717" t="s">
        <v>818</v>
      </c>
      <c r="G263" s="718">
        <f>4*2.2</f>
        <v>8.8000000000000007</v>
      </c>
      <c r="H263" s="718">
        <f>4*2.2</f>
        <v>8.8000000000000007</v>
      </c>
      <c r="I263" s="718">
        <f>4*2.2</f>
        <v>8.8000000000000007</v>
      </c>
      <c r="J263" s="64"/>
      <c r="K263" s="350">
        <f>4*2.2</f>
        <v>8.8000000000000007</v>
      </c>
      <c r="L263" s="196"/>
      <c r="M263" s="196"/>
      <c r="R263" s="249"/>
      <c r="T263" s="45"/>
      <c r="AC263" s="351"/>
    </row>
    <row r="264" spans="2:29" ht="11.25" outlineLevel="1">
      <c r="B264" s="237"/>
      <c r="C264" s="345"/>
      <c r="D264" s="345" t="s">
        <v>62</v>
      </c>
      <c r="E264" s="346">
        <v>765111831</v>
      </c>
      <c r="F264" s="719" t="s">
        <v>372</v>
      </c>
      <c r="G264" s="719"/>
      <c r="H264" s="719"/>
      <c r="I264" s="719"/>
      <c r="J264" s="63" t="s">
        <v>63</v>
      </c>
      <c r="K264" s="347">
        <f>K262</f>
        <v>8.8000000000000007</v>
      </c>
      <c r="L264" s="726"/>
      <c r="M264" s="726"/>
      <c r="N264" s="720">
        <f>ROUND(L264*K264,2)</f>
        <v>0</v>
      </c>
      <c r="O264" s="720"/>
      <c r="P264" s="720"/>
      <c r="Q264" s="720"/>
      <c r="R264" s="238"/>
      <c r="T264" s="45"/>
    </row>
    <row r="265" spans="2:29" s="358" customFormat="1" ht="11.25" outlineLevel="1">
      <c r="B265" s="353"/>
      <c r="C265" s="354"/>
      <c r="D265" s="354" t="s">
        <v>62</v>
      </c>
      <c r="E265" s="355">
        <v>766691914</v>
      </c>
      <c r="F265" s="727" t="s">
        <v>358</v>
      </c>
      <c r="G265" s="727"/>
      <c r="H265" s="727"/>
      <c r="I265" s="727"/>
      <c r="J265" s="215" t="s">
        <v>67</v>
      </c>
      <c r="K265" s="356">
        <f>SUM(K266:K268)</f>
        <v>31</v>
      </c>
      <c r="L265" s="728"/>
      <c r="M265" s="728"/>
      <c r="N265" s="729">
        <f>ROUND(L265*K265,2)</f>
        <v>0</v>
      </c>
      <c r="O265" s="729"/>
      <c r="P265" s="729"/>
      <c r="Q265" s="729"/>
      <c r="R265" s="357"/>
      <c r="T265" s="216"/>
      <c r="U265" s="359"/>
      <c r="V265" s="359"/>
      <c r="W265" s="359"/>
      <c r="X265" s="359"/>
      <c r="Y265" s="359"/>
      <c r="Z265" s="359">
        <f>K265*0.03</f>
        <v>0.92999999999999994</v>
      </c>
      <c r="AA265" s="359"/>
      <c r="AB265" s="359"/>
      <c r="AC265" s="361"/>
    </row>
    <row r="266" spans="2:29" s="248" customFormat="1" ht="11.25" outlineLevel="1">
      <c r="B266" s="247"/>
      <c r="E266" s="349" t="s">
        <v>375</v>
      </c>
      <c r="F266" s="717">
        <v>14</v>
      </c>
      <c r="G266" s="718">
        <v>12</v>
      </c>
      <c r="H266" s="718">
        <v>12</v>
      </c>
      <c r="I266" s="718">
        <v>12</v>
      </c>
      <c r="J266" s="64"/>
      <c r="K266" s="350">
        <v>14</v>
      </c>
      <c r="L266" s="196"/>
      <c r="M266" s="196"/>
      <c r="R266" s="249"/>
      <c r="T266" s="45"/>
      <c r="AC266" s="351"/>
    </row>
    <row r="267" spans="2:29" s="248" customFormat="1" ht="11.25" outlineLevel="1">
      <c r="B267" s="247"/>
      <c r="E267" s="349" t="s">
        <v>376</v>
      </c>
      <c r="F267" s="717">
        <v>18</v>
      </c>
      <c r="G267" s="718">
        <v>18</v>
      </c>
      <c r="H267" s="718">
        <v>18</v>
      </c>
      <c r="I267" s="718">
        <v>18</v>
      </c>
      <c r="J267" s="64"/>
      <c r="K267" s="350">
        <v>18</v>
      </c>
      <c r="L267" s="196"/>
      <c r="M267" s="196"/>
      <c r="R267" s="249"/>
      <c r="T267" s="45"/>
      <c r="AC267" s="351"/>
    </row>
    <row r="268" spans="2:29" s="333" customFormat="1" ht="11.25" outlineLevel="1">
      <c r="B268" s="362"/>
      <c r="E268" s="363" t="s">
        <v>2520</v>
      </c>
      <c r="F268" s="715" t="s">
        <v>2456</v>
      </c>
      <c r="G268" s="716">
        <f>(1.4+1.5)*2*(0.25*0.6)*12+0.35*0.45*2.3</f>
        <v>10.802249999999999</v>
      </c>
      <c r="H268" s="716">
        <f>(1.4+1.5)*2*(0.25*0.6)*12+0.35*0.45*2.3</f>
        <v>10.802249999999999</v>
      </c>
      <c r="I268" s="716">
        <f>(1.4+1.5)*2*(0.25*0.6)*12+0.35*0.45*2.3</f>
        <v>10.802249999999999</v>
      </c>
      <c r="J268" s="209">
        <v>-1</v>
      </c>
      <c r="K268" s="364">
        <f>K139*J268</f>
        <v>-1</v>
      </c>
      <c r="L268" s="210"/>
      <c r="M268" s="210"/>
      <c r="R268" s="365"/>
      <c r="T268" s="211"/>
      <c r="AC268" s="366"/>
    </row>
    <row r="269" spans="2:29" s="358" customFormat="1" ht="11.25" outlineLevel="1">
      <c r="B269" s="353"/>
      <c r="C269" s="354"/>
      <c r="D269" s="354" t="s">
        <v>62</v>
      </c>
      <c r="E269" s="355">
        <v>771571810</v>
      </c>
      <c r="F269" s="727" t="s">
        <v>366</v>
      </c>
      <c r="G269" s="727"/>
      <c r="H269" s="727"/>
      <c r="I269" s="727"/>
      <c r="J269" s="215" t="s">
        <v>63</v>
      </c>
      <c r="K269" s="356">
        <f>SUM(K270:K272)</f>
        <v>183.51999999999998</v>
      </c>
      <c r="L269" s="728"/>
      <c r="M269" s="728"/>
      <c r="N269" s="729">
        <f>ROUND(L269*K269,2)</f>
        <v>0</v>
      </c>
      <c r="O269" s="729"/>
      <c r="P269" s="729"/>
      <c r="Q269" s="729"/>
      <c r="R269" s="357"/>
      <c r="T269" s="216"/>
      <c r="U269" s="359"/>
      <c r="V269" s="359"/>
      <c r="W269" s="359"/>
      <c r="X269" s="359"/>
      <c r="Y269" s="359"/>
      <c r="Z269" s="359"/>
      <c r="AA269" s="359">
        <f>K269*0.035</f>
        <v>6.4231999999999996</v>
      </c>
      <c r="AB269" s="359"/>
      <c r="AC269" s="361"/>
    </row>
    <row r="270" spans="2:29" s="248" customFormat="1" ht="22.5" outlineLevel="1">
      <c r="B270" s="247"/>
      <c r="E270" s="349" t="s">
        <v>602</v>
      </c>
      <c r="F270" s="717" t="s">
        <v>821</v>
      </c>
      <c r="G270" s="718">
        <f>(22.76+27.72+40.52)</f>
        <v>91</v>
      </c>
      <c r="H270" s="718">
        <f>(22.76+27.72+40.52)</f>
        <v>91</v>
      </c>
      <c r="I270" s="718">
        <f>(22.76+27.72+40.52)</f>
        <v>91</v>
      </c>
      <c r="J270" s="64"/>
      <c r="K270" s="350">
        <f>(22.76+27.72+40.52)</f>
        <v>91</v>
      </c>
      <c r="L270" s="196"/>
      <c r="M270" s="196"/>
      <c r="R270" s="249"/>
      <c r="T270" s="45"/>
      <c r="AC270" s="351"/>
    </row>
    <row r="271" spans="2:29" s="248" customFormat="1" ht="22.5" outlineLevel="1">
      <c r="B271" s="247"/>
      <c r="E271" s="349" t="s">
        <v>603</v>
      </c>
      <c r="F271" s="717" t="s">
        <v>822</v>
      </c>
      <c r="G271" s="718">
        <f>(20+15.1+30.61+4.95+2.28+23.93+28.19+18.07)</f>
        <v>143.13</v>
      </c>
      <c r="H271" s="718">
        <f>(20+15.1+30.61+4.95+2.28+23.93+28.19+18.07)</f>
        <v>143.13</v>
      </c>
      <c r="I271" s="718">
        <f>(20+15.1+30.61+4.95+2.28+23.93+28.19+18.07)</f>
        <v>143.13</v>
      </c>
      <c r="J271" s="64"/>
      <c r="K271" s="350">
        <f>(20+15.1+30.61+4.95+2.28+23.93+28.19+18.07)</f>
        <v>143.13</v>
      </c>
      <c r="L271" s="196"/>
      <c r="M271" s="196"/>
      <c r="R271" s="249"/>
      <c r="T271" s="45"/>
      <c r="AC271" s="351"/>
    </row>
    <row r="272" spans="2:29" s="333" customFormat="1" ht="11.25" outlineLevel="1">
      <c r="B272" s="362"/>
      <c r="E272" s="363" t="s">
        <v>2520</v>
      </c>
      <c r="F272" s="715" t="s">
        <v>2456</v>
      </c>
      <c r="G272" s="716">
        <f>(1.4+1.5)*2*(0.25*0.6)*12+0.35*0.45*2.3</f>
        <v>10.802249999999999</v>
      </c>
      <c r="H272" s="716">
        <f>(1.4+1.5)*2*(0.25*0.6)*12+0.35*0.45*2.3</f>
        <v>10.802249999999999</v>
      </c>
      <c r="I272" s="716">
        <f>(1.4+1.5)*2*(0.25*0.6)*12+0.35*0.45*2.3</f>
        <v>10.802249999999999</v>
      </c>
      <c r="J272" s="209">
        <v>-1</v>
      </c>
      <c r="K272" s="364">
        <f>K141*J272</f>
        <v>-50.61</v>
      </c>
      <c r="L272" s="210"/>
      <c r="M272" s="210"/>
      <c r="R272" s="365"/>
      <c r="T272" s="211"/>
      <c r="AC272" s="366"/>
    </row>
    <row r="273" spans="2:29" s="341" customFormat="1" ht="12.75">
      <c r="B273" s="340"/>
      <c r="C273" s="344"/>
      <c r="D273" s="344" t="s">
        <v>377</v>
      </c>
      <c r="E273" s="344"/>
      <c r="F273" s="344"/>
      <c r="G273" s="344"/>
      <c r="H273" s="344"/>
      <c r="I273" s="344"/>
      <c r="J273" s="61"/>
      <c r="K273" s="344"/>
      <c r="L273" s="72"/>
      <c r="M273" s="72"/>
      <c r="N273" s="734">
        <f>SUM(N274:Q282)</f>
        <v>0</v>
      </c>
      <c r="O273" s="734"/>
      <c r="P273" s="734"/>
      <c r="Q273" s="734"/>
      <c r="R273" s="342"/>
      <c r="T273" s="45">
        <f>SUM(N273:Q282)/2</f>
        <v>0</v>
      </c>
      <c r="U273" s="248"/>
      <c r="V273" s="248"/>
      <c r="W273" s="248">
        <v>2.4</v>
      </c>
      <c r="X273" s="248">
        <v>2</v>
      </c>
      <c r="Y273" s="248">
        <v>1.2</v>
      </c>
      <c r="Z273" s="248">
        <v>2</v>
      </c>
      <c r="AA273" s="248">
        <v>0.6</v>
      </c>
      <c r="AB273" s="248">
        <v>1.8</v>
      </c>
      <c r="AC273" s="343"/>
    </row>
    <row r="274" spans="2:29" ht="27" customHeight="1" outlineLevel="1">
      <c r="B274" s="237"/>
      <c r="C274" s="345"/>
      <c r="D274" s="345" t="s">
        <v>62</v>
      </c>
      <c r="E274" s="346" t="s">
        <v>1945</v>
      </c>
      <c r="F274" s="719" t="s">
        <v>1946</v>
      </c>
      <c r="G274" s="719"/>
      <c r="H274" s="719"/>
      <c r="I274" s="719"/>
      <c r="J274" s="63" t="s">
        <v>66</v>
      </c>
      <c r="K274" s="347">
        <f>SUM(K278:K282)</f>
        <v>996.20398119999993</v>
      </c>
      <c r="L274" s="726"/>
      <c r="M274" s="726"/>
      <c r="N274" s="720">
        <f>ROUND(L274*K274,2)</f>
        <v>0</v>
      </c>
      <c r="O274" s="720"/>
      <c r="P274" s="720"/>
      <c r="Q274" s="720"/>
      <c r="R274" s="238"/>
      <c r="T274" s="45"/>
    </row>
    <row r="275" spans="2:29" ht="11.25" outlineLevel="1">
      <c r="B275" s="237"/>
      <c r="C275" s="345"/>
      <c r="D275" s="345" t="s">
        <v>62</v>
      </c>
      <c r="E275" s="346">
        <v>997013501</v>
      </c>
      <c r="F275" s="719" t="s">
        <v>384</v>
      </c>
      <c r="G275" s="719"/>
      <c r="H275" s="719"/>
      <c r="I275" s="719"/>
      <c r="J275" s="63" t="s">
        <v>66</v>
      </c>
      <c r="K275" s="347">
        <f>K274</f>
        <v>996.20398119999993</v>
      </c>
      <c r="L275" s="726"/>
      <c r="M275" s="726"/>
      <c r="N275" s="720">
        <f>ROUND(L275*K275,2)</f>
        <v>0</v>
      </c>
      <c r="O275" s="720"/>
      <c r="P275" s="720"/>
      <c r="Q275" s="720"/>
      <c r="R275" s="238"/>
      <c r="T275" s="45"/>
    </row>
    <row r="276" spans="2:29" ht="11.25" outlineLevel="1">
      <c r="B276" s="237"/>
      <c r="C276" s="345"/>
      <c r="D276" s="345" t="s">
        <v>62</v>
      </c>
      <c r="E276" s="346">
        <v>997013509</v>
      </c>
      <c r="F276" s="719" t="s">
        <v>385</v>
      </c>
      <c r="G276" s="719"/>
      <c r="H276" s="719"/>
      <c r="I276" s="719"/>
      <c r="J276" s="63" t="s">
        <v>66</v>
      </c>
      <c r="K276" s="347">
        <f>K277</f>
        <v>18927.875642799998</v>
      </c>
      <c r="L276" s="726"/>
      <c r="M276" s="726"/>
      <c r="N276" s="720">
        <f>ROUND(L276*K276,2)</f>
        <v>0</v>
      </c>
      <c r="O276" s="720"/>
      <c r="P276" s="720"/>
      <c r="Q276" s="720"/>
      <c r="R276" s="238"/>
      <c r="T276" s="45"/>
    </row>
    <row r="277" spans="2:29" s="248" customFormat="1" ht="11.25" outlineLevel="1">
      <c r="B277" s="247"/>
      <c r="E277" s="349" t="s">
        <v>0</v>
      </c>
      <c r="F277" s="717" t="s">
        <v>2272</v>
      </c>
      <c r="G277" s="718"/>
      <c r="H277" s="718"/>
      <c r="I277" s="718"/>
      <c r="J277" s="64">
        <v>19</v>
      </c>
      <c r="K277" s="350">
        <f>K275*J277</f>
        <v>18927.875642799998</v>
      </c>
      <c r="L277" s="196"/>
      <c r="M277" s="196"/>
      <c r="R277" s="249"/>
      <c r="T277" s="45"/>
      <c r="AC277" s="351"/>
    </row>
    <row r="278" spans="2:29" ht="27" customHeight="1" outlineLevel="1">
      <c r="B278" s="237"/>
      <c r="C278" s="345"/>
      <c r="D278" s="345" t="s">
        <v>62</v>
      </c>
      <c r="E278" s="346">
        <v>997013861</v>
      </c>
      <c r="F278" s="719" t="s">
        <v>378</v>
      </c>
      <c r="G278" s="719"/>
      <c r="H278" s="719"/>
      <c r="I278" s="719"/>
      <c r="J278" s="63" t="s">
        <v>66</v>
      </c>
      <c r="K278" s="347">
        <f>W279</f>
        <v>420.20831999999996</v>
      </c>
      <c r="L278" s="726"/>
      <c r="M278" s="726"/>
      <c r="N278" s="720">
        <f>ROUND(L278*K278,2)</f>
        <v>0</v>
      </c>
      <c r="O278" s="720"/>
      <c r="P278" s="720"/>
      <c r="Q278" s="720"/>
      <c r="R278" s="238"/>
      <c r="T278" s="45"/>
      <c r="W278" s="248">
        <f t="shared" ref="W278:AB278" si="8">W153</f>
        <v>175.08679999999998</v>
      </c>
      <c r="X278" s="248">
        <f t="shared" si="8"/>
        <v>202.84449749999999</v>
      </c>
      <c r="Y278" s="248">
        <f t="shared" si="8"/>
        <v>1.8468</v>
      </c>
      <c r="Z278" s="248">
        <f t="shared" si="8"/>
        <v>49.068463999999999</v>
      </c>
      <c r="AA278" s="248">
        <f t="shared" si="8"/>
        <v>116.589297</v>
      </c>
      <c r="AB278" s="248">
        <f t="shared" si="8"/>
        <v>1.8</v>
      </c>
    </row>
    <row r="279" spans="2:29" ht="27" customHeight="1" outlineLevel="1">
      <c r="B279" s="237"/>
      <c r="C279" s="345"/>
      <c r="D279" s="345" t="s">
        <v>62</v>
      </c>
      <c r="E279" s="346">
        <v>997013863</v>
      </c>
      <c r="F279" s="719" t="s">
        <v>379</v>
      </c>
      <c r="G279" s="719"/>
      <c r="H279" s="719"/>
      <c r="I279" s="719"/>
      <c r="J279" s="63" t="s">
        <v>66</v>
      </c>
      <c r="K279" s="347">
        <f>X279</f>
        <v>405.68899499999998</v>
      </c>
      <c r="L279" s="726"/>
      <c r="M279" s="726"/>
      <c r="N279" s="720">
        <f>ROUND(L279*K279,2)</f>
        <v>0</v>
      </c>
      <c r="O279" s="720"/>
      <c r="P279" s="720"/>
      <c r="Q279" s="720"/>
      <c r="R279" s="238"/>
      <c r="T279" s="45"/>
      <c r="W279" s="248">
        <f t="shared" ref="W279:AB279" si="9">W278*W273</f>
        <v>420.20831999999996</v>
      </c>
      <c r="X279" s="248">
        <f t="shared" si="9"/>
        <v>405.68899499999998</v>
      </c>
      <c r="Y279" s="248">
        <f t="shared" si="9"/>
        <v>2.2161599999999999</v>
      </c>
      <c r="Z279" s="248">
        <f t="shared" si="9"/>
        <v>98.136927999999997</v>
      </c>
      <c r="AA279" s="248">
        <f t="shared" si="9"/>
        <v>69.953578199999995</v>
      </c>
      <c r="AB279" s="248">
        <f t="shared" si="9"/>
        <v>3.24</v>
      </c>
    </row>
    <row r="280" spans="2:29" ht="27" customHeight="1" outlineLevel="1">
      <c r="B280" s="237"/>
      <c r="C280" s="345"/>
      <c r="D280" s="345" t="s">
        <v>62</v>
      </c>
      <c r="E280" s="346">
        <v>997013867</v>
      </c>
      <c r="F280" s="719" t="s">
        <v>380</v>
      </c>
      <c r="G280" s="719"/>
      <c r="H280" s="719"/>
      <c r="I280" s="719"/>
      <c r="J280" s="63" t="s">
        <v>66</v>
      </c>
      <c r="K280" s="347">
        <f>Y279</f>
        <v>2.2161599999999999</v>
      </c>
      <c r="L280" s="726"/>
      <c r="M280" s="726"/>
      <c r="N280" s="720">
        <f>ROUND(L280*K280,2)</f>
        <v>0</v>
      </c>
      <c r="O280" s="720"/>
      <c r="P280" s="720"/>
      <c r="Q280" s="720"/>
      <c r="R280" s="238"/>
      <c r="T280" s="45"/>
    </row>
    <row r="281" spans="2:29" ht="27" customHeight="1" outlineLevel="1">
      <c r="B281" s="237"/>
      <c r="C281" s="345"/>
      <c r="D281" s="345" t="s">
        <v>62</v>
      </c>
      <c r="E281" s="346">
        <v>997013871</v>
      </c>
      <c r="F281" s="719" t="s">
        <v>381</v>
      </c>
      <c r="G281" s="719"/>
      <c r="H281" s="719"/>
      <c r="I281" s="719"/>
      <c r="J281" s="63" t="s">
        <v>66</v>
      </c>
      <c r="K281" s="347">
        <f>AA279</f>
        <v>69.953578199999995</v>
      </c>
      <c r="L281" s="726"/>
      <c r="M281" s="726"/>
      <c r="N281" s="720">
        <f>ROUND(L281*K281,2)</f>
        <v>0</v>
      </c>
      <c r="O281" s="720"/>
      <c r="P281" s="720"/>
      <c r="Q281" s="720"/>
      <c r="R281" s="238"/>
      <c r="T281" s="45"/>
    </row>
    <row r="282" spans="2:29" ht="27" customHeight="1" outlineLevel="1">
      <c r="B282" s="237"/>
      <c r="C282" s="345"/>
      <c r="D282" s="345" t="s">
        <v>62</v>
      </c>
      <c r="E282" s="346">
        <v>997013811</v>
      </c>
      <c r="F282" s="719" t="s">
        <v>382</v>
      </c>
      <c r="G282" s="719"/>
      <c r="H282" s="719"/>
      <c r="I282" s="719"/>
      <c r="J282" s="63" t="s">
        <v>66</v>
      </c>
      <c r="K282" s="347">
        <f>Z279</f>
        <v>98.136927999999997</v>
      </c>
      <c r="L282" s="726"/>
      <c r="M282" s="726"/>
      <c r="N282" s="720">
        <f>ROUND(L282*K282,2)</f>
        <v>0</v>
      </c>
      <c r="O282" s="720"/>
      <c r="P282" s="720"/>
      <c r="Q282" s="720"/>
      <c r="R282" s="238"/>
      <c r="T282" s="45"/>
    </row>
    <row r="283" spans="2:29" ht="11.25">
      <c r="B283" s="274"/>
      <c r="C283" s="275"/>
      <c r="D283" s="275"/>
      <c r="E283" s="275"/>
      <c r="F283" s="275"/>
      <c r="G283" s="275"/>
      <c r="H283" s="275"/>
      <c r="I283" s="275"/>
      <c r="J283" s="67"/>
      <c r="K283" s="275"/>
      <c r="L283" s="275"/>
      <c r="M283" s="275"/>
      <c r="N283" s="275"/>
      <c r="O283" s="275"/>
      <c r="P283" s="275"/>
      <c r="Q283" s="275"/>
      <c r="R283" s="276"/>
      <c r="T283" s="45"/>
      <c r="W283" s="236"/>
      <c r="X283" s="236"/>
      <c r="Y283" s="236"/>
      <c r="Z283" s="236"/>
      <c r="AA283" s="236"/>
      <c r="AB283" s="236"/>
    </row>
    <row r="284" spans="2:29" ht="11.25">
      <c r="J284" s="68"/>
      <c r="T284" s="45"/>
    </row>
    <row r="285" spans="2:29" ht="11.25">
      <c r="J285" s="68"/>
      <c r="T285" s="45"/>
    </row>
    <row r="286" spans="2:29" ht="11.25">
      <c r="J286" s="68"/>
      <c r="T286" s="45"/>
    </row>
  </sheetData>
  <sheetProtection algorithmName="SHA-512" hashValue="RsvFHGYJvYY1efAsZm2LTkb4jWJh4J5ERRbmWg5rbrGefak24vZ+DxYS9QFohiaxmB8uOFNeQVSPT3I2fOHEMA==" saltValue="TuWEhhrel4tNOZx93e2pRQ==" spinCount="100000" sheet="1"/>
  <mergeCells count="349">
    <mergeCell ref="N152:Q152"/>
    <mergeCell ref="F151:I151"/>
    <mergeCell ref="L151:M151"/>
    <mergeCell ref="N151:Q151"/>
    <mergeCell ref="N87:Q87"/>
    <mergeCell ref="N88:Q88"/>
    <mergeCell ref="N89:Q89"/>
    <mergeCell ref="N90:Q90"/>
    <mergeCell ref="F142:I142"/>
    <mergeCell ref="N143:Q143"/>
    <mergeCell ref="F144:I144"/>
    <mergeCell ref="L144:M144"/>
    <mergeCell ref="N144:Q144"/>
    <mergeCell ref="F139:I139"/>
    <mergeCell ref="L139:M139"/>
    <mergeCell ref="N139:Q139"/>
    <mergeCell ref="F140:I140"/>
    <mergeCell ref="F121:I121"/>
    <mergeCell ref="F135:I135"/>
    <mergeCell ref="F138:I138"/>
    <mergeCell ref="F132:I132"/>
    <mergeCell ref="F150:I150"/>
    <mergeCell ref="L150:M150"/>
    <mergeCell ref="N150:Q150"/>
    <mergeCell ref="F145:I145"/>
    <mergeCell ref="L145:M145"/>
    <mergeCell ref="N145:Q145"/>
    <mergeCell ref="F146:I146"/>
    <mergeCell ref="L146:M146"/>
    <mergeCell ref="N146:Q146"/>
    <mergeCell ref="F147:I147"/>
    <mergeCell ref="F148:I148"/>
    <mergeCell ref="L148:M148"/>
    <mergeCell ref="N148:Q148"/>
    <mergeCell ref="F134:I134"/>
    <mergeCell ref="F136:I136"/>
    <mergeCell ref="L136:M136"/>
    <mergeCell ref="N136:Q136"/>
    <mergeCell ref="F137:I137"/>
    <mergeCell ref="M30:P30"/>
    <mergeCell ref="F149:I149"/>
    <mergeCell ref="L149:M149"/>
    <mergeCell ref="N149:Q149"/>
    <mergeCell ref="F141:I141"/>
    <mergeCell ref="L141:M141"/>
    <mergeCell ref="N141:Q141"/>
    <mergeCell ref="F128:I128"/>
    <mergeCell ref="L128:M128"/>
    <mergeCell ref="N128:Q128"/>
    <mergeCell ref="F129:I129"/>
    <mergeCell ref="F130:I130"/>
    <mergeCell ref="L130:M130"/>
    <mergeCell ref="N130:Q130"/>
    <mergeCell ref="F131:I131"/>
    <mergeCell ref="F133:I133"/>
    <mergeCell ref="L133:M133"/>
    <mergeCell ref="N133:Q133"/>
    <mergeCell ref="F123:I123"/>
    <mergeCell ref="F124:I124"/>
    <mergeCell ref="L124:M124"/>
    <mergeCell ref="N124:Q124"/>
    <mergeCell ref="F125:I125"/>
    <mergeCell ref="F126:I126"/>
    <mergeCell ref="L126:M126"/>
    <mergeCell ref="N126:Q126"/>
    <mergeCell ref="F127:I127"/>
    <mergeCell ref="N116:Q116"/>
    <mergeCell ref="N117:Q117"/>
    <mergeCell ref="N118:Q118"/>
    <mergeCell ref="F119:I119"/>
    <mergeCell ref="L119:M119"/>
    <mergeCell ref="N119:Q119"/>
    <mergeCell ref="F120:I120"/>
    <mergeCell ref="F122:I122"/>
    <mergeCell ref="L122:M122"/>
    <mergeCell ref="N122:Q122"/>
    <mergeCell ref="L264:M264"/>
    <mergeCell ref="N264:Q264"/>
    <mergeCell ref="F266:I266"/>
    <mergeCell ref="F278:I278"/>
    <mergeCell ref="F214:I214"/>
    <mergeCell ref="L214:M214"/>
    <mergeCell ref="N214:Q214"/>
    <mergeCell ref="F215:I215"/>
    <mergeCell ref="F270:I270"/>
    <mergeCell ref="F269:I269"/>
    <mergeCell ref="N265:Q265"/>
    <mergeCell ref="L278:M278"/>
    <mergeCell ref="N278:Q278"/>
    <mergeCell ref="F237:I237"/>
    <mergeCell ref="F239:I239"/>
    <mergeCell ref="F240:I240"/>
    <mergeCell ref="F241:I241"/>
    <mergeCell ref="F242:I242"/>
    <mergeCell ref="F250:I250"/>
    <mergeCell ref="F248:I248"/>
    <mergeCell ref="F247:I247"/>
    <mergeCell ref="N247:Q247"/>
    <mergeCell ref="L275:M275"/>
    <mergeCell ref="N275:Q275"/>
    <mergeCell ref="L197:M197"/>
    <mergeCell ref="N197:Q197"/>
    <mergeCell ref="F198:I198"/>
    <mergeCell ref="F206:I206"/>
    <mergeCell ref="F246:I246"/>
    <mergeCell ref="F256:I256"/>
    <mergeCell ref="L256:M256"/>
    <mergeCell ref="N254:Q254"/>
    <mergeCell ref="N233:Q233"/>
    <mergeCell ref="F234:I234"/>
    <mergeCell ref="L235:M235"/>
    <mergeCell ref="N279:Q279"/>
    <mergeCell ref="F271:I271"/>
    <mergeCell ref="F275:I275"/>
    <mergeCell ref="F190:I190"/>
    <mergeCell ref="L190:M190"/>
    <mergeCell ref="F193:I193"/>
    <mergeCell ref="N238:Q238"/>
    <mergeCell ref="N256:Q256"/>
    <mergeCell ref="F251:I251"/>
    <mergeCell ref="F252:I252"/>
    <mergeCell ref="F267:I267"/>
    <mergeCell ref="F236:I236"/>
    <mergeCell ref="F244:I244"/>
    <mergeCell ref="N243:Q243"/>
    <mergeCell ref="F245:I245"/>
    <mergeCell ref="L245:M245"/>
    <mergeCell ref="N245:Q245"/>
    <mergeCell ref="N223:Q223"/>
    <mergeCell ref="F201:I201"/>
    <mergeCell ref="L205:M205"/>
    <mergeCell ref="F254:I254"/>
    <mergeCell ref="L254:M254"/>
    <mergeCell ref="F191:I191"/>
    <mergeCell ref="F197:I197"/>
    <mergeCell ref="L262:M262"/>
    <mergeCell ref="N262:Q262"/>
    <mergeCell ref="L260:M260"/>
    <mergeCell ref="N260:Q260"/>
    <mergeCell ref="F261:I261"/>
    <mergeCell ref="F260:I260"/>
    <mergeCell ref="L208:M208"/>
    <mergeCell ref="N235:Q235"/>
    <mergeCell ref="N220:Q220"/>
    <mergeCell ref="F225:I225"/>
    <mergeCell ref="F230:I230"/>
    <mergeCell ref="F221:I221"/>
    <mergeCell ref="F218:I218"/>
    <mergeCell ref="F224:I224"/>
    <mergeCell ref="N208:Q208"/>
    <mergeCell ref="F235:I235"/>
    <mergeCell ref="F216:I216"/>
    <mergeCell ref="F210:I210"/>
    <mergeCell ref="L211:M211"/>
    <mergeCell ref="N211:Q211"/>
    <mergeCell ref="F212:I212"/>
    <mergeCell ref="L220:M220"/>
    <mergeCell ref="L223:M223"/>
    <mergeCell ref="F281:I281"/>
    <mergeCell ref="L281:M281"/>
    <mergeCell ref="N281:Q281"/>
    <mergeCell ref="F249:I249"/>
    <mergeCell ref="L249:M249"/>
    <mergeCell ref="N249:Q249"/>
    <mergeCell ref="L251:M251"/>
    <mergeCell ref="N251:Q251"/>
    <mergeCell ref="L269:M269"/>
    <mergeCell ref="N269:Q269"/>
    <mergeCell ref="F258:I258"/>
    <mergeCell ref="L258:M258"/>
    <mergeCell ref="N258:Q258"/>
    <mergeCell ref="F259:I259"/>
    <mergeCell ref="F265:I265"/>
    <mergeCell ref="L265:M265"/>
    <mergeCell ref="F279:I279"/>
    <mergeCell ref="F280:I280"/>
    <mergeCell ref="L280:M280"/>
    <mergeCell ref="N280:Q280"/>
    <mergeCell ref="F257:I257"/>
    <mergeCell ref="L257:M257"/>
    <mergeCell ref="N257:Q257"/>
    <mergeCell ref="F253:I253"/>
    <mergeCell ref="L279:M279"/>
    <mergeCell ref="F165:I165"/>
    <mergeCell ref="F181:I181"/>
    <mergeCell ref="L181:M181"/>
    <mergeCell ref="N181:Q181"/>
    <mergeCell ref="F182:I182"/>
    <mergeCell ref="F183:I183"/>
    <mergeCell ref="F196:I196"/>
    <mergeCell ref="F203:I203"/>
    <mergeCell ref="L203:M203"/>
    <mergeCell ref="N203:Q203"/>
    <mergeCell ref="L274:M274"/>
    <mergeCell ref="N274:Q274"/>
    <mergeCell ref="F274:I274"/>
    <mergeCell ref="F185:I185"/>
    <mergeCell ref="F255:I255"/>
    <mergeCell ref="L247:M247"/>
    <mergeCell ref="F238:I238"/>
    <mergeCell ref="L238:M238"/>
    <mergeCell ref="N190:Q190"/>
    <mergeCell ref="N216:Q216"/>
    <mergeCell ref="F217:I217"/>
    <mergeCell ref="F220:I220"/>
    <mergeCell ref="L233:M233"/>
    <mergeCell ref="F163:I163"/>
    <mergeCell ref="F178:I178"/>
    <mergeCell ref="L178:M178"/>
    <mergeCell ref="N178:Q178"/>
    <mergeCell ref="F180:I180"/>
    <mergeCell ref="F179:I179"/>
    <mergeCell ref="F222:I222"/>
    <mergeCell ref="F231:I231"/>
    <mergeCell ref="N205:Q205"/>
    <mergeCell ref="F195:I195"/>
    <mergeCell ref="F199:I199"/>
    <mergeCell ref="F209:I209"/>
    <mergeCell ref="F205:I205"/>
    <mergeCell ref="L195:M195"/>
    <mergeCell ref="N195:Q195"/>
    <mergeCell ref="F229:I229"/>
    <mergeCell ref="F223:I223"/>
    <mergeCell ref="F204:I204"/>
    <mergeCell ref="F192:I192"/>
    <mergeCell ref="F207:I207"/>
    <mergeCell ref="F211:I211"/>
    <mergeCell ref="L199:M199"/>
    <mergeCell ref="N199:Q199"/>
    <mergeCell ref="F208:I208"/>
    <mergeCell ref="N282:Q282"/>
    <mergeCell ref="L97:Q97"/>
    <mergeCell ref="M108:P108"/>
    <mergeCell ref="M110:Q110"/>
    <mergeCell ref="N155:Q155"/>
    <mergeCell ref="C103:Q103"/>
    <mergeCell ref="F105:P105"/>
    <mergeCell ref="F106:P106"/>
    <mergeCell ref="F164:I164"/>
    <mergeCell ref="N153:Q153"/>
    <mergeCell ref="N154:Q154"/>
    <mergeCell ref="F113:P113"/>
    <mergeCell ref="F156:I156"/>
    <mergeCell ref="N276:Q276"/>
    <mergeCell ref="F157:I157"/>
    <mergeCell ref="F282:I282"/>
    <mergeCell ref="L282:M282"/>
    <mergeCell ref="N273:Q273"/>
    <mergeCell ref="F276:I276"/>
    <mergeCell ref="F277:I277"/>
    <mergeCell ref="L276:M276"/>
    <mergeCell ref="L216:M216"/>
    <mergeCell ref="F187:I187"/>
    <mergeCell ref="F188:I188"/>
    <mergeCell ref="C2:Q2"/>
    <mergeCell ref="F4:P4"/>
    <mergeCell ref="F5:P5"/>
    <mergeCell ref="O7:P7"/>
    <mergeCell ref="O9:P9"/>
    <mergeCell ref="O10:P10"/>
    <mergeCell ref="O12:P12"/>
    <mergeCell ref="O13:P13"/>
    <mergeCell ref="O15:P15"/>
    <mergeCell ref="F12:I12"/>
    <mergeCell ref="O16:P16"/>
    <mergeCell ref="O18:P18"/>
    <mergeCell ref="O19:P19"/>
    <mergeCell ref="M29:P29"/>
    <mergeCell ref="M32:P32"/>
    <mergeCell ref="N94:Q94"/>
    <mergeCell ref="M82:Q82"/>
    <mergeCell ref="M83:Q83"/>
    <mergeCell ref="G26:P26"/>
    <mergeCell ref="H34:J34"/>
    <mergeCell ref="M80:P80"/>
    <mergeCell ref="C75:Q75"/>
    <mergeCell ref="D26:E26"/>
    <mergeCell ref="D25:E25"/>
    <mergeCell ref="G25:P25"/>
    <mergeCell ref="L37:P37"/>
    <mergeCell ref="H35:J35"/>
    <mergeCell ref="F78:P78"/>
    <mergeCell ref="M34:P34"/>
    <mergeCell ref="F77:P77"/>
    <mergeCell ref="C85:G85"/>
    <mergeCell ref="N85:Q85"/>
    <mergeCell ref="M35:P35"/>
    <mergeCell ref="N91:Q91"/>
    <mergeCell ref="N92:Q92"/>
    <mergeCell ref="N93:Q93"/>
    <mergeCell ref="N95:Q95"/>
    <mergeCell ref="F243:I243"/>
    <mergeCell ref="L243:M243"/>
    <mergeCell ref="L156:M156"/>
    <mergeCell ref="N156:Q156"/>
    <mergeCell ref="N158:Q158"/>
    <mergeCell ref="F200:I200"/>
    <mergeCell ref="L159:M159"/>
    <mergeCell ref="F159:I159"/>
    <mergeCell ref="L228:M228"/>
    <mergeCell ref="N228:Q228"/>
    <mergeCell ref="F161:I161"/>
    <mergeCell ref="F162:I162"/>
    <mergeCell ref="F186:I186"/>
    <mergeCell ref="L186:M186"/>
    <mergeCell ref="N186:Q186"/>
    <mergeCell ref="L163:M163"/>
    <mergeCell ref="N163:Q163"/>
    <mergeCell ref="F160:I160"/>
    <mergeCell ref="F228:I228"/>
    <mergeCell ref="F226:I226"/>
    <mergeCell ref="F233:I233"/>
    <mergeCell ref="O21:P21"/>
    <mergeCell ref="E22:P22"/>
    <mergeCell ref="N159:Q159"/>
    <mergeCell ref="F112:P112"/>
    <mergeCell ref="M111:Q111"/>
    <mergeCell ref="F115:I115"/>
    <mergeCell ref="L115:M115"/>
    <mergeCell ref="N115:Q115"/>
    <mergeCell ref="F184:I184"/>
    <mergeCell ref="L184:M184"/>
    <mergeCell ref="N184:Q184"/>
    <mergeCell ref="F166:I166"/>
    <mergeCell ref="L166:M166"/>
    <mergeCell ref="N166:Q166"/>
    <mergeCell ref="F167:I167"/>
    <mergeCell ref="F168:I168"/>
    <mergeCell ref="F172:I172"/>
    <mergeCell ref="F174:I174"/>
    <mergeCell ref="F177:I177"/>
    <mergeCell ref="F173:I173"/>
    <mergeCell ref="F175:I175"/>
    <mergeCell ref="F169:I169"/>
    <mergeCell ref="F171:I171"/>
    <mergeCell ref="F170:I170"/>
    <mergeCell ref="F272:I272"/>
    <mergeCell ref="F176:I176"/>
    <mergeCell ref="F189:I189"/>
    <mergeCell ref="F194:I194"/>
    <mergeCell ref="F202:I202"/>
    <mergeCell ref="F213:I213"/>
    <mergeCell ref="F219:I219"/>
    <mergeCell ref="F232:I232"/>
    <mergeCell ref="F227:I227"/>
    <mergeCell ref="F268:I268"/>
    <mergeCell ref="F262:I262"/>
    <mergeCell ref="F263:I263"/>
    <mergeCell ref="F264:I264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599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236" customWidth="1"/>
    <col min="2" max="2" width="1.6640625" style="236" customWidth="1"/>
    <col min="3" max="3" width="4.1640625" style="236" customWidth="1"/>
    <col min="4" max="4" width="4.33203125" style="236" customWidth="1"/>
    <col min="5" max="5" width="22.33203125" style="236" customWidth="1"/>
    <col min="6" max="6" width="13.83203125" style="236" customWidth="1"/>
    <col min="7" max="7" width="11.1640625" style="236" customWidth="1"/>
    <col min="8" max="8" width="12.5" style="236" customWidth="1"/>
    <col min="9" max="9" width="34.33203125" style="236" customWidth="1"/>
    <col min="10" max="10" width="8" style="69" customWidth="1"/>
    <col min="11" max="11" width="15.5" style="236" customWidth="1"/>
    <col min="12" max="12" width="12" style="236" customWidth="1"/>
    <col min="13" max="13" width="7.5" style="236" customWidth="1"/>
    <col min="14" max="14" width="6" style="236" customWidth="1"/>
    <col min="15" max="15" width="2" style="236" customWidth="1"/>
    <col min="16" max="16" width="12.5" style="236" customWidth="1"/>
    <col min="17" max="17" width="4.1640625" style="236" customWidth="1"/>
    <col min="18" max="18" width="1.6640625" style="236" customWidth="1"/>
    <col min="19" max="19" width="2" style="236" customWidth="1"/>
    <col min="20" max="20" width="25.33203125" style="42" hidden="1" customWidth="1" outlineLevel="1"/>
    <col min="21" max="22" width="9.33203125" style="248" hidden="1" customWidth="1" outlineLevel="1"/>
    <col min="23" max="23" width="17.6640625" style="248" hidden="1" customWidth="1" outlineLevel="1"/>
    <col min="24" max="24" width="16" style="248" hidden="1" customWidth="1" outlineLevel="1"/>
    <col min="25" max="25" width="13.83203125" style="248" hidden="1" customWidth="1" outlineLevel="1"/>
    <col min="26" max="28" width="9.33203125" style="248" hidden="1" customWidth="1" outlineLevel="1"/>
    <col min="29" max="29" width="34.6640625" style="305" customWidth="1" collapsed="1"/>
    <col min="30" max="16384" width="9.33203125" style="236"/>
  </cols>
  <sheetData>
    <row r="1" spans="2:18">
      <c r="B1" s="233"/>
      <c r="C1" s="234"/>
      <c r="D1" s="234"/>
      <c r="E1" s="234"/>
      <c r="F1" s="234"/>
      <c r="G1" s="234"/>
      <c r="H1" s="234"/>
      <c r="I1" s="234"/>
      <c r="J1" s="46"/>
      <c r="K1" s="234"/>
      <c r="L1" s="234"/>
      <c r="M1" s="234"/>
      <c r="N1" s="234"/>
      <c r="O1" s="234"/>
      <c r="P1" s="234"/>
      <c r="Q1" s="234"/>
      <c r="R1" s="235"/>
    </row>
    <row r="2" spans="2:18" ht="20.25">
      <c r="B2" s="237"/>
      <c r="C2" s="697" t="s">
        <v>38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238"/>
    </row>
    <row r="3" spans="2:18">
      <c r="B3" s="237"/>
      <c r="J3" s="47"/>
      <c r="R3" s="238"/>
    </row>
    <row r="4" spans="2:18" ht="12">
      <c r="B4" s="237"/>
      <c r="D4" s="239" t="s">
        <v>3</v>
      </c>
      <c r="F4" s="721" t="str">
        <f>Rekapitulace!K4</f>
        <v>Stavební úpravy, vestavba a přístavba stávajícího objektu</v>
      </c>
      <c r="G4" s="722"/>
      <c r="H4" s="722"/>
      <c r="I4" s="722"/>
      <c r="J4" s="722"/>
      <c r="K4" s="722"/>
      <c r="L4" s="722"/>
      <c r="M4" s="722"/>
      <c r="N4" s="722"/>
      <c r="O4" s="722"/>
      <c r="P4" s="722"/>
      <c r="R4" s="238"/>
    </row>
    <row r="5" spans="2:18" ht="15.75">
      <c r="B5" s="237"/>
      <c r="D5" s="241" t="s">
        <v>39</v>
      </c>
      <c r="F5" s="691" t="s">
        <v>629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R5" s="238"/>
    </row>
    <row r="6" spans="2:18" ht="12">
      <c r="B6" s="237"/>
      <c r="D6" s="239" t="s">
        <v>4</v>
      </c>
      <c r="F6" s="240" t="s">
        <v>0</v>
      </c>
      <c r="J6" s="47"/>
      <c r="M6" s="239" t="s">
        <v>5</v>
      </c>
      <c r="O6" s="240" t="s">
        <v>0</v>
      </c>
      <c r="R6" s="238"/>
    </row>
    <row r="7" spans="2:18" ht="12">
      <c r="B7" s="237"/>
      <c r="D7" s="239" t="s">
        <v>6</v>
      </c>
      <c r="F7" s="240" t="str">
        <f>Rekapitulace!I82</f>
        <v>Mírové náměstí 23/12, Bílina - p.č. 124, 125/1, 125/2, 125/3, k.ú. Bílina (604208)</v>
      </c>
      <c r="J7" s="47"/>
      <c r="M7" s="239" t="s">
        <v>7</v>
      </c>
      <c r="O7" s="712">
        <f>Rekapitulace!AN6</f>
        <v>0</v>
      </c>
      <c r="P7" s="712"/>
      <c r="R7" s="238"/>
    </row>
    <row r="8" spans="2:18">
      <c r="B8" s="237"/>
      <c r="J8" s="47"/>
      <c r="R8" s="238"/>
    </row>
    <row r="9" spans="2:18" ht="12">
      <c r="B9" s="237"/>
      <c r="D9" s="239" t="s">
        <v>8</v>
      </c>
      <c r="F9" s="236" t="str">
        <f>Rekapitulace!K8</f>
        <v>město Bílina</v>
      </c>
      <c r="J9" s="47"/>
      <c r="M9" s="239" t="s">
        <v>9</v>
      </c>
      <c r="O9" s="692" t="s">
        <v>0</v>
      </c>
      <c r="P9" s="692"/>
      <c r="R9" s="238"/>
    </row>
    <row r="10" spans="2:18" ht="12">
      <c r="B10" s="237"/>
      <c r="E10" s="240"/>
      <c r="J10" s="47"/>
      <c r="M10" s="239" t="s">
        <v>10</v>
      </c>
      <c r="O10" s="692" t="s">
        <v>0</v>
      </c>
      <c r="P10" s="692"/>
      <c r="R10" s="238"/>
    </row>
    <row r="11" spans="2:18">
      <c r="B11" s="237"/>
      <c r="J11" s="47"/>
      <c r="R11" s="238"/>
    </row>
    <row r="12" spans="2:18" ht="12">
      <c r="B12" s="237"/>
      <c r="D12" s="239" t="s">
        <v>11</v>
      </c>
      <c r="F12" s="736">
        <f>Rekapitulace!K11</f>
        <v>0</v>
      </c>
      <c r="G12" s="736"/>
      <c r="H12" s="736"/>
      <c r="I12" s="736"/>
      <c r="J12" s="47"/>
      <c r="M12" s="239" t="s">
        <v>9</v>
      </c>
      <c r="O12" s="692" t="str">
        <f>IF(Rekapitulace!AN11="","",Rekapitulace!AN11)</f>
        <v/>
      </c>
      <c r="P12" s="692"/>
      <c r="R12" s="238"/>
    </row>
    <row r="13" spans="2:18" ht="12">
      <c r="B13" s="237"/>
      <c r="E13" s="240" t="str">
        <f>IF(Rekapitulace!E12="","",Rekapitulace!E12)</f>
        <v xml:space="preserve"> </v>
      </c>
      <c r="J13" s="47"/>
      <c r="M13" s="239" t="s">
        <v>10</v>
      </c>
      <c r="O13" s="692" t="str">
        <f>IF(Rekapitulace!AN12="","",Rekapitulace!AN12)</f>
        <v/>
      </c>
      <c r="P13" s="692"/>
      <c r="R13" s="238"/>
    </row>
    <row r="14" spans="2:18">
      <c r="B14" s="237"/>
      <c r="J14" s="47"/>
      <c r="R14" s="238"/>
    </row>
    <row r="15" spans="2:18" ht="12">
      <c r="B15" s="237"/>
      <c r="D15" s="239" t="s">
        <v>13</v>
      </c>
      <c r="J15" s="47"/>
      <c r="M15" s="239" t="s">
        <v>9</v>
      </c>
      <c r="O15" s="692" t="s">
        <v>0</v>
      </c>
      <c r="P15" s="692"/>
      <c r="R15" s="238"/>
    </row>
    <row r="16" spans="2:18" ht="12">
      <c r="B16" s="237"/>
      <c r="E16" s="240" t="str">
        <f>Rekapitulace!E15</f>
        <v>Ing. arch. Bořek Peška</v>
      </c>
      <c r="J16" s="47"/>
      <c r="M16" s="239" t="s">
        <v>10</v>
      </c>
      <c r="O16" s="692" t="s">
        <v>0</v>
      </c>
      <c r="P16" s="692"/>
      <c r="R16" s="238"/>
    </row>
    <row r="17" spans="2:29">
      <c r="B17" s="237"/>
      <c r="J17" s="47"/>
      <c r="R17" s="238"/>
    </row>
    <row r="18" spans="2:29" ht="12">
      <c r="B18" s="237"/>
      <c r="D18" s="239" t="s">
        <v>14</v>
      </c>
      <c r="J18" s="47"/>
      <c r="M18" s="239" t="s">
        <v>9</v>
      </c>
      <c r="O18" s="692" t="s">
        <v>0</v>
      </c>
      <c r="P18" s="692"/>
      <c r="R18" s="238"/>
    </row>
    <row r="19" spans="2:29" ht="12">
      <c r="B19" s="237"/>
      <c r="E19" s="240" t="str">
        <f>Rekapitulace!E18</f>
        <v>Jakub Kulhavý</v>
      </c>
      <c r="J19" s="47"/>
      <c r="M19" s="239" t="s">
        <v>10</v>
      </c>
      <c r="O19" s="692" t="s">
        <v>0</v>
      </c>
      <c r="P19" s="692"/>
      <c r="R19" s="238"/>
    </row>
    <row r="20" spans="2:29">
      <c r="B20" s="237"/>
      <c r="J20" s="47"/>
      <c r="R20" s="238"/>
    </row>
    <row r="21" spans="2:29" ht="12">
      <c r="B21" s="237"/>
      <c r="D21" s="239" t="s">
        <v>186</v>
      </c>
      <c r="J21" s="47"/>
      <c r="M21" s="239"/>
      <c r="O21" s="692" t="s">
        <v>0</v>
      </c>
      <c r="P21" s="692"/>
      <c r="R21" s="238"/>
    </row>
    <row r="22" spans="2:29" ht="12">
      <c r="B22" s="237"/>
      <c r="E22" s="692" t="str">
        <f>Rekapitulace!E21</f>
        <v>projektové dokumentace ve stupni DPS z 04/2023</v>
      </c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R22" s="238"/>
    </row>
    <row r="23" spans="2:29">
      <c r="B23" s="237"/>
      <c r="J23" s="47"/>
      <c r="R23" s="238"/>
    </row>
    <row r="24" spans="2:29" ht="12">
      <c r="B24" s="237"/>
      <c r="D24" s="239" t="s">
        <v>94</v>
      </c>
      <c r="J24" s="47"/>
      <c r="R24" s="238"/>
    </row>
    <row r="25" spans="2:29" s="308" customFormat="1" ht="12">
      <c r="B25" s="307"/>
      <c r="D25" s="737"/>
      <c r="E25" s="737"/>
      <c r="F25" s="309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R25" s="310"/>
      <c r="T25" s="188"/>
      <c r="AC25" s="311"/>
    </row>
    <row r="26" spans="2:29" ht="12">
      <c r="B26" s="237"/>
      <c r="D26" s="736"/>
      <c r="E26" s="736"/>
      <c r="F26" s="312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R26" s="238"/>
      <c r="T26" s="78"/>
      <c r="U26" s="236"/>
    </row>
    <row r="27" spans="2:29">
      <c r="B27" s="237"/>
      <c r="J27" s="47"/>
      <c r="R27" s="238"/>
    </row>
    <row r="28" spans="2:29">
      <c r="B28" s="237"/>
      <c r="D28" s="266"/>
      <c r="E28" s="266"/>
      <c r="F28" s="266"/>
      <c r="G28" s="266"/>
      <c r="H28" s="266"/>
      <c r="I28" s="266"/>
      <c r="J28" s="48"/>
      <c r="K28" s="266"/>
      <c r="L28" s="266"/>
      <c r="M28" s="266"/>
      <c r="N28" s="266"/>
      <c r="O28" s="266"/>
      <c r="P28" s="266"/>
      <c r="R28" s="238"/>
    </row>
    <row r="29" spans="2:29" ht="12.75">
      <c r="B29" s="237"/>
      <c r="D29" s="313" t="str">
        <f>C87</f>
        <v>1) Náklady z rozpočtu - prostory Infocentrum a navazující</v>
      </c>
      <c r="J29" s="47"/>
      <c r="M29" s="670">
        <f>N87</f>
        <v>0</v>
      </c>
      <c r="N29" s="670"/>
      <c r="O29" s="670"/>
      <c r="P29" s="670"/>
      <c r="R29" s="238"/>
    </row>
    <row r="30" spans="2:29" ht="12.75">
      <c r="B30" s="237"/>
      <c r="D30" s="313" t="str">
        <f>C95</f>
        <v>2) Náklady z rozpočtu</v>
      </c>
      <c r="J30" s="47"/>
      <c r="M30" s="670">
        <f>N95</f>
        <v>0</v>
      </c>
      <c r="N30" s="670"/>
      <c r="O30" s="670"/>
      <c r="P30" s="670"/>
      <c r="R30" s="238"/>
    </row>
    <row r="31" spans="2:29">
      <c r="B31" s="237"/>
      <c r="J31" s="47"/>
      <c r="R31" s="238"/>
    </row>
    <row r="32" spans="2:29" ht="12.75">
      <c r="B32" s="237"/>
      <c r="D32" s="314" t="s">
        <v>16</v>
      </c>
      <c r="J32" s="47"/>
      <c r="M32" s="735">
        <f>ROUND(M29+M30,2)</f>
        <v>0</v>
      </c>
      <c r="N32" s="671"/>
      <c r="O32" s="671"/>
      <c r="P32" s="671"/>
      <c r="R32" s="238"/>
    </row>
    <row r="33" spans="2:18">
      <c r="B33" s="237"/>
      <c r="D33" s="266"/>
      <c r="E33" s="266"/>
      <c r="F33" s="266"/>
      <c r="G33" s="266"/>
      <c r="H33" s="266"/>
      <c r="I33" s="266"/>
      <c r="J33" s="48"/>
      <c r="K33" s="266"/>
      <c r="L33" s="266"/>
      <c r="M33" s="266"/>
      <c r="N33" s="266"/>
      <c r="O33" s="266"/>
      <c r="P33" s="266"/>
      <c r="R33" s="238"/>
    </row>
    <row r="34" spans="2:18">
      <c r="B34" s="237"/>
      <c r="D34" s="257" t="s">
        <v>17</v>
      </c>
      <c r="E34" s="257" t="s">
        <v>18</v>
      </c>
      <c r="F34" s="49">
        <v>0.21</v>
      </c>
      <c r="G34" s="315" t="s">
        <v>19</v>
      </c>
      <c r="H34" s="688">
        <f>ROUND(M32, 2)</f>
        <v>0</v>
      </c>
      <c r="I34" s="671"/>
      <c r="J34" s="671"/>
      <c r="M34" s="741">
        <f>ROUND(H34*F34, 2)</f>
        <v>0</v>
      </c>
      <c r="N34" s="671"/>
      <c r="O34" s="671"/>
      <c r="P34" s="671"/>
      <c r="R34" s="238"/>
    </row>
    <row r="35" spans="2:18">
      <c r="B35" s="237"/>
      <c r="E35" s="257" t="s">
        <v>20</v>
      </c>
      <c r="F35" s="49">
        <v>0.15</v>
      </c>
      <c r="G35" s="315" t="s">
        <v>19</v>
      </c>
      <c r="H35" s="688">
        <v>0</v>
      </c>
      <c r="I35" s="671"/>
      <c r="J35" s="671"/>
      <c r="M35" s="741">
        <f>ROUND(H35*F35, 2)</f>
        <v>0</v>
      </c>
      <c r="N35" s="671"/>
      <c r="O35" s="671"/>
      <c r="P35" s="671"/>
      <c r="R35" s="238"/>
    </row>
    <row r="36" spans="2:18">
      <c r="B36" s="237"/>
      <c r="J36" s="47"/>
      <c r="R36" s="238"/>
    </row>
    <row r="37" spans="2:18" ht="15.75">
      <c r="B37" s="237"/>
      <c r="C37" s="297"/>
      <c r="D37" s="316" t="s">
        <v>24</v>
      </c>
      <c r="E37" s="283"/>
      <c r="F37" s="283"/>
      <c r="G37" s="317" t="s">
        <v>25</v>
      </c>
      <c r="H37" s="318" t="s">
        <v>26</v>
      </c>
      <c r="I37" s="283"/>
      <c r="J37" s="50"/>
      <c r="K37" s="283"/>
      <c r="L37" s="739">
        <f>SUM(M32:M35)</f>
        <v>0</v>
      </c>
      <c r="M37" s="739"/>
      <c r="N37" s="739"/>
      <c r="O37" s="739"/>
      <c r="P37" s="740"/>
      <c r="Q37" s="297"/>
      <c r="R37" s="238"/>
    </row>
    <row r="38" spans="2:18">
      <c r="B38" s="237"/>
      <c r="J38" s="47"/>
      <c r="R38" s="238"/>
    </row>
    <row r="39" spans="2:18">
      <c r="B39" s="237"/>
      <c r="J39" s="47"/>
      <c r="R39" s="238"/>
    </row>
    <row r="40" spans="2:18">
      <c r="B40" s="237"/>
      <c r="J40" s="47"/>
      <c r="R40" s="238"/>
    </row>
    <row r="41" spans="2:18">
      <c r="B41" s="237"/>
      <c r="J41" s="47"/>
      <c r="R41" s="238"/>
    </row>
    <row r="42" spans="2:18">
      <c r="B42" s="237"/>
      <c r="J42" s="47"/>
      <c r="R42" s="238"/>
    </row>
    <row r="43" spans="2:18">
      <c r="B43" s="237"/>
      <c r="J43" s="47"/>
      <c r="R43" s="238"/>
    </row>
    <row r="44" spans="2:18">
      <c r="B44" s="237"/>
      <c r="J44" s="47"/>
      <c r="R44" s="238"/>
    </row>
    <row r="45" spans="2:18">
      <c r="B45" s="237"/>
      <c r="J45" s="47"/>
      <c r="R45" s="238"/>
    </row>
    <row r="46" spans="2:18">
      <c r="B46" s="237"/>
      <c r="J46" s="47"/>
      <c r="R46" s="238"/>
    </row>
    <row r="47" spans="2:18">
      <c r="B47" s="237"/>
      <c r="J47" s="47"/>
      <c r="R47" s="238"/>
    </row>
    <row r="48" spans="2:18">
      <c r="B48" s="237"/>
      <c r="J48" s="47"/>
      <c r="R48" s="238"/>
    </row>
    <row r="49" spans="2:18" ht="12.75">
      <c r="B49" s="237"/>
      <c r="D49" s="265" t="s">
        <v>27</v>
      </c>
      <c r="E49" s="266"/>
      <c r="F49" s="266"/>
      <c r="G49" s="266"/>
      <c r="H49" s="267"/>
      <c r="J49" s="51" t="s">
        <v>28</v>
      </c>
      <c r="K49" s="266"/>
      <c r="L49" s="266"/>
      <c r="M49" s="266"/>
      <c r="N49" s="266"/>
      <c r="O49" s="266"/>
      <c r="P49" s="267"/>
      <c r="R49" s="238"/>
    </row>
    <row r="50" spans="2:18">
      <c r="B50" s="237"/>
      <c r="D50" s="268"/>
      <c r="H50" s="269"/>
      <c r="J50" s="52"/>
      <c r="P50" s="269"/>
      <c r="R50" s="238"/>
    </row>
    <row r="51" spans="2:18">
      <c r="B51" s="237"/>
      <c r="D51" s="268"/>
      <c r="H51" s="269"/>
      <c r="J51" s="52"/>
      <c r="P51" s="269"/>
      <c r="R51" s="238"/>
    </row>
    <row r="52" spans="2:18">
      <c r="B52" s="237"/>
      <c r="D52" s="268"/>
      <c r="H52" s="269"/>
      <c r="J52" s="52"/>
      <c r="P52" s="269"/>
      <c r="R52" s="238"/>
    </row>
    <row r="53" spans="2:18">
      <c r="B53" s="237"/>
      <c r="D53" s="268"/>
      <c r="H53" s="269"/>
      <c r="J53" s="52"/>
      <c r="P53" s="269"/>
      <c r="R53" s="238"/>
    </row>
    <row r="54" spans="2:18">
      <c r="B54" s="237"/>
      <c r="D54" s="268"/>
      <c r="H54" s="269"/>
      <c r="J54" s="52"/>
      <c r="P54" s="269"/>
      <c r="R54" s="238"/>
    </row>
    <row r="55" spans="2:18">
      <c r="B55" s="237"/>
      <c r="D55" s="268"/>
      <c r="H55" s="269"/>
      <c r="J55" s="52"/>
      <c r="P55" s="269"/>
      <c r="R55" s="238"/>
    </row>
    <row r="56" spans="2:18">
      <c r="B56" s="237"/>
      <c r="D56" s="268"/>
      <c r="H56" s="269"/>
      <c r="J56" s="52"/>
      <c r="P56" s="269"/>
      <c r="R56" s="238"/>
    </row>
    <row r="57" spans="2:18">
      <c r="B57" s="237"/>
      <c r="D57" s="268"/>
      <c r="H57" s="269"/>
      <c r="J57" s="52"/>
      <c r="P57" s="269"/>
      <c r="R57" s="238"/>
    </row>
    <row r="58" spans="2:18" ht="12.75">
      <c r="B58" s="237"/>
      <c r="D58" s="270" t="s">
        <v>29</v>
      </c>
      <c r="E58" s="271"/>
      <c r="F58" s="271"/>
      <c r="G58" s="272" t="s">
        <v>30</v>
      </c>
      <c r="H58" s="273"/>
      <c r="J58" s="53" t="s">
        <v>29</v>
      </c>
      <c r="K58" s="271"/>
      <c r="L58" s="271"/>
      <c r="M58" s="271"/>
      <c r="N58" s="272" t="s">
        <v>30</v>
      </c>
      <c r="O58" s="271"/>
      <c r="P58" s="273"/>
      <c r="R58" s="238"/>
    </row>
    <row r="59" spans="2:18">
      <c r="B59" s="237"/>
      <c r="J59" s="47"/>
      <c r="R59" s="238"/>
    </row>
    <row r="60" spans="2:18" ht="12.75">
      <c r="B60" s="237"/>
      <c r="D60" s="265" t="s">
        <v>31</v>
      </c>
      <c r="E60" s="266"/>
      <c r="F60" s="266"/>
      <c r="G60" s="266"/>
      <c r="H60" s="267"/>
      <c r="J60" s="51" t="s">
        <v>32</v>
      </c>
      <c r="K60" s="266"/>
      <c r="L60" s="266"/>
      <c r="M60" s="266"/>
      <c r="N60" s="266"/>
      <c r="O60" s="266"/>
      <c r="P60" s="267"/>
      <c r="R60" s="238"/>
    </row>
    <row r="61" spans="2:18">
      <c r="B61" s="237"/>
      <c r="D61" s="268"/>
      <c r="H61" s="269"/>
      <c r="J61" s="52"/>
      <c r="P61" s="269"/>
      <c r="R61" s="238"/>
    </row>
    <row r="62" spans="2:18">
      <c r="B62" s="237"/>
      <c r="D62" s="268"/>
      <c r="H62" s="269"/>
      <c r="J62" s="52"/>
      <c r="P62" s="269"/>
      <c r="R62" s="238"/>
    </row>
    <row r="63" spans="2:18">
      <c r="B63" s="237"/>
      <c r="D63" s="268"/>
      <c r="H63" s="269"/>
      <c r="J63" s="52"/>
      <c r="P63" s="269"/>
      <c r="R63" s="238"/>
    </row>
    <row r="64" spans="2:18">
      <c r="B64" s="237"/>
      <c r="D64" s="268"/>
      <c r="H64" s="269"/>
      <c r="J64" s="52"/>
      <c r="P64" s="269"/>
      <c r="R64" s="238"/>
    </row>
    <row r="65" spans="2:18">
      <c r="B65" s="237"/>
      <c r="D65" s="268"/>
      <c r="H65" s="269"/>
      <c r="J65" s="52"/>
      <c r="P65" s="269"/>
      <c r="R65" s="238"/>
    </row>
    <row r="66" spans="2:18">
      <c r="B66" s="237"/>
      <c r="D66" s="268"/>
      <c r="H66" s="269"/>
      <c r="J66" s="52"/>
      <c r="P66" s="269"/>
      <c r="R66" s="238"/>
    </row>
    <row r="67" spans="2:18">
      <c r="B67" s="237"/>
      <c r="D67" s="268"/>
      <c r="H67" s="269"/>
      <c r="J67" s="52"/>
      <c r="P67" s="269"/>
      <c r="R67" s="238"/>
    </row>
    <row r="68" spans="2:18">
      <c r="B68" s="237"/>
      <c r="D68" s="268"/>
      <c r="H68" s="269"/>
      <c r="J68" s="52"/>
      <c r="P68" s="269"/>
      <c r="R68" s="238"/>
    </row>
    <row r="69" spans="2:18" ht="12.75">
      <c r="B69" s="237"/>
      <c r="D69" s="270" t="s">
        <v>29</v>
      </c>
      <c r="E69" s="271"/>
      <c r="F69" s="271"/>
      <c r="G69" s="272" t="s">
        <v>30</v>
      </c>
      <c r="H69" s="273"/>
      <c r="J69" s="53" t="s">
        <v>29</v>
      </c>
      <c r="K69" s="271"/>
      <c r="L69" s="271"/>
      <c r="M69" s="271"/>
      <c r="N69" s="272" t="s">
        <v>30</v>
      </c>
      <c r="O69" s="271"/>
      <c r="P69" s="273"/>
      <c r="R69" s="238"/>
    </row>
    <row r="70" spans="2:18">
      <c r="B70" s="274"/>
      <c r="C70" s="275"/>
      <c r="D70" s="275"/>
      <c r="E70" s="275"/>
      <c r="F70" s="275"/>
      <c r="G70" s="275"/>
      <c r="H70" s="275"/>
      <c r="I70" s="275"/>
      <c r="J70" s="54"/>
      <c r="K70" s="275"/>
      <c r="L70" s="275"/>
      <c r="M70" s="275"/>
      <c r="N70" s="275"/>
      <c r="O70" s="275"/>
      <c r="P70" s="275"/>
      <c r="Q70" s="275"/>
      <c r="R70" s="276"/>
    </row>
    <row r="74" spans="2:18">
      <c r="B74" s="233"/>
      <c r="C74" s="234"/>
      <c r="D74" s="234"/>
      <c r="E74" s="234"/>
      <c r="F74" s="234"/>
      <c r="G74" s="234"/>
      <c r="H74" s="234"/>
      <c r="I74" s="234"/>
      <c r="J74" s="46"/>
      <c r="K74" s="234"/>
      <c r="L74" s="234"/>
      <c r="M74" s="234"/>
      <c r="N74" s="234"/>
      <c r="O74" s="234"/>
      <c r="P74" s="234"/>
      <c r="Q74" s="234"/>
      <c r="R74" s="235"/>
    </row>
    <row r="75" spans="2:18" ht="20.25">
      <c r="B75" s="237"/>
      <c r="C75" s="697" t="s">
        <v>40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238"/>
    </row>
    <row r="76" spans="2:18">
      <c r="B76" s="237"/>
      <c r="J76" s="47"/>
      <c r="R76" s="238"/>
    </row>
    <row r="77" spans="2:18" ht="12">
      <c r="B77" s="237"/>
      <c r="C77" s="239" t="s">
        <v>3</v>
      </c>
      <c r="F77" s="721" t="str">
        <f>F4</f>
        <v>Stavební úpravy, vestavba a přístavba stávajícího objektu</v>
      </c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R77" s="238"/>
    </row>
    <row r="78" spans="2:18" ht="15.75">
      <c r="B78" s="237"/>
      <c r="C78" s="241" t="s">
        <v>39</v>
      </c>
      <c r="F78" s="691" t="str">
        <f>F5</f>
        <v>Sanace</v>
      </c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R78" s="238"/>
    </row>
    <row r="79" spans="2:18">
      <c r="B79" s="237"/>
      <c r="J79" s="47"/>
      <c r="R79" s="238"/>
    </row>
    <row r="80" spans="2:18" ht="12">
      <c r="B80" s="237"/>
      <c r="C80" s="239" t="s">
        <v>6</v>
      </c>
      <c r="F80" s="240" t="str">
        <f>F7</f>
        <v>Mírové náměstí 23/12, Bílina - p.č. 124, 125/1, 125/2, 125/3, k.ú. Bílina (604208)</v>
      </c>
      <c r="J80" s="47"/>
      <c r="K80" s="239" t="s">
        <v>7</v>
      </c>
      <c r="M80" s="712">
        <f>IF(O7="","",O7)</f>
        <v>0</v>
      </c>
      <c r="N80" s="712"/>
      <c r="O80" s="712"/>
      <c r="P80" s="712"/>
      <c r="R80" s="238"/>
    </row>
    <row r="81" spans="2:29">
      <c r="B81" s="237"/>
      <c r="J81" s="47"/>
      <c r="R81" s="238"/>
    </row>
    <row r="82" spans="2:29" ht="12">
      <c r="B82" s="237"/>
      <c r="C82" s="239" t="s">
        <v>8</v>
      </c>
      <c r="F82" s="240" t="str">
        <f>F9</f>
        <v>město Bílina</v>
      </c>
      <c r="J82" s="47"/>
      <c r="K82" s="239" t="s">
        <v>13</v>
      </c>
      <c r="M82" s="692" t="str">
        <f>E16</f>
        <v>Ing. arch. Bořek Peška</v>
      </c>
      <c r="N82" s="692"/>
      <c r="O82" s="692"/>
      <c r="P82" s="692"/>
      <c r="Q82" s="692"/>
      <c r="R82" s="238"/>
    </row>
    <row r="83" spans="2:29" ht="12">
      <c r="B83" s="237"/>
      <c r="C83" s="239" t="s">
        <v>11</v>
      </c>
      <c r="F83" s="240">
        <f>F12</f>
        <v>0</v>
      </c>
      <c r="J83" s="47"/>
      <c r="K83" s="239" t="s">
        <v>14</v>
      </c>
      <c r="M83" s="692" t="str">
        <f>E19</f>
        <v>Jakub Kulhavý</v>
      </c>
      <c r="N83" s="692"/>
      <c r="O83" s="692"/>
      <c r="P83" s="692"/>
      <c r="Q83" s="692"/>
      <c r="R83" s="238"/>
    </row>
    <row r="84" spans="2:29">
      <c r="B84" s="237"/>
      <c r="J84" s="47"/>
      <c r="R84" s="238"/>
    </row>
    <row r="85" spans="2:29" ht="12">
      <c r="B85" s="237"/>
      <c r="C85" s="742" t="s">
        <v>41</v>
      </c>
      <c r="D85" s="743"/>
      <c r="E85" s="743"/>
      <c r="F85" s="743"/>
      <c r="G85" s="743"/>
      <c r="H85" s="297" t="s">
        <v>198</v>
      </c>
      <c r="I85" s="319">
        <f>Rekapitulace!AS118</f>
        <v>803.81999999999982</v>
      </c>
      <c r="J85" s="55"/>
      <c r="K85" s="297" t="s">
        <v>197</v>
      </c>
      <c r="L85" s="297"/>
      <c r="M85" s="297"/>
      <c r="N85" s="742" t="s">
        <v>42</v>
      </c>
      <c r="O85" s="743"/>
      <c r="P85" s="743"/>
      <c r="Q85" s="743"/>
      <c r="R85" s="238"/>
    </row>
    <row r="86" spans="2:29">
      <c r="B86" s="237"/>
      <c r="J86" s="47"/>
      <c r="R86" s="238"/>
    </row>
    <row r="87" spans="2:29" ht="15.75">
      <c r="B87" s="237"/>
      <c r="C87" s="320" t="str">
        <f>C123</f>
        <v>1) Náklady z rozpočtu - prostory Infocentrum a navazující</v>
      </c>
      <c r="I87" s="306">
        <f>30.61</f>
        <v>30.61</v>
      </c>
      <c r="J87" s="47"/>
      <c r="K87" s="79">
        <f t="shared" ref="K87:K94" si="0">N87/$I$87</f>
        <v>0</v>
      </c>
      <c r="N87" s="681">
        <f>N88</f>
        <v>0</v>
      </c>
      <c r="O87" s="744"/>
      <c r="P87" s="744"/>
      <c r="Q87" s="744"/>
      <c r="R87" s="238"/>
      <c r="T87" s="56">
        <f>SUM(N87:Q94)/3</f>
        <v>0</v>
      </c>
    </row>
    <row r="88" spans="2:29" s="322" customFormat="1" ht="15">
      <c r="B88" s="321"/>
      <c r="D88" s="323" t="s">
        <v>43</v>
      </c>
      <c r="I88" s="323"/>
      <c r="J88" s="57"/>
      <c r="K88" s="80">
        <f t="shared" si="0"/>
        <v>0</v>
      </c>
      <c r="N88" s="730">
        <f>SUM(N89:Q94)</f>
        <v>0</v>
      </c>
      <c r="O88" s="731"/>
      <c r="P88" s="731"/>
      <c r="Q88" s="731"/>
      <c r="R88" s="324"/>
      <c r="T88" s="56">
        <f>SUM(N88:Q94)/2</f>
        <v>0</v>
      </c>
      <c r="U88" s="325"/>
      <c r="V88" s="325"/>
      <c r="W88" s="325"/>
      <c r="X88" s="325"/>
      <c r="Y88" s="325"/>
      <c r="Z88" s="325"/>
      <c r="AA88" s="325"/>
      <c r="AB88" s="325"/>
      <c r="AC88" s="326"/>
    </row>
    <row r="89" spans="2:29" s="302" customFormat="1" ht="12.75">
      <c r="B89" s="327"/>
      <c r="D89" s="328" t="str">
        <f>D125</f>
        <v xml:space="preserve">    1 - Zemní práce</v>
      </c>
      <c r="I89" s="328"/>
      <c r="J89" s="58"/>
      <c r="K89" s="81">
        <f t="shared" si="0"/>
        <v>0</v>
      </c>
      <c r="N89" s="732">
        <f>N125</f>
        <v>0</v>
      </c>
      <c r="O89" s="733"/>
      <c r="P89" s="733"/>
      <c r="Q89" s="733"/>
      <c r="R89" s="329"/>
      <c r="T89" s="43"/>
      <c r="U89" s="330"/>
      <c r="V89" s="330"/>
      <c r="W89" s="330"/>
      <c r="X89" s="330"/>
      <c r="Y89" s="330"/>
      <c r="Z89" s="330"/>
      <c r="AA89" s="330"/>
      <c r="AB89" s="330"/>
      <c r="AC89" s="331"/>
    </row>
    <row r="90" spans="2:29" s="302" customFormat="1" ht="12.75">
      <c r="B90" s="327"/>
      <c r="D90" s="328" t="str">
        <f>D140</f>
        <v xml:space="preserve">    2 - Zakládání</v>
      </c>
      <c r="I90" s="328"/>
      <c r="J90" s="58"/>
      <c r="K90" s="81">
        <f t="shared" si="0"/>
        <v>0</v>
      </c>
      <c r="N90" s="732">
        <f>N140</f>
        <v>0</v>
      </c>
      <c r="O90" s="733"/>
      <c r="P90" s="733"/>
      <c r="Q90" s="733"/>
      <c r="R90" s="329"/>
      <c r="T90" s="43"/>
      <c r="U90" s="330"/>
      <c r="V90" s="330"/>
      <c r="W90" s="330"/>
      <c r="X90" s="330"/>
      <c r="Y90" s="330"/>
      <c r="Z90" s="330"/>
      <c r="AA90" s="330"/>
      <c r="AB90" s="330"/>
      <c r="AC90" s="331"/>
    </row>
    <row r="91" spans="2:29" s="302" customFormat="1" ht="12.75">
      <c r="B91" s="327"/>
      <c r="D91" s="328" t="str">
        <f>D143</f>
        <v xml:space="preserve">    5 - Komunikace a venkovní plochy</v>
      </c>
      <c r="I91" s="328"/>
      <c r="J91" s="58"/>
      <c r="K91" s="81">
        <f t="shared" si="0"/>
        <v>0</v>
      </c>
      <c r="N91" s="732">
        <f>N143</f>
        <v>0</v>
      </c>
      <c r="O91" s="733"/>
      <c r="P91" s="733"/>
      <c r="Q91" s="733"/>
      <c r="R91" s="329"/>
      <c r="T91" s="43"/>
      <c r="U91" s="330"/>
      <c r="V91" s="330"/>
      <c r="W91" s="330"/>
      <c r="X91" s="330"/>
      <c r="Y91" s="330"/>
      <c r="Z91" s="330"/>
      <c r="AA91" s="330"/>
      <c r="AB91" s="330"/>
      <c r="AC91" s="331"/>
    </row>
    <row r="92" spans="2:29" s="302" customFormat="1" ht="12.75">
      <c r="B92" s="327"/>
      <c r="D92" s="328" t="str">
        <f>D156</f>
        <v xml:space="preserve">    9.1 - Ostatní konstrukce a práce, bourání</v>
      </c>
      <c r="I92" s="328"/>
      <c r="J92" s="58"/>
      <c r="K92" s="81">
        <f t="shared" si="0"/>
        <v>0</v>
      </c>
      <c r="N92" s="732">
        <f>N156</f>
        <v>0</v>
      </c>
      <c r="O92" s="733"/>
      <c r="P92" s="733"/>
      <c r="Q92" s="733"/>
      <c r="R92" s="329"/>
      <c r="T92" s="43"/>
      <c r="U92" s="330"/>
      <c r="V92" s="330"/>
      <c r="W92" s="330"/>
      <c r="X92" s="330"/>
      <c r="Y92" s="330"/>
      <c r="Z92" s="330"/>
      <c r="AA92" s="330"/>
      <c r="AB92" s="330"/>
      <c r="AC92" s="331"/>
    </row>
    <row r="93" spans="2:29" s="302" customFormat="1" ht="12.75">
      <c r="B93" s="327"/>
      <c r="D93" s="328" t="str">
        <f>D172</f>
        <v xml:space="preserve">    9.2 - Sanace</v>
      </c>
      <c r="I93" s="328"/>
      <c r="J93" s="58"/>
      <c r="K93" s="81">
        <f t="shared" si="0"/>
        <v>0</v>
      </c>
      <c r="N93" s="732">
        <f>N172</f>
        <v>0</v>
      </c>
      <c r="O93" s="733"/>
      <c r="P93" s="733"/>
      <c r="Q93" s="733"/>
      <c r="R93" s="329"/>
      <c r="T93" s="43"/>
      <c r="U93" s="330"/>
      <c r="V93" s="330"/>
      <c r="W93" s="330"/>
      <c r="X93" s="330"/>
      <c r="Y93" s="330"/>
      <c r="Z93" s="330"/>
      <c r="AA93" s="330"/>
      <c r="AB93" s="330"/>
      <c r="AC93" s="331"/>
    </row>
    <row r="94" spans="2:29" s="302" customFormat="1" ht="12.75">
      <c r="B94" s="327"/>
      <c r="D94" s="328" t="str">
        <f>D311</f>
        <v xml:space="preserve">    997 - Přesuny suti</v>
      </c>
      <c r="I94" s="328"/>
      <c r="J94" s="58"/>
      <c r="K94" s="81">
        <f t="shared" si="0"/>
        <v>0</v>
      </c>
      <c r="N94" s="732">
        <f>N311</f>
        <v>0</v>
      </c>
      <c r="O94" s="733"/>
      <c r="P94" s="733"/>
      <c r="Q94" s="733"/>
      <c r="R94" s="329"/>
      <c r="T94" s="43"/>
      <c r="U94" s="330"/>
      <c r="V94" s="330"/>
      <c r="W94" s="330"/>
      <c r="X94" s="330"/>
      <c r="Y94" s="330"/>
      <c r="Z94" s="330"/>
      <c r="AA94" s="330"/>
      <c r="AB94" s="330"/>
      <c r="AC94" s="331"/>
    </row>
    <row r="95" spans="2:29" ht="15.75">
      <c r="B95" s="237"/>
      <c r="C95" s="320" t="str">
        <f>C318</f>
        <v>2) Náklady z rozpočtu</v>
      </c>
      <c r="I95" s="332">
        <f>I85-I87</f>
        <v>773.20999999999981</v>
      </c>
      <c r="J95" s="47"/>
      <c r="K95" s="79">
        <f t="shared" ref="K95:K102" si="1">N95/$I$95</f>
        <v>0</v>
      </c>
      <c r="N95" s="681">
        <f>N96</f>
        <v>0</v>
      </c>
      <c r="O95" s="744"/>
      <c r="P95" s="744"/>
      <c r="Q95" s="744"/>
      <c r="R95" s="238"/>
      <c r="T95" s="56"/>
    </row>
    <row r="96" spans="2:29" s="322" customFormat="1" ht="15">
      <c r="B96" s="321"/>
      <c r="D96" s="323" t="s">
        <v>43</v>
      </c>
      <c r="J96" s="57"/>
      <c r="K96" s="80">
        <f t="shared" si="1"/>
        <v>0</v>
      </c>
      <c r="N96" s="730">
        <f>SUM(N97:Q102)</f>
        <v>0</v>
      </c>
      <c r="O96" s="731"/>
      <c r="P96" s="731"/>
      <c r="Q96" s="731"/>
      <c r="R96" s="324"/>
      <c r="T96" s="56"/>
      <c r="U96" s="325"/>
      <c r="V96" s="325"/>
      <c r="W96" s="325"/>
      <c r="X96" s="325"/>
      <c r="Y96" s="325"/>
      <c r="Z96" s="325"/>
      <c r="AA96" s="325"/>
      <c r="AB96" s="325"/>
      <c r="AC96" s="326"/>
    </row>
    <row r="97" spans="2:29" s="302" customFormat="1" ht="12.75">
      <c r="B97" s="327"/>
      <c r="D97" s="328" t="str">
        <f>D320</f>
        <v xml:space="preserve">    1 - Zemní práce</v>
      </c>
      <c r="J97" s="58"/>
      <c r="K97" s="81">
        <f t="shared" si="1"/>
        <v>0</v>
      </c>
      <c r="N97" s="732">
        <f>N320</f>
        <v>0</v>
      </c>
      <c r="O97" s="733"/>
      <c r="P97" s="733"/>
      <c r="Q97" s="733"/>
      <c r="R97" s="329"/>
      <c r="T97" s="43"/>
      <c r="U97" s="330"/>
      <c r="V97" s="330"/>
      <c r="W97" s="330"/>
      <c r="X97" s="368"/>
      <c r="Y97" s="368"/>
      <c r="Z97" s="330"/>
      <c r="AA97" s="330"/>
      <c r="AB97" s="330"/>
      <c r="AC97" s="331"/>
    </row>
    <row r="98" spans="2:29" s="302" customFormat="1" ht="12.75">
      <c r="B98" s="327"/>
      <c r="D98" s="328" t="str">
        <f>D342</f>
        <v xml:space="preserve">    2 - Zakládání</v>
      </c>
      <c r="J98" s="58"/>
      <c r="K98" s="81">
        <f t="shared" si="1"/>
        <v>0</v>
      </c>
      <c r="N98" s="732">
        <f>N342</f>
        <v>0</v>
      </c>
      <c r="O98" s="733"/>
      <c r="P98" s="733"/>
      <c r="Q98" s="733"/>
      <c r="R98" s="329"/>
      <c r="T98" s="43"/>
      <c r="U98" s="330"/>
      <c r="V98" s="330"/>
      <c r="W98" s="330"/>
      <c r="X98" s="368"/>
      <c r="Y98" s="368"/>
      <c r="Z98" s="330"/>
      <c r="AA98" s="330"/>
      <c r="AB98" s="330"/>
      <c r="AC98" s="331"/>
    </row>
    <row r="99" spans="2:29" s="302" customFormat="1" ht="12.75">
      <c r="B99" s="327"/>
      <c r="D99" s="328" t="str">
        <f>D346</f>
        <v xml:space="preserve">    5 - Komunikace a venkovní plochy</v>
      </c>
      <c r="J99" s="58"/>
      <c r="K99" s="81">
        <f t="shared" si="1"/>
        <v>0</v>
      </c>
      <c r="N99" s="732">
        <f>N346</f>
        <v>0</v>
      </c>
      <c r="O99" s="733"/>
      <c r="P99" s="733"/>
      <c r="Q99" s="733"/>
      <c r="R99" s="329"/>
      <c r="T99" s="43"/>
      <c r="U99" s="330"/>
      <c r="V99" s="330"/>
      <c r="W99" s="330"/>
      <c r="X99" s="368"/>
      <c r="Y99" s="368"/>
      <c r="Z99" s="330"/>
      <c r="AA99" s="330"/>
      <c r="AB99" s="330"/>
      <c r="AC99" s="331"/>
    </row>
    <row r="100" spans="2:29" s="302" customFormat="1" ht="12.75">
      <c r="B100" s="327"/>
      <c r="D100" s="328" t="str">
        <f>D364</f>
        <v xml:space="preserve">    9.1 - Ostatní konstrukce a práce, bourání</v>
      </c>
      <c r="J100" s="58"/>
      <c r="K100" s="81">
        <f t="shared" si="1"/>
        <v>0</v>
      </c>
      <c r="N100" s="732">
        <f>N364</f>
        <v>0</v>
      </c>
      <c r="O100" s="733"/>
      <c r="P100" s="733"/>
      <c r="Q100" s="733"/>
      <c r="R100" s="329"/>
      <c r="T100" s="43"/>
      <c r="U100" s="330"/>
      <c r="V100" s="330"/>
      <c r="W100" s="330"/>
      <c r="X100" s="368"/>
      <c r="Y100" s="368"/>
      <c r="Z100" s="330"/>
      <c r="AA100" s="330"/>
      <c r="AB100" s="330"/>
      <c r="AC100" s="331"/>
    </row>
    <row r="101" spans="2:29" s="302" customFormat="1" ht="12.75">
      <c r="B101" s="327"/>
      <c r="D101" s="328" t="str">
        <f>D392</f>
        <v xml:space="preserve">    9.2 - Sanace</v>
      </c>
      <c r="J101" s="58"/>
      <c r="K101" s="81">
        <f t="shared" si="1"/>
        <v>0</v>
      </c>
      <c r="N101" s="732">
        <f>N392</f>
        <v>0</v>
      </c>
      <c r="O101" s="733"/>
      <c r="P101" s="733"/>
      <c r="Q101" s="733"/>
      <c r="R101" s="329"/>
      <c r="T101" s="43"/>
      <c r="U101" s="330"/>
      <c r="V101" s="330"/>
      <c r="W101" s="330"/>
      <c r="X101" s="368"/>
      <c r="Y101" s="368"/>
      <c r="Z101" s="330"/>
      <c r="AA101" s="330"/>
      <c r="AB101" s="330"/>
      <c r="AC101" s="331"/>
    </row>
    <row r="102" spans="2:29" s="302" customFormat="1" ht="12.75">
      <c r="B102" s="327"/>
      <c r="D102" s="328" t="str">
        <f>D590</f>
        <v xml:space="preserve">    997 - Přesuny suti</v>
      </c>
      <c r="J102" s="58"/>
      <c r="K102" s="81">
        <f t="shared" si="1"/>
        <v>0</v>
      </c>
      <c r="N102" s="732">
        <f>N590</f>
        <v>0</v>
      </c>
      <c r="O102" s="733"/>
      <c r="P102" s="733"/>
      <c r="Q102" s="733"/>
      <c r="R102" s="329"/>
      <c r="U102" s="330"/>
      <c r="V102" s="330"/>
      <c r="W102" s="330"/>
      <c r="X102" s="368"/>
      <c r="Y102" s="368"/>
      <c r="Z102" s="330"/>
      <c r="AA102" s="330"/>
      <c r="AB102" s="330"/>
      <c r="AC102" s="331"/>
    </row>
    <row r="103" spans="2:29" ht="12.75">
      <c r="B103" s="237"/>
      <c r="J103" s="47"/>
      <c r="R103" s="238"/>
      <c r="T103" s="218"/>
      <c r="U103" s="333"/>
    </row>
    <row r="104" spans="2:29" ht="15.75">
      <c r="B104" s="237"/>
      <c r="C104" s="296" t="s">
        <v>95</v>
      </c>
      <c r="D104" s="297"/>
      <c r="E104" s="297"/>
      <c r="F104" s="297"/>
      <c r="G104" s="297"/>
      <c r="H104" s="297"/>
      <c r="I104" s="297"/>
      <c r="J104" s="55"/>
      <c r="K104" s="82">
        <f>L104/$I$85</f>
        <v>0</v>
      </c>
      <c r="L104" s="669">
        <f>ROUND(N87+N95,2)</f>
        <v>0</v>
      </c>
      <c r="M104" s="669"/>
      <c r="N104" s="669"/>
      <c r="O104" s="669"/>
      <c r="P104" s="669"/>
      <c r="Q104" s="669"/>
      <c r="R104" s="238"/>
      <c r="T104" s="217"/>
      <c r="U104" s="333"/>
    </row>
    <row r="105" spans="2:29">
      <c r="B105" s="274"/>
      <c r="C105" s="275"/>
      <c r="D105" s="275"/>
      <c r="E105" s="275"/>
      <c r="F105" s="275"/>
      <c r="G105" s="275"/>
      <c r="H105" s="275"/>
      <c r="I105" s="275"/>
      <c r="J105" s="54"/>
      <c r="K105" s="275"/>
      <c r="L105" s="275"/>
      <c r="M105" s="275"/>
      <c r="N105" s="275"/>
      <c r="O105" s="275"/>
      <c r="P105" s="275"/>
      <c r="Q105" s="275"/>
      <c r="R105" s="276"/>
      <c r="T105" s="217"/>
      <c r="U105" s="333"/>
    </row>
    <row r="106" spans="2:29">
      <c r="T106" s="217"/>
      <c r="U106" s="333"/>
    </row>
    <row r="109" spans="2:29">
      <c r="B109" s="233"/>
      <c r="C109" s="234"/>
      <c r="D109" s="234"/>
      <c r="E109" s="234"/>
      <c r="F109" s="234"/>
      <c r="G109" s="234"/>
      <c r="H109" s="234"/>
      <c r="I109" s="234"/>
      <c r="J109" s="46"/>
      <c r="K109" s="234"/>
      <c r="L109" s="234"/>
      <c r="M109" s="234"/>
      <c r="N109" s="234"/>
      <c r="O109" s="234"/>
      <c r="P109" s="234"/>
      <c r="Q109" s="234"/>
      <c r="R109" s="235"/>
    </row>
    <row r="110" spans="2:29" ht="20.25">
      <c r="B110" s="237"/>
      <c r="C110" s="697" t="s">
        <v>55</v>
      </c>
      <c r="D110" s="671"/>
      <c r="E110" s="671"/>
      <c r="F110" s="671"/>
      <c r="G110" s="671"/>
      <c r="H110" s="671"/>
      <c r="I110" s="671"/>
      <c r="J110" s="671"/>
      <c r="K110" s="671"/>
      <c r="L110" s="671"/>
      <c r="M110" s="671"/>
      <c r="N110" s="671"/>
      <c r="O110" s="671"/>
      <c r="P110" s="671"/>
      <c r="Q110" s="671"/>
      <c r="R110" s="238"/>
    </row>
    <row r="111" spans="2:29" ht="2.25" customHeight="1">
      <c r="B111" s="237"/>
      <c r="J111" s="47"/>
      <c r="R111" s="238"/>
    </row>
    <row r="112" spans="2:29" ht="12">
      <c r="B112" s="237"/>
      <c r="C112" s="239" t="s">
        <v>3</v>
      </c>
      <c r="F112" s="721" t="str">
        <f>F4</f>
        <v>Stavební úpravy, vestavba a přístavba stávajícího objektu</v>
      </c>
      <c r="G112" s="722"/>
      <c r="H112" s="722"/>
      <c r="I112" s="722"/>
      <c r="J112" s="722"/>
      <c r="K112" s="722"/>
      <c r="L112" s="722"/>
      <c r="M112" s="722"/>
      <c r="N112" s="722"/>
      <c r="O112" s="722"/>
      <c r="P112" s="722"/>
      <c r="R112" s="238"/>
    </row>
    <row r="113" spans="2:29" ht="15.75">
      <c r="B113" s="237"/>
      <c r="C113" s="241" t="s">
        <v>39</v>
      </c>
      <c r="F113" s="691" t="str">
        <f>F5</f>
        <v>Sanace</v>
      </c>
      <c r="G113" s="671"/>
      <c r="H113" s="671"/>
      <c r="I113" s="671"/>
      <c r="J113" s="671"/>
      <c r="K113" s="671"/>
      <c r="L113" s="671"/>
      <c r="M113" s="671"/>
      <c r="N113" s="671"/>
      <c r="O113" s="671"/>
      <c r="P113" s="671"/>
      <c r="R113" s="238"/>
    </row>
    <row r="114" spans="2:29">
      <c r="B114" s="237"/>
      <c r="J114" s="47"/>
      <c r="R114" s="238"/>
    </row>
    <row r="115" spans="2:29" ht="12">
      <c r="B115" s="237"/>
      <c r="C115" s="239" t="s">
        <v>6</v>
      </c>
      <c r="F115" s="240" t="str">
        <f>F7</f>
        <v>Mírové náměstí 23/12, Bílina - p.č. 124, 125/1, 125/2, 125/3, k.ú. Bílina (604208)</v>
      </c>
      <c r="J115" s="47"/>
      <c r="K115" s="239" t="s">
        <v>7</v>
      </c>
      <c r="M115" s="712">
        <f>IF(O7="","",O7)</f>
        <v>0</v>
      </c>
      <c r="N115" s="712"/>
      <c r="O115" s="712"/>
      <c r="P115" s="712"/>
      <c r="R115" s="238"/>
    </row>
    <row r="116" spans="2:29">
      <c r="B116" s="237"/>
      <c r="J116" s="47"/>
      <c r="R116" s="238"/>
    </row>
    <row r="117" spans="2:29" ht="12">
      <c r="B117" s="237"/>
      <c r="C117" s="239" t="s">
        <v>8</v>
      </c>
      <c r="F117" s="240" t="str">
        <f>F82</f>
        <v>město Bílina</v>
      </c>
      <c r="J117" s="47"/>
      <c r="K117" s="239" t="s">
        <v>13</v>
      </c>
      <c r="M117" s="692" t="str">
        <f>E16</f>
        <v>Ing. arch. Bořek Peška</v>
      </c>
      <c r="N117" s="692"/>
      <c r="O117" s="692"/>
      <c r="P117" s="692"/>
      <c r="Q117" s="692"/>
      <c r="R117" s="238"/>
    </row>
    <row r="118" spans="2:29" ht="12">
      <c r="B118" s="237"/>
      <c r="C118" s="239" t="s">
        <v>11</v>
      </c>
      <c r="F118" s="240">
        <f>F83</f>
        <v>0</v>
      </c>
      <c r="J118" s="47"/>
      <c r="K118" s="239" t="s">
        <v>14</v>
      </c>
      <c r="M118" s="692" t="str">
        <f>E19</f>
        <v>Jakub Kulhavý</v>
      </c>
      <c r="N118" s="692"/>
      <c r="O118" s="692"/>
      <c r="P118" s="692"/>
      <c r="Q118" s="692"/>
      <c r="R118" s="238"/>
    </row>
    <row r="119" spans="2:29" ht="12">
      <c r="B119" s="237"/>
      <c r="C119" s="239"/>
      <c r="F119" s="721"/>
      <c r="G119" s="722"/>
      <c r="H119" s="722"/>
      <c r="I119" s="722"/>
      <c r="J119" s="722"/>
      <c r="K119" s="722"/>
      <c r="L119" s="722"/>
      <c r="M119" s="722"/>
      <c r="N119" s="722"/>
      <c r="O119" s="722"/>
      <c r="P119" s="722"/>
      <c r="R119" s="238"/>
    </row>
    <row r="120" spans="2:29" ht="28.5" customHeight="1">
      <c r="B120" s="237"/>
      <c r="C120" s="239" t="s">
        <v>106</v>
      </c>
      <c r="F120" s="690" t="s">
        <v>2047</v>
      </c>
      <c r="G120" s="690"/>
      <c r="H120" s="690"/>
      <c r="I120" s="690"/>
      <c r="J120" s="690"/>
      <c r="K120" s="690"/>
      <c r="L120" s="690"/>
      <c r="M120" s="690"/>
      <c r="N120" s="690"/>
      <c r="O120" s="690"/>
      <c r="P120" s="690"/>
      <c r="R120" s="238"/>
    </row>
    <row r="121" spans="2:29" ht="3.75" customHeight="1">
      <c r="B121" s="237"/>
      <c r="J121" s="47"/>
      <c r="R121" s="238"/>
    </row>
    <row r="122" spans="2:29" s="338" customFormat="1" ht="12">
      <c r="B122" s="334"/>
      <c r="C122" s="335" t="s">
        <v>56</v>
      </c>
      <c r="D122" s="336" t="s">
        <v>57</v>
      </c>
      <c r="E122" s="336" t="s">
        <v>34</v>
      </c>
      <c r="F122" s="723" t="s">
        <v>58</v>
      </c>
      <c r="G122" s="723"/>
      <c r="H122" s="723"/>
      <c r="I122" s="723"/>
      <c r="J122" s="59" t="s">
        <v>59</v>
      </c>
      <c r="K122" s="336" t="s">
        <v>60</v>
      </c>
      <c r="L122" s="724" t="s">
        <v>61</v>
      </c>
      <c r="M122" s="724"/>
      <c r="N122" s="723" t="s">
        <v>42</v>
      </c>
      <c r="O122" s="723"/>
      <c r="P122" s="723"/>
      <c r="Q122" s="725"/>
      <c r="R122" s="337"/>
      <c r="T122" s="44"/>
      <c r="U122" s="339"/>
      <c r="V122" s="339"/>
      <c r="W122" s="339"/>
      <c r="X122" s="339"/>
      <c r="Y122" s="339"/>
      <c r="Z122" s="339"/>
      <c r="AA122" s="339"/>
      <c r="AB122" s="339"/>
    </row>
    <row r="123" spans="2:29" ht="15.75">
      <c r="B123" s="237"/>
      <c r="C123" s="285" t="s">
        <v>2486</v>
      </c>
      <c r="J123" s="47"/>
      <c r="N123" s="746">
        <f>N124</f>
        <v>0</v>
      </c>
      <c r="O123" s="747"/>
      <c r="P123" s="747"/>
      <c r="Q123" s="747"/>
      <c r="R123" s="238"/>
      <c r="T123" s="42">
        <f>SUM(N123:Q317)/4</f>
        <v>0</v>
      </c>
    </row>
    <row r="124" spans="2:29" s="341" customFormat="1" ht="15">
      <c r="B124" s="340"/>
      <c r="D124" s="323" t="s">
        <v>43</v>
      </c>
      <c r="E124" s="323"/>
      <c r="F124" s="323"/>
      <c r="G124" s="323"/>
      <c r="H124" s="323"/>
      <c r="I124" s="323"/>
      <c r="J124" s="60"/>
      <c r="K124" s="323"/>
      <c r="L124" s="323"/>
      <c r="M124" s="323"/>
      <c r="N124" s="730">
        <f>N125+N140+N143+N156+N172+N311</f>
        <v>0</v>
      </c>
      <c r="O124" s="730"/>
      <c r="P124" s="730"/>
      <c r="Q124" s="730"/>
      <c r="R124" s="342"/>
      <c r="T124" s="45">
        <f>SUM(N124:Q316)/3</f>
        <v>0</v>
      </c>
      <c r="U124" s="248"/>
      <c r="V124" s="248"/>
      <c r="W124" s="248"/>
      <c r="X124" s="248"/>
      <c r="Y124" s="248"/>
      <c r="Z124" s="248"/>
      <c r="AA124" s="248"/>
      <c r="AB124" s="248"/>
      <c r="AC124" s="343"/>
    </row>
    <row r="125" spans="2:29" s="341" customFormat="1" ht="12.75">
      <c r="B125" s="340"/>
      <c r="C125" s="344"/>
      <c r="D125" s="344" t="s">
        <v>44</v>
      </c>
      <c r="E125" s="344"/>
      <c r="F125" s="344"/>
      <c r="G125" s="344"/>
      <c r="H125" s="344"/>
      <c r="I125" s="344"/>
      <c r="J125" s="61"/>
      <c r="K125" s="344"/>
      <c r="L125" s="72"/>
      <c r="M125" s="72"/>
      <c r="N125" s="734">
        <f>SUM(N126:Q139)</f>
        <v>0</v>
      </c>
      <c r="O125" s="734"/>
      <c r="P125" s="734"/>
      <c r="Q125" s="734"/>
      <c r="R125" s="342"/>
      <c r="T125" s="62">
        <f>SUM(N125:Q139)/2</f>
        <v>0</v>
      </c>
      <c r="U125" s="352"/>
      <c r="V125" s="369"/>
      <c r="W125" s="369"/>
      <c r="X125" s="369"/>
      <c r="Y125" s="369"/>
      <c r="AC125" s="343"/>
    </row>
    <row r="126" spans="2:29" ht="27" customHeight="1" outlineLevel="1">
      <c r="B126" s="237"/>
      <c r="C126" s="345"/>
      <c r="D126" s="345" t="s">
        <v>62</v>
      </c>
      <c r="E126" s="346">
        <v>132212132</v>
      </c>
      <c r="F126" s="719" t="s">
        <v>345</v>
      </c>
      <c r="G126" s="719"/>
      <c r="H126" s="719"/>
      <c r="I126" s="719"/>
      <c r="J126" s="63" t="s">
        <v>64</v>
      </c>
      <c r="K126" s="347">
        <f>SUM(K127:K128)</f>
        <v>10.790500000000002</v>
      </c>
      <c r="L126" s="726"/>
      <c r="M126" s="726"/>
      <c r="N126" s="720">
        <f>ROUND(L126*K126,2)</f>
        <v>0</v>
      </c>
      <c r="O126" s="720"/>
      <c r="P126" s="720"/>
      <c r="Q126" s="720"/>
      <c r="R126" s="238"/>
      <c r="T126" s="45"/>
      <c r="V126" s="348"/>
      <c r="W126" s="236"/>
      <c r="X126" s="236"/>
      <c r="Y126" s="236"/>
      <c r="Z126" s="236"/>
      <c r="AA126" s="236"/>
      <c r="AB126" s="236"/>
    </row>
    <row r="127" spans="2:29" s="248" customFormat="1" outlineLevel="1">
      <c r="B127" s="247"/>
      <c r="E127" s="349" t="s">
        <v>344</v>
      </c>
      <c r="F127" s="717" t="s">
        <v>2502</v>
      </c>
      <c r="G127" s="718" t="e">
        <f>(33.8+20.9)*0.7*F127</f>
        <v>#VALUE!</v>
      </c>
      <c r="H127" s="718" t="e">
        <f>(33.8+20.9)*0.7*G127</f>
        <v>#VALUE!</v>
      </c>
      <c r="I127" s="718" t="e">
        <f>(33.8+20.9)*0.7*H127</f>
        <v>#VALUE!</v>
      </c>
      <c r="J127" s="64">
        <v>0.4</v>
      </c>
      <c r="K127" s="350">
        <f>(11.8)*0.7*J127</f>
        <v>3.3040000000000003</v>
      </c>
      <c r="L127" s="196"/>
      <c r="M127" s="196"/>
      <c r="R127" s="249"/>
      <c r="T127" s="45"/>
      <c r="AC127" s="351"/>
    </row>
    <row r="128" spans="2:29" s="248" customFormat="1" outlineLevel="1">
      <c r="B128" s="247"/>
      <c r="E128" s="349" t="s">
        <v>344</v>
      </c>
      <c r="F128" s="717" t="s">
        <v>2459</v>
      </c>
      <c r="G128" s="718" t="e">
        <f>(13.8+7.9)*0.7*F128</f>
        <v>#VALUE!</v>
      </c>
      <c r="H128" s="718" t="e">
        <f>(13.8+7.9)*0.7*G128</f>
        <v>#VALUE!</v>
      </c>
      <c r="I128" s="718" t="e">
        <f>(13.8+7.9)*0.7*H128</f>
        <v>#VALUE!</v>
      </c>
      <c r="J128" s="64">
        <f>(1.1+2)/2</f>
        <v>1.55</v>
      </c>
      <c r="K128" s="350">
        <f>(6.9)*0.7*J128</f>
        <v>7.4865000000000004</v>
      </c>
      <c r="L128" s="196"/>
      <c r="M128" s="196"/>
      <c r="R128" s="249"/>
      <c r="T128" s="45"/>
      <c r="AC128" s="351"/>
    </row>
    <row r="129" spans="2:29" outlineLevel="1">
      <c r="B129" s="237"/>
      <c r="C129" s="345"/>
      <c r="D129" s="345" t="s">
        <v>62</v>
      </c>
      <c r="E129" s="346" t="s">
        <v>368</v>
      </c>
      <c r="F129" s="719" t="s">
        <v>369</v>
      </c>
      <c r="G129" s="719"/>
      <c r="H129" s="719"/>
      <c r="I129" s="719"/>
      <c r="J129" s="63" t="s">
        <v>64</v>
      </c>
      <c r="K129" s="347">
        <f>SUM(K130:K130)</f>
        <v>32.896500000000003</v>
      </c>
      <c r="L129" s="726"/>
      <c r="M129" s="726"/>
      <c r="N129" s="720">
        <f>ROUND(L129*K129,2)</f>
        <v>0</v>
      </c>
      <c r="O129" s="720"/>
      <c r="P129" s="720"/>
      <c r="Q129" s="720"/>
      <c r="R129" s="238"/>
      <c r="T129" s="45"/>
      <c r="V129" s="348"/>
      <c r="AA129" s="348"/>
    </row>
    <row r="130" spans="2:29" s="248" customFormat="1" outlineLevel="1">
      <c r="B130" s="247"/>
      <c r="E130" s="349" t="s">
        <v>604</v>
      </c>
      <c r="F130" s="717" t="s">
        <v>2495</v>
      </c>
      <c r="G130" s="718" t="e">
        <f>(22.76+27.72+40.52)*(F130-F124)+(20+15.1+30.61+4.95+2.28)*(F130-F125)</f>
        <v>#VALUE!</v>
      </c>
      <c r="H130" s="718" t="e">
        <f>(22.76+27.72+40.52)*(G130-G124)+(20+15.1+30.61+4.95+2.28)*(G130-G125)</f>
        <v>#VALUE!</v>
      </c>
      <c r="I130" s="718" t="e">
        <f>(22.76+27.72+40.52)*(H130-H124)+(20+15.1+30.61+4.95+2.28)*(H130-H125)</f>
        <v>#VALUE!</v>
      </c>
      <c r="J130" s="64">
        <v>0.65</v>
      </c>
      <c r="K130" s="350">
        <f>(20+30.61)*(J130-J125)</f>
        <v>32.896500000000003</v>
      </c>
      <c r="L130" s="196"/>
      <c r="M130" s="196"/>
      <c r="R130" s="249"/>
      <c r="T130" s="45"/>
      <c r="AC130" s="351"/>
    </row>
    <row r="131" spans="2:29" ht="27" customHeight="1" outlineLevel="1">
      <c r="B131" s="237"/>
      <c r="C131" s="345"/>
      <c r="D131" s="345" t="s">
        <v>62</v>
      </c>
      <c r="E131" s="346">
        <v>162751117</v>
      </c>
      <c r="F131" s="719" t="s">
        <v>189</v>
      </c>
      <c r="G131" s="719"/>
      <c r="H131" s="719"/>
      <c r="I131" s="719"/>
      <c r="J131" s="63" t="s">
        <v>64</v>
      </c>
      <c r="K131" s="347">
        <f>SUM(K132:K132)</f>
        <v>43.687000000000005</v>
      </c>
      <c r="L131" s="726"/>
      <c r="M131" s="726"/>
      <c r="N131" s="720">
        <f>ROUND(L131*K131,2)</f>
        <v>0</v>
      </c>
      <c r="O131" s="720"/>
      <c r="P131" s="720"/>
      <c r="Q131" s="720"/>
      <c r="R131" s="238"/>
      <c r="T131" s="45"/>
      <c r="V131" s="236"/>
      <c r="W131" s="236"/>
      <c r="X131" s="236"/>
      <c r="Y131" s="236"/>
      <c r="Z131" s="236"/>
      <c r="AA131" s="236"/>
      <c r="AB131" s="236"/>
    </row>
    <row r="132" spans="2:29" s="248" customFormat="1" ht="22.5" outlineLevel="1">
      <c r="B132" s="247"/>
      <c r="E132" s="349" t="s">
        <v>204</v>
      </c>
      <c r="F132" s="717" t="s">
        <v>187</v>
      </c>
      <c r="G132" s="718"/>
      <c r="H132" s="718"/>
      <c r="I132" s="718"/>
      <c r="J132" s="64"/>
      <c r="K132" s="350">
        <f>K126+K129</f>
        <v>43.687000000000005</v>
      </c>
      <c r="L132" s="196"/>
      <c r="M132" s="196"/>
      <c r="R132" s="249"/>
      <c r="T132" s="45"/>
      <c r="AC132" s="351"/>
    </row>
    <row r="133" spans="2:29" ht="27" customHeight="1" outlineLevel="1">
      <c r="B133" s="237"/>
      <c r="C133" s="345"/>
      <c r="D133" s="345" t="s">
        <v>62</v>
      </c>
      <c r="E133" s="346">
        <v>162751119</v>
      </c>
      <c r="F133" s="719" t="s">
        <v>195</v>
      </c>
      <c r="G133" s="719"/>
      <c r="H133" s="719"/>
      <c r="I133" s="719"/>
      <c r="J133" s="63" t="s">
        <v>64</v>
      </c>
      <c r="K133" s="347">
        <f>SUM(K134:K134)</f>
        <v>436.87000000000006</v>
      </c>
      <c r="L133" s="726"/>
      <c r="M133" s="726"/>
      <c r="N133" s="720">
        <f>ROUND(L133*K133,2)</f>
        <v>0</v>
      </c>
      <c r="O133" s="720"/>
      <c r="P133" s="720"/>
      <c r="Q133" s="720"/>
      <c r="R133" s="238"/>
      <c r="T133" s="45"/>
      <c r="V133" s="236"/>
      <c r="W133" s="236"/>
      <c r="X133" s="236"/>
      <c r="Y133" s="236"/>
      <c r="Z133" s="236"/>
      <c r="AA133" s="236"/>
      <c r="AB133" s="236"/>
    </row>
    <row r="134" spans="2:29" s="248" customFormat="1" outlineLevel="1">
      <c r="B134" s="247"/>
      <c r="E134" s="349"/>
      <c r="F134" s="717" t="s">
        <v>2273</v>
      </c>
      <c r="G134" s="718"/>
      <c r="H134" s="718"/>
      <c r="I134" s="718"/>
      <c r="J134" s="64">
        <v>10</v>
      </c>
      <c r="K134" s="350">
        <f>K131*J134</f>
        <v>436.87000000000006</v>
      </c>
      <c r="L134" s="196"/>
      <c r="M134" s="196"/>
      <c r="R134" s="249"/>
      <c r="T134" s="45"/>
      <c r="AC134" s="351"/>
    </row>
    <row r="135" spans="2:29" outlineLevel="1">
      <c r="B135" s="237"/>
      <c r="C135" s="345"/>
      <c r="D135" s="345" t="s">
        <v>62</v>
      </c>
      <c r="E135" s="346">
        <v>167151111</v>
      </c>
      <c r="F135" s="719" t="s">
        <v>194</v>
      </c>
      <c r="G135" s="719"/>
      <c r="H135" s="719"/>
      <c r="I135" s="719"/>
      <c r="J135" s="63" t="s">
        <v>64</v>
      </c>
      <c r="K135" s="347">
        <f>SUM(K136:K136)</f>
        <v>43.687000000000005</v>
      </c>
      <c r="L135" s="726"/>
      <c r="M135" s="726"/>
      <c r="N135" s="720">
        <f>ROUND(L135*K135,2)</f>
        <v>0</v>
      </c>
      <c r="O135" s="720"/>
      <c r="P135" s="720"/>
      <c r="Q135" s="720"/>
      <c r="R135" s="238"/>
      <c r="T135" s="45"/>
      <c r="V135" s="236"/>
      <c r="W135" s="236"/>
      <c r="X135" s="236"/>
      <c r="Y135" s="236"/>
      <c r="Z135" s="236"/>
      <c r="AA135" s="236"/>
      <c r="AB135" s="236"/>
    </row>
    <row r="136" spans="2:29" s="248" customFormat="1" ht="22.5" outlineLevel="1">
      <c r="B136" s="247"/>
      <c r="E136" s="349" t="s">
        <v>188</v>
      </c>
      <c r="F136" s="717" t="s">
        <v>237</v>
      </c>
      <c r="G136" s="718"/>
      <c r="H136" s="718"/>
      <c r="I136" s="718"/>
      <c r="J136" s="64"/>
      <c r="K136" s="350">
        <f>K131</f>
        <v>43.687000000000005</v>
      </c>
      <c r="L136" s="196"/>
      <c r="M136" s="196"/>
      <c r="R136" s="249"/>
      <c r="T136" s="45"/>
      <c r="AC136" s="351"/>
    </row>
    <row r="137" spans="2:29" outlineLevel="1">
      <c r="B137" s="237"/>
      <c r="C137" s="345"/>
      <c r="D137" s="345" t="s">
        <v>62</v>
      </c>
      <c r="E137" s="346">
        <v>171251201</v>
      </c>
      <c r="F137" s="719" t="s">
        <v>109</v>
      </c>
      <c r="G137" s="719"/>
      <c r="H137" s="719"/>
      <c r="I137" s="719"/>
      <c r="J137" s="63" t="s">
        <v>64</v>
      </c>
      <c r="K137" s="347">
        <f>K135</f>
        <v>43.687000000000005</v>
      </c>
      <c r="L137" s="726"/>
      <c r="M137" s="726"/>
      <c r="N137" s="720">
        <f>ROUND(L137*K137,2)</f>
        <v>0</v>
      </c>
      <c r="O137" s="720"/>
      <c r="P137" s="720"/>
      <c r="Q137" s="720"/>
      <c r="R137" s="238"/>
      <c r="T137" s="45"/>
      <c r="V137" s="236"/>
      <c r="W137" s="236"/>
      <c r="X137" s="236"/>
      <c r="Y137" s="236"/>
      <c r="Z137" s="236"/>
      <c r="AA137" s="236"/>
      <c r="AB137" s="236"/>
    </row>
    <row r="138" spans="2:29" ht="27" customHeight="1" outlineLevel="1">
      <c r="B138" s="237"/>
      <c r="C138" s="345"/>
      <c r="D138" s="345" t="s">
        <v>62</v>
      </c>
      <c r="E138" s="346">
        <v>171201231</v>
      </c>
      <c r="F138" s="719" t="s">
        <v>193</v>
      </c>
      <c r="G138" s="719"/>
      <c r="H138" s="719"/>
      <c r="I138" s="719"/>
      <c r="J138" s="63" t="s">
        <v>66</v>
      </c>
      <c r="K138" s="347">
        <f>SUM(K139:K139)</f>
        <v>69.899200000000008</v>
      </c>
      <c r="L138" s="726"/>
      <c r="M138" s="726"/>
      <c r="N138" s="720">
        <f>ROUND(L138*K138,2)</f>
        <v>0</v>
      </c>
      <c r="O138" s="720"/>
      <c r="P138" s="720"/>
      <c r="Q138" s="720"/>
      <c r="R138" s="238"/>
      <c r="T138" s="45"/>
      <c r="V138" s="236"/>
      <c r="W138" s="236"/>
      <c r="X138" s="236"/>
      <c r="Y138" s="236"/>
      <c r="Z138" s="236"/>
      <c r="AA138" s="236"/>
      <c r="AB138" s="236"/>
    </row>
    <row r="139" spans="2:29" s="248" customFormat="1" ht="22.5" outlineLevel="1">
      <c r="B139" s="247"/>
      <c r="E139" s="349" t="s">
        <v>191</v>
      </c>
      <c r="F139" s="717" t="s">
        <v>192</v>
      </c>
      <c r="G139" s="718"/>
      <c r="H139" s="718"/>
      <c r="I139" s="718"/>
      <c r="J139" s="64">
        <v>1.6</v>
      </c>
      <c r="K139" s="350">
        <f>K131*J139</f>
        <v>69.899200000000008</v>
      </c>
      <c r="L139" s="196"/>
      <c r="M139" s="196"/>
      <c r="R139" s="249"/>
      <c r="T139" s="45"/>
      <c r="AC139" s="351"/>
    </row>
    <row r="140" spans="2:29" s="341" customFormat="1" ht="12.75">
      <c r="B140" s="340"/>
      <c r="C140" s="344"/>
      <c r="D140" s="344" t="s">
        <v>45</v>
      </c>
      <c r="E140" s="344"/>
      <c r="F140" s="344"/>
      <c r="G140" s="344"/>
      <c r="H140" s="344"/>
      <c r="I140" s="344"/>
      <c r="J140" s="61"/>
      <c r="K140" s="344"/>
      <c r="L140" s="72"/>
      <c r="M140" s="72"/>
      <c r="N140" s="734">
        <f>SUM(N141:Q142)</f>
        <v>0</v>
      </c>
      <c r="O140" s="734"/>
      <c r="P140" s="734"/>
      <c r="Q140" s="734"/>
      <c r="R140" s="342"/>
      <c r="T140" s="62">
        <f>SUM(N140:Q142)/2</f>
        <v>0</v>
      </c>
      <c r="U140" s="352"/>
      <c r="V140" s="352"/>
      <c r="W140" s="352"/>
      <c r="X140" s="352"/>
      <c r="Y140" s="352"/>
      <c r="Z140" s="352"/>
      <c r="AA140" s="248"/>
      <c r="AB140" s="248"/>
      <c r="AC140" s="343"/>
    </row>
    <row r="141" spans="2:29" outlineLevel="1">
      <c r="B141" s="237"/>
      <c r="C141" s="345"/>
      <c r="D141" s="345" t="s">
        <v>62</v>
      </c>
      <c r="E141" s="346">
        <v>212312111</v>
      </c>
      <c r="F141" s="719" t="s">
        <v>665</v>
      </c>
      <c r="G141" s="719"/>
      <c r="H141" s="719"/>
      <c r="I141" s="719"/>
      <c r="J141" s="63" t="s">
        <v>63</v>
      </c>
      <c r="K141" s="347">
        <f>SUM(K142:K142)</f>
        <v>0.65450000000000008</v>
      </c>
      <c r="L141" s="726"/>
      <c r="M141" s="726"/>
      <c r="N141" s="720">
        <f>ROUND(L141*K141,2)</f>
        <v>0</v>
      </c>
      <c r="O141" s="720"/>
      <c r="P141" s="720"/>
      <c r="Q141" s="720"/>
      <c r="R141" s="238"/>
      <c r="T141" s="45"/>
    </row>
    <row r="142" spans="2:29" s="248" customFormat="1" ht="22.5" outlineLevel="1">
      <c r="B142" s="247"/>
      <c r="E142" s="349" t="s">
        <v>666</v>
      </c>
      <c r="F142" s="717" t="s">
        <v>2503</v>
      </c>
      <c r="G142" s="718" t="e">
        <f>(33.8+20.9+9.6+3.6+13.8+7.9)*0.7*F142</f>
        <v>#VALUE!</v>
      </c>
      <c r="H142" s="718" t="e">
        <f>(33.8+20.9+9.6+3.6+13.8+7.9)*0.7*G142</f>
        <v>#VALUE!</v>
      </c>
      <c r="I142" s="718" t="e">
        <f>(33.8+20.9+9.6+3.6+13.8+7.9)*0.7*H142</f>
        <v>#VALUE!</v>
      </c>
      <c r="J142" s="64">
        <v>0.05</v>
      </c>
      <c r="K142" s="350">
        <f>(11.8+6.9)*0.7*J142</f>
        <v>0.65450000000000008</v>
      </c>
      <c r="L142" s="196"/>
      <c r="M142" s="196"/>
      <c r="R142" s="249"/>
      <c r="T142" s="45"/>
      <c r="AC142" s="351"/>
    </row>
    <row r="143" spans="2:29" s="341" customFormat="1" ht="12.75">
      <c r="B143" s="340"/>
      <c r="C143" s="344"/>
      <c r="D143" s="344" t="s">
        <v>252</v>
      </c>
      <c r="E143" s="344"/>
      <c r="F143" s="344"/>
      <c r="G143" s="344"/>
      <c r="H143" s="344"/>
      <c r="I143" s="344"/>
      <c r="J143" s="61"/>
      <c r="K143" s="344"/>
      <c r="L143" s="72"/>
      <c r="M143" s="72"/>
      <c r="N143" s="734">
        <f>SUM(N144:Q155)</f>
        <v>0</v>
      </c>
      <c r="O143" s="734"/>
      <c r="P143" s="734"/>
      <c r="Q143" s="734"/>
      <c r="R143" s="342"/>
      <c r="T143" s="62">
        <f>SUM(N143:Q145)/2</f>
        <v>0</v>
      </c>
      <c r="U143" s="352"/>
      <c r="V143" s="352"/>
      <c r="W143" s="352"/>
      <c r="X143" s="352"/>
      <c r="Y143" s="352"/>
      <c r="Z143" s="352"/>
      <c r="AA143" s="248"/>
      <c r="AB143" s="248"/>
      <c r="AC143" s="343"/>
    </row>
    <row r="144" spans="2:29" outlineLevel="1">
      <c r="B144" s="237"/>
      <c r="C144" s="345"/>
      <c r="D144" s="345" t="s">
        <v>62</v>
      </c>
      <c r="E144" s="346">
        <v>113106111</v>
      </c>
      <c r="F144" s="719" t="s">
        <v>671</v>
      </c>
      <c r="G144" s="719"/>
      <c r="H144" s="719"/>
      <c r="I144" s="719"/>
      <c r="J144" s="63" t="s">
        <v>63</v>
      </c>
      <c r="K144" s="347">
        <f>SUM(K145:K145)</f>
        <v>8.26</v>
      </c>
      <c r="L144" s="726"/>
      <c r="M144" s="726"/>
      <c r="N144" s="720">
        <f>ROUND(L144*K144,2)</f>
        <v>0</v>
      </c>
      <c r="O144" s="720"/>
      <c r="P144" s="720"/>
      <c r="Q144" s="720"/>
      <c r="R144" s="238"/>
      <c r="T144" s="45"/>
    </row>
    <row r="145" spans="2:29" s="248" customFormat="1" outlineLevel="1">
      <c r="B145" s="247"/>
      <c r="E145" s="349" t="s">
        <v>672</v>
      </c>
      <c r="F145" s="717" t="s">
        <v>2504</v>
      </c>
      <c r="G145" s="718">
        <f>(33.8+20.9)*0.7</f>
        <v>38.289999999999992</v>
      </c>
      <c r="H145" s="718">
        <f>(33.8+20.9)*0.7</f>
        <v>38.289999999999992</v>
      </c>
      <c r="I145" s="718">
        <f>(33.8+20.9)*0.7</f>
        <v>38.289999999999992</v>
      </c>
      <c r="J145" s="64"/>
      <c r="K145" s="350">
        <f>(11.8)*0.7</f>
        <v>8.26</v>
      </c>
      <c r="L145" s="196"/>
      <c r="M145" s="196"/>
      <c r="R145" s="249"/>
      <c r="T145" s="45"/>
      <c r="AC145" s="351"/>
    </row>
    <row r="146" spans="2:29" outlineLevel="1">
      <c r="B146" s="237"/>
      <c r="C146" s="345"/>
      <c r="D146" s="345" t="s">
        <v>62</v>
      </c>
      <c r="E146" s="346">
        <v>113106123</v>
      </c>
      <c r="F146" s="719" t="s">
        <v>673</v>
      </c>
      <c r="G146" s="719"/>
      <c r="H146" s="719"/>
      <c r="I146" s="719"/>
      <c r="J146" s="63" t="s">
        <v>63</v>
      </c>
      <c r="K146" s="347">
        <f>SUM(K147:K147)</f>
        <v>4.83</v>
      </c>
      <c r="L146" s="726"/>
      <c r="M146" s="726"/>
      <c r="N146" s="720">
        <f>ROUND(L146*K146,2)</f>
        <v>0</v>
      </c>
      <c r="O146" s="720"/>
      <c r="P146" s="720"/>
      <c r="Q146" s="720"/>
      <c r="R146" s="238"/>
      <c r="T146" s="45"/>
    </row>
    <row r="147" spans="2:29" s="248" customFormat="1" outlineLevel="1">
      <c r="B147" s="247"/>
      <c r="E147" s="349" t="s">
        <v>674</v>
      </c>
      <c r="F147" s="717" t="s">
        <v>2460</v>
      </c>
      <c r="G147" s="718">
        <f>13.8*0.7</f>
        <v>9.66</v>
      </c>
      <c r="H147" s="718">
        <f>13.8*0.7</f>
        <v>9.66</v>
      </c>
      <c r="I147" s="718">
        <f>13.8*0.7</f>
        <v>9.66</v>
      </c>
      <c r="J147" s="64"/>
      <c r="K147" s="350">
        <f>6.9*0.7</f>
        <v>4.83</v>
      </c>
      <c r="L147" s="196"/>
      <c r="M147" s="196"/>
      <c r="R147" s="249"/>
      <c r="T147" s="45"/>
      <c r="AC147" s="351"/>
    </row>
    <row r="148" spans="2:29" outlineLevel="1">
      <c r="B148" s="237"/>
      <c r="C148" s="345"/>
      <c r="D148" s="345" t="s">
        <v>62</v>
      </c>
      <c r="E148" s="346">
        <v>113107113</v>
      </c>
      <c r="F148" s="719" t="s">
        <v>675</v>
      </c>
      <c r="G148" s="719"/>
      <c r="H148" s="719"/>
      <c r="I148" s="719"/>
      <c r="J148" s="63" t="s">
        <v>63</v>
      </c>
      <c r="K148" s="347">
        <f>K144+K146</f>
        <v>13.09</v>
      </c>
      <c r="L148" s="726"/>
      <c r="M148" s="726"/>
      <c r="N148" s="720">
        <f>ROUND(L148*K148,2)</f>
        <v>0</v>
      </c>
      <c r="O148" s="720"/>
      <c r="P148" s="720"/>
      <c r="Q148" s="720"/>
      <c r="R148" s="238"/>
      <c r="T148" s="45"/>
    </row>
    <row r="149" spans="2:29" outlineLevel="1">
      <c r="B149" s="237"/>
      <c r="C149" s="345"/>
      <c r="D149" s="345" t="s">
        <v>62</v>
      </c>
      <c r="E149" s="346">
        <v>564861011</v>
      </c>
      <c r="F149" s="719" t="s">
        <v>676</v>
      </c>
      <c r="G149" s="719"/>
      <c r="H149" s="719"/>
      <c r="I149" s="719"/>
      <c r="J149" s="63" t="s">
        <v>63</v>
      </c>
      <c r="K149" s="347">
        <f>SUM(K150:K151)</f>
        <v>13.09</v>
      </c>
      <c r="L149" s="726"/>
      <c r="M149" s="726"/>
      <c r="N149" s="720">
        <f>ROUND(L149*K149,2)</f>
        <v>0</v>
      </c>
      <c r="O149" s="720"/>
      <c r="P149" s="720"/>
      <c r="Q149" s="720"/>
      <c r="R149" s="238"/>
      <c r="T149" s="45"/>
    </row>
    <row r="150" spans="2:29" s="248" customFormat="1" ht="11.25" customHeight="1" outlineLevel="1">
      <c r="B150" s="247"/>
      <c r="E150" s="349" t="s">
        <v>672</v>
      </c>
      <c r="F150" s="717" t="s">
        <v>2504</v>
      </c>
      <c r="G150" s="718">
        <f>(33.8+20.9)*0.7</f>
        <v>38.289999999999992</v>
      </c>
      <c r="H150" s="718">
        <f>(33.8+20.9)*0.7</f>
        <v>38.289999999999992</v>
      </c>
      <c r="I150" s="718">
        <f>(33.8+20.9)*0.7</f>
        <v>38.289999999999992</v>
      </c>
      <c r="J150" s="64"/>
      <c r="K150" s="350">
        <f>(11.8)*0.7</f>
        <v>8.26</v>
      </c>
      <c r="L150" s="196"/>
      <c r="M150" s="196"/>
      <c r="R150" s="249"/>
      <c r="T150" s="45"/>
      <c r="AC150" s="351"/>
    </row>
    <row r="151" spans="2:29" s="248" customFormat="1" outlineLevel="1">
      <c r="B151" s="247"/>
      <c r="E151" s="349" t="s">
        <v>674</v>
      </c>
      <c r="F151" s="717" t="s">
        <v>2460</v>
      </c>
      <c r="G151" s="718">
        <f>13.8*0.7</f>
        <v>9.66</v>
      </c>
      <c r="H151" s="718">
        <f>13.8*0.7</f>
        <v>9.66</v>
      </c>
      <c r="I151" s="718">
        <f>13.8*0.7</f>
        <v>9.66</v>
      </c>
      <c r="J151" s="64"/>
      <c r="K151" s="350">
        <f>6.9*0.7</f>
        <v>4.83</v>
      </c>
      <c r="L151" s="196"/>
      <c r="M151" s="196"/>
      <c r="R151" s="249"/>
      <c r="T151" s="45"/>
      <c r="AC151" s="351"/>
    </row>
    <row r="152" spans="2:29" outlineLevel="1">
      <c r="B152" s="237"/>
      <c r="C152" s="345"/>
      <c r="D152" s="345" t="s">
        <v>62</v>
      </c>
      <c r="E152" s="346">
        <v>591411111</v>
      </c>
      <c r="F152" s="719" t="s">
        <v>677</v>
      </c>
      <c r="G152" s="719"/>
      <c r="H152" s="719"/>
      <c r="I152" s="719"/>
      <c r="J152" s="63" t="s">
        <v>63</v>
      </c>
      <c r="K152" s="347">
        <f>SUM(K153:K153)</f>
        <v>8.26</v>
      </c>
      <c r="L152" s="726"/>
      <c r="M152" s="726"/>
      <c r="N152" s="720">
        <f>ROUND(L152*K152,2)</f>
        <v>0</v>
      </c>
      <c r="O152" s="720"/>
      <c r="P152" s="720"/>
      <c r="Q152" s="720"/>
      <c r="R152" s="238"/>
      <c r="T152" s="45"/>
    </row>
    <row r="153" spans="2:29" s="248" customFormat="1" ht="11.25" customHeight="1" outlineLevel="1">
      <c r="B153" s="247"/>
      <c r="E153" s="349" t="s">
        <v>672</v>
      </c>
      <c r="F153" s="717" t="s">
        <v>2504</v>
      </c>
      <c r="G153" s="718">
        <f>(33.8+20.9)*0.7</f>
        <v>38.289999999999992</v>
      </c>
      <c r="H153" s="718">
        <f>(33.8+20.9)*0.7</f>
        <v>38.289999999999992</v>
      </c>
      <c r="I153" s="718">
        <f>(33.8+20.9)*0.7</f>
        <v>38.289999999999992</v>
      </c>
      <c r="J153" s="64"/>
      <c r="K153" s="350">
        <f>(11.8)*0.7</f>
        <v>8.26</v>
      </c>
      <c r="L153" s="196"/>
      <c r="M153" s="196"/>
      <c r="R153" s="249"/>
      <c r="T153" s="45"/>
      <c r="AC153" s="351"/>
    </row>
    <row r="154" spans="2:29" outlineLevel="1">
      <c r="B154" s="237"/>
      <c r="C154" s="345"/>
      <c r="D154" s="345" t="s">
        <v>62</v>
      </c>
      <c r="E154" s="346">
        <v>596211110</v>
      </c>
      <c r="F154" s="719" t="s">
        <v>678</v>
      </c>
      <c r="G154" s="719"/>
      <c r="H154" s="719"/>
      <c r="I154" s="719"/>
      <c r="J154" s="63" t="s">
        <v>63</v>
      </c>
      <c r="K154" s="347">
        <f>SUM(K155:K155)</f>
        <v>4.83</v>
      </c>
      <c r="L154" s="726"/>
      <c r="M154" s="726"/>
      <c r="N154" s="720">
        <f>ROUND(L154*K154,2)</f>
        <v>0</v>
      </c>
      <c r="O154" s="720"/>
      <c r="P154" s="720"/>
      <c r="Q154" s="720"/>
      <c r="R154" s="238"/>
      <c r="T154" s="45"/>
    </row>
    <row r="155" spans="2:29" s="248" customFormat="1" outlineLevel="1">
      <c r="B155" s="247"/>
      <c r="E155" s="349" t="s">
        <v>674</v>
      </c>
      <c r="F155" s="717" t="s">
        <v>2460</v>
      </c>
      <c r="G155" s="718">
        <f>13.8*0.7</f>
        <v>9.66</v>
      </c>
      <c r="H155" s="718">
        <f>13.8*0.7</f>
        <v>9.66</v>
      </c>
      <c r="I155" s="718">
        <f>13.8*0.7</f>
        <v>9.66</v>
      </c>
      <c r="J155" s="64"/>
      <c r="K155" s="350">
        <f>6.9*0.7</f>
        <v>4.83</v>
      </c>
      <c r="L155" s="196"/>
      <c r="M155" s="196"/>
      <c r="R155" s="249"/>
      <c r="T155" s="45"/>
      <c r="AC155" s="351"/>
    </row>
    <row r="156" spans="2:29" s="341" customFormat="1" ht="12.75">
      <c r="B156" s="340"/>
      <c r="C156" s="344"/>
      <c r="D156" s="344" t="s">
        <v>669</v>
      </c>
      <c r="E156" s="344"/>
      <c r="F156" s="344"/>
      <c r="G156" s="344"/>
      <c r="H156" s="344"/>
      <c r="I156" s="344"/>
      <c r="J156" s="61"/>
      <c r="K156" s="344"/>
      <c r="L156" s="72"/>
      <c r="M156" s="72"/>
      <c r="N156" s="734">
        <f>SUM(N157:Q171)</f>
        <v>0</v>
      </c>
      <c r="O156" s="734"/>
      <c r="P156" s="734"/>
      <c r="Q156" s="734"/>
      <c r="R156" s="342"/>
      <c r="T156" s="45">
        <f>SUM(N156:Q171)/2</f>
        <v>0</v>
      </c>
      <c r="U156" s="248"/>
      <c r="V156" s="248"/>
      <c r="W156" s="248"/>
      <c r="X156" s="248"/>
      <c r="Y156" s="248"/>
      <c r="Z156" s="248"/>
      <c r="AA156" s="248"/>
      <c r="AB156" s="248"/>
      <c r="AC156" s="343"/>
    </row>
    <row r="157" spans="2:29" ht="27" customHeight="1" outlineLevel="1">
      <c r="B157" s="237"/>
      <c r="C157" s="345"/>
      <c r="D157" s="345" t="s">
        <v>62</v>
      </c>
      <c r="E157" s="346">
        <v>978013191</v>
      </c>
      <c r="F157" s="719" t="s">
        <v>350</v>
      </c>
      <c r="G157" s="719"/>
      <c r="H157" s="719"/>
      <c r="I157" s="719"/>
      <c r="J157" s="63" t="s">
        <v>63</v>
      </c>
      <c r="K157" s="347">
        <f>SUM(K158:K158)</f>
        <v>82</v>
      </c>
      <c r="L157" s="726"/>
      <c r="M157" s="726"/>
      <c r="N157" s="720">
        <f>ROUND(L157*K157,2)</f>
        <v>0</v>
      </c>
      <c r="O157" s="720"/>
      <c r="P157" s="720"/>
      <c r="Q157" s="720"/>
      <c r="R157" s="238"/>
      <c r="T157" s="45"/>
      <c r="V157" s="248">
        <v>0.03</v>
      </c>
      <c r="W157" s="248">
        <f>V157*K157</f>
        <v>2.46</v>
      </c>
    </row>
    <row r="158" spans="2:29" s="248" customFormat="1" outlineLevel="1">
      <c r="B158" s="247"/>
      <c r="E158" s="349" t="s">
        <v>637</v>
      </c>
      <c r="F158" s="717" t="s">
        <v>2505</v>
      </c>
      <c r="G158" s="718">
        <f>((6.66+3.62)*2+(4.57+6.66)*2+(4.9+3.7+1.3)*2+(5.9+3.7+4.7+5.9+6.1+6.6+6.3+3.2+5.6+5.4+4+2.5)*2)*2</f>
        <v>365.24</v>
      </c>
      <c r="H158" s="718">
        <f>((6.66+3.62)*2+(4.57+6.66)*2+(4.9+3.7+1.3)*2+(5.9+3.7+4.7+5.9+6.1+6.6+6.3+3.2+5.6+5.4+4+2.5)*2)*2</f>
        <v>365.24</v>
      </c>
      <c r="I158" s="718">
        <f>((6.66+3.62)*2+(4.57+6.66)*2+(4.9+3.7+1.3)*2+(5.9+3.7+4.7+5.9+6.1+6.6+6.3+3.2+5.6+5.4+4+2.5)*2)*2</f>
        <v>365.24</v>
      </c>
      <c r="J158" s="64">
        <v>2</v>
      </c>
      <c r="K158" s="350">
        <f>((5.6+5.4+6.3+3.2)*2)*J158</f>
        <v>82</v>
      </c>
      <c r="L158" s="196"/>
      <c r="M158" s="196"/>
      <c r="R158" s="249"/>
      <c r="T158" s="45"/>
      <c r="AC158" s="351"/>
    </row>
    <row r="159" spans="2:29" ht="27" customHeight="1" outlineLevel="1">
      <c r="B159" s="237"/>
      <c r="C159" s="345"/>
      <c r="D159" s="345" t="s">
        <v>62</v>
      </c>
      <c r="E159" s="346">
        <v>978015391</v>
      </c>
      <c r="F159" s="719" t="s">
        <v>353</v>
      </c>
      <c r="G159" s="719"/>
      <c r="H159" s="719"/>
      <c r="I159" s="719"/>
      <c r="J159" s="63" t="s">
        <v>63</v>
      </c>
      <c r="K159" s="347">
        <f>SUM(K160:K160)</f>
        <v>37.400000000000006</v>
      </c>
      <c r="L159" s="726"/>
      <c r="M159" s="726"/>
      <c r="N159" s="720">
        <f>ROUND(L159*K159,2)</f>
        <v>0</v>
      </c>
      <c r="O159" s="720"/>
      <c r="P159" s="720"/>
      <c r="Q159" s="720"/>
      <c r="R159" s="238"/>
      <c r="T159" s="45"/>
      <c r="V159" s="248">
        <v>0.04</v>
      </c>
      <c r="W159" s="248">
        <f>V159*K159</f>
        <v>1.4960000000000002</v>
      </c>
      <c r="X159" s="236"/>
      <c r="Y159" s="236"/>
      <c r="Z159" s="236"/>
      <c r="AA159" s="236"/>
      <c r="AB159" s="236"/>
    </row>
    <row r="160" spans="2:29" s="248" customFormat="1" outlineLevel="1">
      <c r="B160" s="247"/>
      <c r="E160" s="349" t="s">
        <v>681</v>
      </c>
      <c r="F160" s="717" t="s">
        <v>2506</v>
      </c>
      <c r="G160" s="718" t="e">
        <f>(20.2+8.2+32.7+19+12.5+7.2)*F160</f>
        <v>#VALUE!</v>
      </c>
      <c r="H160" s="718" t="e">
        <f>(20.2+8.2+32.7+19+12.5+7.2)*G160</f>
        <v>#VALUE!</v>
      </c>
      <c r="I160" s="718" t="e">
        <f>(20.2+8.2+32.7+19+12.5+7.2)*H160</f>
        <v>#VALUE!</v>
      </c>
      <c r="J160" s="64">
        <v>2</v>
      </c>
      <c r="K160" s="350">
        <f>(11.8+6.9)*J160</f>
        <v>37.400000000000006</v>
      </c>
      <c r="L160" s="196"/>
      <c r="M160" s="196"/>
      <c r="R160" s="249"/>
      <c r="T160" s="45"/>
      <c r="AC160" s="351"/>
    </row>
    <row r="161" spans="2:29" outlineLevel="1">
      <c r="B161" s="237"/>
      <c r="C161" s="345"/>
      <c r="D161" s="345" t="s">
        <v>62</v>
      </c>
      <c r="E161" s="346">
        <v>978023411</v>
      </c>
      <c r="F161" s="719" t="s">
        <v>354</v>
      </c>
      <c r="G161" s="719"/>
      <c r="H161" s="719"/>
      <c r="I161" s="719"/>
      <c r="J161" s="63" t="s">
        <v>63</v>
      </c>
      <c r="K161" s="347">
        <f>SUM(K162:K164)</f>
        <v>135.995</v>
      </c>
      <c r="L161" s="726"/>
      <c r="M161" s="726"/>
      <c r="N161" s="720">
        <f>ROUND(L161*K161,2)</f>
        <v>0</v>
      </c>
      <c r="O161" s="720"/>
      <c r="P161" s="720"/>
      <c r="Q161" s="720"/>
      <c r="R161" s="238"/>
      <c r="T161" s="45"/>
      <c r="V161" s="248">
        <v>1E-3</v>
      </c>
      <c r="W161" s="248">
        <f>V161*K161</f>
        <v>0.135995</v>
      </c>
    </row>
    <row r="162" spans="2:29" s="248" customFormat="1" outlineLevel="1">
      <c r="B162" s="247"/>
      <c r="E162" s="349" t="s">
        <v>681</v>
      </c>
      <c r="F162" s="717" t="s">
        <v>187</v>
      </c>
      <c r="G162" s="718"/>
      <c r="H162" s="718"/>
      <c r="I162" s="718"/>
      <c r="J162" s="64"/>
      <c r="K162" s="350">
        <f>K159</f>
        <v>37.400000000000006</v>
      </c>
      <c r="L162" s="196"/>
      <c r="M162" s="196"/>
      <c r="R162" s="249"/>
      <c r="T162" s="45"/>
      <c r="AC162" s="351"/>
    </row>
    <row r="163" spans="2:29" s="248" customFormat="1" outlineLevel="1">
      <c r="B163" s="247"/>
      <c r="E163" s="349" t="s">
        <v>682</v>
      </c>
      <c r="F163" s="717" t="s">
        <v>2507</v>
      </c>
      <c r="G163" s="718">
        <f>20.2*0.7+(8.2+32.7+19)*0.5+(12.5+7.2)*(1.1+2)/2</f>
        <v>74.625</v>
      </c>
      <c r="H163" s="718">
        <f>20.2*0.7+(8.2+32.7+19)*0.5+(12.5+7.2)*(1.1+2)/2</f>
        <v>74.625</v>
      </c>
      <c r="I163" s="718">
        <f>20.2*0.7+(8.2+32.7+19)*0.5+(12.5+7.2)*(1.1+2)/2</f>
        <v>74.625</v>
      </c>
      <c r="J163" s="64"/>
      <c r="K163" s="350">
        <f>(11.8)*0.5+(6.9)*(1.1+2)/2</f>
        <v>16.594999999999999</v>
      </c>
      <c r="L163" s="196"/>
      <c r="M163" s="196"/>
      <c r="R163" s="249"/>
      <c r="T163" s="45"/>
      <c r="AC163" s="351"/>
    </row>
    <row r="164" spans="2:29" s="248" customFormat="1" outlineLevel="1">
      <c r="B164" s="247"/>
      <c r="E164" s="349" t="s">
        <v>686</v>
      </c>
      <c r="F164" s="717" t="s">
        <v>187</v>
      </c>
      <c r="G164" s="718"/>
      <c r="H164" s="718"/>
      <c r="I164" s="718"/>
      <c r="J164" s="64"/>
      <c r="K164" s="350">
        <f>K157</f>
        <v>82</v>
      </c>
      <c r="L164" s="196"/>
      <c r="M164" s="196"/>
      <c r="R164" s="249"/>
      <c r="T164" s="45"/>
      <c r="AC164" s="351"/>
    </row>
    <row r="165" spans="2:29" outlineLevel="1">
      <c r="B165" s="237"/>
      <c r="C165" s="345"/>
      <c r="D165" s="345" t="s">
        <v>62</v>
      </c>
      <c r="E165" s="346" t="s">
        <v>692</v>
      </c>
      <c r="F165" s="719" t="s">
        <v>693</v>
      </c>
      <c r="G165" s="719"/>
      <c r="H165" s="719"/>
      <c r="I165" s="719"/>
      <c r="J165" s="63" t="s">
        <v>68</v>
      </c>
      <c r="K165" s="347">
        <f>SUM(K166:K167)</f>
        <v>3.6</v>
      </c>
      <c r="L165" s="726"/>
      <c r="M165" s="726"/>
      <c r="N165" s="720">
        <f>ROUND(L165*K165,2)</f>
        <v>0</v>
      </c>
      <c r="O165" s="720"/>
      <c r="P165" s="720"/>
      <c r="Q165" s="720"/>
      <c r="R165" s="238"/>
      <c r="T165" s="45"/>
    </row>
    <row r="166" spans="2:29" s="248" customFormat="1" outlineLevel="1">
      <c r="B166" s="247"/>
      <c r="E166" s="349" t="s">
        <v>688</v>
      </c>
      <c r="F166" s="717" t="s">
        <v>835</v>
      </c>
      <c r="G166" s="718" t="e">
        <f>2*F166</f>
        <v>#VALUE!</v>
      </c>
      <c r="H166" s="718" t="e">
        <f>2*G166</f>
        <v>#VALUE!</v>
      </c>
      <c r="I166" s="718" t="e">
        <f>2*H166</f>
        <v>#VALUE!</v>
      </c>
      <c r="J166" s="64">
        <v>0.45</v>
      </c>
      <c r="K166" s="350">
        <f>2*J166</f>
        <v>0.9</v>
      </c>
      <c r="L166" s="196"/>
      <c r="M166" s="196"/>
      <c r="R166" s="249"/>
      <c r="T166" s="45"/>
      <c r="AC166" s="351"/>
    </row>
    <row r="167" spans="2:29" s="248" customFormat="1" outlineLevel="1">
      <c r="B167" s="247"/>
      <c r="E167" s="349" t="s">
        <v>688</v>
      </c>
      <c r="F167" s="717" t="s">
        <v>836</v>
      </c>
      <c r="G167" s="718" t="e">
        <f>8*F167</f>
        <v>#VALUE!</v>
      </c>
      <c r="H167" s="718" t="e">
        <f>8*G167</f>
        <v>#VALUE!</v>
      </c>
      <c r="I167" s="718" t="e">
        <f>8*H167</f>
        <v>#VALUE!</v>
      </c>
      <c r="J167" s="64">
        <v>0.9</v>
      </c>
      <c r="K167" s="350">
        <f>3*J167</f>
        <v>2.7</v>
      </c>
      <c r="L167" s="196"/>
      <c r="M167" s="196"/>
      <c r="R167" s="249"/>
      <c r="T167" s="45"/>
      <c r="AC167" s="351"/>
    </row>
    <row r="168" spans="2:29" outlineLevel="1">
      <c r="B168" s="237"/>
      <c r="C168" s="345"/>
      <c r="D168" s="345" t="s">
        <v>62</v>
      </c>
      <c r="E168" s="346" t="s">
        <v>689</v>
      </c>
      <c r="F168" s="719" t="s">
        <v>690</v>
      </c>
      <c r="G168" s="719"/>
      <c r="H168" s="719"/>
      <c r="I168" s="719"/>
      <c r="J168" s="63" t="s">
        <v>68</v>
      </c>
      <c r="K168" s="347">
        <f>SUM(K169:K169)</f>
        <v>0.5</v>
      </c>
      <c r="L168" s="726"/>
      <c r="M168" s="726"/>
      <c r="N168" s="720">
        <f>ROUND(L168*K168,2)</f>
        <v>0</v>
      </c>
      <c r="O168" s="720"/>
      <c r="P168" s="720"/>
      <c r="Q168" s="720"/>
      <c r="R168" s="238"/>
      <c r="T168" s="45"/>
      <c r="V168" s="248">
        <f>0.15*0.15</f>
        <v>2.2499999999999999E-2</v>
      </c>
      <c r="W168" s="248">
        <f>V168*K168</f>
        <v>1.125E-2</v>
      </c>
    </row>
    <row r="169" spans="2:29" s="248" customFormat="1" ht="22.5" outlineLevel="1">
      <c r="B169" s="247"/>
      <c r="E169" s="349" t="s">
        <v>691</v>
      </c>
      <c r="F169" s="717" t="s">
        <v>2461</v>
      </c>
      <c r="G169" s="718">
        <f>9*0.5</f>
        <v>4.5</v>
      </c>
      <c r="H169" s="718">
        <f>9*0.5</f>
        <v>4.5</v>
      </c>
      <c r="I169" s="718">
        <f>9*0.5</f>
        <v>4.5</v>
      </c>
      <c r="J169" s="64"/>
      <c r="K169" s="350">
        <f>1*0.5</f>
        <v>0.5</v>
      </c>
      <c r="L169" s="196"/>
      <c r="M169" s="196"/>
      <c r="R169" s="249"/>
      <c r="T169" s="45"/>
      <c r="AC169" s="351"/>
    </row>
    <row r="170" spans="2:29" outlineLevel="1">
      <c r="B170" s="237"/>
      <c r="C170" s="345"/>
      <c r="D170" s="345"/>
      <c r="E170" s="346">
        <v>612135101</v>
      </c>
      <c r="F170" s="719" t="s">
        <v>772</v>
      </c>
      <c r="G170" s="719"/>
      <c r="H170" s="719"/>
      <c r="I170" s="719"/>
      <c r="J170" s="63" t="s">
        <v>63</v>
      </c>
      <c r="K170" s="347">
        <f>SUM(K171:K171)</f>
        <v>7.4999999999999997E-2</v>
      </c>
      <c r="L170" s="726"/>
      <c r="M170" s="726"/>
      <c r="N170" s="720">
        <f>ROUND(L170*K170,2)</f>
        <v>0</v>
      </c>
      <c r="O170" s="720"/>
      <c r="P170" s="720"/>
      <c r="Q170" s="720"/>
      <c r="R170" s="238"/>
      <c r="T170" s="45"/>
    </row>
    <row r="171" spans="2:29" s="248" customFormat="1" ht="22.5" outlineLevel="1">
      <c r="B171" s="247"/>
      <c r="E171" s="349" t="s">
        <v>691</v>
      </c>
      <c r="F171" s="717" t="s">
        <v>2462</v>
      </c>
      <c r="G171" s="718">
        <f>9*0.5</f>
        <v>4.5</v>
      </c>
      <c r="H171" s="718">
        <f>9*0.5</f>
        <v>4.5</v>
      </c>
      <c r="I171" s="718">
        <f>9*0.5</f>
        <v>4.5</v>
      </c>
      <c r="J171" s="64">
        <v>0.15</v>
      </c>
      <c r="K171" s="350">
        <f>1*0.5*J171</f>
        <v>7.4999999999999997E-2</v>
      </c>
      <c r="L171" s="196"/>
      <c r="M171" s="196"/>
      <c r="R171" s="249"/>
      <c r="T171" s="45"/>
      <c r="AC171" s="351"/>
    </row>
    <row r="172" spans="2:29" s="341" customFormat="1" ht="12.75">
      <c r="B172" s="340"/>
      <c r="C172" s="344"/>
      <c r="D172" s="344" t="s">
        <v>670</v>
      </c>
      <c r="E172" s="344"/>
      <c r="F172" s="344"/>
      <c r="G172" s="344"/>
      <c r="H172" s="344"/>
      <c r="I172" s="344"/>
      <c r="J172" s="61"/>
      <c r="K172" s="344"/>
      <c r="L172" s="72"/>
      <c r="M172" s="72"/>
      <c r="N172" s="734">
        <f>SUM(N173:Q310)</f>
        <v>0</v>
      </c>
      <c r="O172" s="734"/>
      <c r="P172" s="734"/>
      <c r="Q172" s="734"/>
      <c r="R172" s="342"/>
      <c r="T172" s="45">
        <f>SUM(N172:Q310)/2</f>
        <v>0</v>
      </c>
      <c r="U172" s="248"/>
      <c r="V172" s="248"/>
      <c r="W172" s="248"/>
      <c r="X172" s="248"/>
      <c r="Y172" s="248"/>
      <c r="Z172" s="248"/>
      <c r="AA172" s="248"/>
      <c r="AB172" s="248"/>
      <c r="AC172" s="343"/>
    </row>
    <row r="173" spans="2:29" outlineLevel="1">
      <c r="B173" s="237"/>
      <c r="C173" s="345"/>
      <c r="D173" s="345" t="s">
        <v>62</v>
      </c>
      <c r="E173" s="346">
        <v>985131311</v>
      </c>
      <c r="F173" s="719" t="s">
        <v>694</v>
      </c>
      <c r="G173" s="719"/>
      <c r="H173" s="719"/>
      <c r="I173" s="719"/>
      <c r="J173" s="63" t="s">
        <v>63</v>
      </c>
      <c r="K173" s="347">
        <f>K161</f>
        <v>135.995</v>
      </c>
      <c r="L173" s="726"/>
      <c r="M173" s="726"/>
      <c r="N173" s="720">
        <f>ROUND(L173*K173,2)</f>
        <v>0</v>
      </c>
      <c r="O173" s="720"/>
      <c r="P173" s="720"/>
      <c r="Q173" s="720"/>
      <c r="R173" s="238"/>
      <c r="T173" s="45"/>
    </row>
    <row r="174" spans="2:29" s="374" customFormat="1" outlineLevel="1">
      <c r="B174" s="370"/>
      <c r="C174" s="371"/>
      <c r="D174" s="371" t="s">
        <v>679</v>
      </c>
      <c r="E174" s="753" t="s">
        <v>680</v>
      </c>
      <c r="F174" s="754"/>
      <c r="G174" s="754"/>
      <c r="H174" s="754"/>
      <c r="I174" s="755"/>
      <c r="J174" s="145"/>
      <c r="K174" s="372">
        <f>K175</f>
        <v>10.695</v>
      </c>
      <c r="L174" s="756"/>
      <c r="M174" s="756"/>
      <c r="N174" s="757"/>
      <c r="O174" s="757"/>
      <c r="P174" s="757"/>
      <c r="Q174" s="757"/>
      <c r="R174" s="373"/>
      <c r="T174" s="144"/>
      <c r="U174" s="375"/>
      <c r="V174" s="375"/>
      <c r="W174" s="375"/>
      <c r="X174" s="375"/>
      <c r="Y174" s="375"/>
      <c r="Z174" s="375"/>
      <c r="AA174" s="375"/>
      <c r="AB174" s="375"/>
      <c r="AC174" s="376"/>
    </row>
    <row r="175" spans="2:29" s="378" customFormat="1" outlineLevel="1">
      <c r="B175" s="377"/>
      <c r="E175" s="379" t="s">
        <v>2274</v>
      </c>
      <c r="F175" s="748" t="s">
        <v>2463</v>
      </c>
      <c r="G175" s="749">
        <f>(12.3+7.6)*(1.1+2)/2</f>
        <v>30.844999999999999</v>
      </c>
      <c r="H175" s="749">
        <f>(12.3+7.6)*(1.1+2)/2</f>
        <v>30.844999999999999</v>
      </c>
      <c r="I175" s="749">
        <f>(12.3+7.6)*(1.1+2)/2</f>
        <v>30.844999999999999</v>
      </c>
      <c r="J175" s="195"/>
      <c r="K175" s="380">
        <f>(6.9)*(1.1+2)/2</f>
        <v>10.695</v>
      </c>
      <c r="L175" s="197"/>
      <c r="M175" s="197"/>
      <c r="R175" s="381"/>
      <c r="T175" s="194"/>
      <c r="AC175" s="382"/>
    </row>
    <row r="176" spans="2:29" outlineLevel="1">
      <c r="B176" s="237"/>
      <c r="C176" s="345"/>
      <c r="D176" s="345" t="s">
        <v>62</v>
      </c>
      <c r="E176" s="346">
        <v>985311112</v>
      </c>
      <c r="F176" s="719" t="s">
        <v>695</v>
      </c>
      <c r="G176" s="719"/>
      <c r="H176" s="719"/>
      <c r="I176" s="719"/>
      <c r="J176" s="63" t="s">
        <v>63</v>
      </c>
      <c r="K176" s="347">
        <f>K174</f>
        <v>10.695</v>
      </c>
      <c r="L176" s="726"/>
      <c r="M176" s="726"/>
      <c r="N176" s="720">
        <f>ROUND(L176*K176,2)</f>
        <v>0</v>
      </c>
      <c r="O176" s="720"/>
      <c r="P176" s="720"/>
      <c r="Q176" s="720"/>
      <c r="R176" s="238"/>
      <c r="T176" s="45"/>
    </row>
    <row r="177" spans="2:29" ht="27" customHeight="1" outlineLevel="1">
      <c r="B177" s="237"/>
      <c r="C177" s="345"/>
      <c r="D177" s="345" t="s">
        <v>62</v>
      </c>
      <c r="E177" s="346">
        <v>711191201</v>
      </c>
      <c r="F177" s="719" t="s">
        <v>411</v>
      </c>
      <c r="G177" s="719"/>
      <c r="H177" s="719"/>
      <c r="I177" s="719"/>
      <c r="J177" s="63" t="s">
        <v>63</v>
      </c>
      <c r="K177" s="347">
        <f>SUM(K178:K178)</f>
        <v>5.5200000000000005</v>
      </c>
      <c r="L177" s="726"/>
      <c r="M177" s="726"/>
      <c r="N177" s="720">
        <f>ROUND(L177*K177,2)</f>
        <v>0</v>
      </c>
      <c r="O177" s="720"/>
      <c r="P177" s="720"/>
      <c r="Q177" s="720"/>
      <c r="R177" s="238"/>
      <c r="T177" s="45"/>
      <c r="V177" s="236"/>
      <c r="W177" s="236"/>
      <c r="X177" s="236"/>
      <c r="Y177" s="236"/>
      <c r="Z177" s="236"/>
      <c r="AA177" s="236"/>
      <c r="AB177" s="236"/>
    </row>
    <row r="178" spans="2:29" s="248" customFormat="1" outlineLevel="1">
      <c r="B178" s="247"/>
      <c r="E178" s="349" t="s">
        <v>696</v>
      </c>
      <c r="F178" s="717" t="s">
        <v>2464</v>
      </c>
      <c r="G178" s="718">
        <f>(12.3+7.6)*0.8</f>
        <v>15.92</v>
      </c>
      <c r="H178" s="718">
        <f>(12.3+7.6)*0.8</f>
        <v>15.92</v>
      </c>
      <c r="I178" s="718">
        <f>(12.3+7.6)*0.8</f>
        <v>15.92</v>
      </c>
      <c r="J178" s="64"/>
      <c r="K178" s="350">
        <f>(6.9)*0.8</f>
        <v>5.5200000000000005</v>
      </c>
      <c r="L178" s="196"/>
      <c r="M178" s="196"/>
      <c r="R178" s="249"/>
      <c r="T178" s="45"/>
      <c r="AC178" s="351"/>
    </row>
    <row r="179" spans="2:29" outlineLevel="1">
      <c r="B179" s="237"/>
      <c r="C179" s="345"/>
      <c r="D179" s="345" t="s">
        <v>62</v>
      </c>
      <c r="E179" s="346">
        <v>711192202</v>
      </c>
      <c r="F179" s="719" t="s">
        <v>410</v>
      </c>
      <c r="G179" s="719"/>
      <c r="H179" s="719"/>
      <c r="I179" s="719"/>
      <c r="J179" s="63" t="s">
        <v>63</v>
      </c>
      <c r="K179" s="347">
        <f>K174</f>
        <v>10.695</v>
      </c>
      <c r="L179" s="726"/>
      <c r="M179" s="726"/>
      <c r="N179" s="720">
        <f>ROUND(L179*K179,2)</f>
        <v>0</v>
      </c>
      <c r="O179" s="720"/>
      <c r="P179" s="720"/>
      <c r="Q179" s="720"/>
      <c r="R179" s="238"/>
      <c r="T179" s="45"/>
    </row>
    <row r="180" spans="2:29" outlineLevel="1">
      <c r="B180" s="237"/>
      <c r="C180" s="345"/>
      <c r="D180" s="345" t="s">
        <v>62</v>
      </c>
      <c r="E180" s="346">
        <v>711199101</v>
      </c>
      <c r="F180" s="719" t="s">
        <v>697</v>
      </c>
      <c r="G180" s="719"/>
      <c r="H180" s="719"/>
      <c r="I180" s="719"/>
      <c r="J180" s="63" t="s">
        <v>68</v>
      </c>
      <c r="K180" s="347">
        <f>SUM(K181:K182)</f>
        <v>8.4500000000000011</v>
      </c>
      <c r="L180" s="726"/>
      <c r="M180" s="726"/>
      <c r="N180" s="720">
        <f>ROUND(L180*K180,2)</f>
        <v>0</v>
      </c>
      <c r="O180" s="720"/>
      <c r="P180" s="720"/>
      <c r="Q180" s="720"/>
      <c r="R180" s="238"/>
      <c r="T180" s="45"/>
    </row>
    <row r="181" spans="2:29" s="248" customFormat="1" outlineLevel="1">
      <c r="B181" s="247"/>
      <c r="E181" s="349" t="s">
        <v>698</v>
      </c>
      <c r="F181" s="717" t="s">
        <v>2465</v>
      </c>
      <c r="G181" s="718">
        <f>(12.3+7.6)</f>
        <v>19.899999999999999</v>
      </c>
      <c r="H181" s="718">
        <f>(12.3+7.6)</f>
        <v>19.899999999999999</v>
      </c>
      <c r="I181" s="718">
        <f>(12.3+7.6)</f>
        <v>19.899999999999999</v>
      </c>
      <c r="J181" s="64"/>
      <c r="K181" s="350">
        <f>(6.9)</f>
        <v>6.9</v>
      </c>
      <c r="L181" s="196"/>
      <c r="M181" s="196"/>
      <c r="R181" s="249"/>
      <c r="T181" s="45"/>
      <c r="AC181" s="351"/>
    </row>
    <row r="182" spans="2:29" s="248" customFormat="1" outlineLevel="1">
      <c r="B182" s="247"/>
      <c r="E182" s="349" t="s">
        <v>699</v>
      </c>
      <c r="F182" s="717" t="s">
        <v>2466</v>
      </c>
      <c r="G182" s="718">
        <f>(1.1+2)/2*3</f>
        <v>4.6500000000000004</v>
      </c>
      <c r="H182" s="718">
        <f>(1.1+2)/2*3</f>
        <v>4.6500000000000004</v>
      </c>
      <c r="I182" s="718">
        <f>(1.1+2)/2*3</f>
        <v>4.6500000000000004</v>
      </c>
      <c r="J182" s="64"/>
      <c r="K182" s="350">
        <f>(1.1+2)/2*1</f>
        <v>1.55</v>
      </c>
      <c r="L182" s="196"/>
      <c r="M182" s="196"/>
      <c r="R182" s="249"/>
      <c r="T182" s="45"/>
      <c r="AC182" s="351"/>
    </row>
    <row r="183" spans="2:29" ht="11.25" customHeight="1" outlineLevel="1">
      <c r="B183" s="237"/>
      <c r="C183" s="383"/>
      <c r="D183" s="383" t="s">
        <v>65</v>
      </c>
      <c r="E183" s="384" t="s">
        <v>710</v>
      </c>
      <c r="F183" s="751" t="s">
        <v>711</v>
      </c>
      <c r="G183" s="751"/>
      <c r="H183" s="751"/>
      <c r="I183" s="751"/>
      <c r="J183" s="65" t="s">
        <v>412</v>
      </c>
      <c r="K183" s="385">
        <f>SUM(K184:K184)</f>
        <v>64.211400000000012</v>
      </c>
      <c r="L183" s="726"/>
      <c r="M183" s="726"/>
      <c r="N183" s="752">
        <f>ROUND(L183*K183,2)</f>
        <v>0</v>
      </c>
      <c r="O183" s="720"/>
      <c r="P183" s="720"/>
      <c r="Q183" s="720"/>
      <c r="R183" s="238"/>
      <c r="T183" s="45"/>
      <c r="V183" s="236"/>
      <c r="W183" s="236"/>
      <c r="X183" s="236"/>
      <c r="Y183" s="236"/>
      <c r="Z183" s="236"/>
      <c r="AA183" s="236"/>
      <c r="AB183" s="236"/>
    </row>
    <row r="184" spans="2:29" s="248" customFormat="1" outlineLevel="1">
      <c r="B184" s="247"/>
      <c r="E184" s="349" t="s">
        <v>700</v>
      </c>
      <c r="F184" s="717" t="s">
        <v>703</v>
      </c>
      <c r="G184" s="718"/>
      <c r="H184" s="718"/>
      <c r="I184" s="718"/>
      <c r="J184" s="64">
        <f>1.8*2*1.1</f>
        <v>3.9600000000000004</v>
      </c>
      <c r="K184" s="350">
        <f>(K177+K179)*J184</f>
        <v>64.211400000000012</v>
      </c>
      <c r="L184" s="196"/>
      <c r="M184" s="196"/>
      <c r="R184" s="249"/>
      <c r="T184" s="45"/>
      <c r="AC184" s="351"/>
    </row>
    <row r="185" spans="2:29" ht="11.25" customHeight="1" outlineLevel="1">
      <c r="B185" s="237"/>
      <c r="C185" s="383"/>
      <c r="D185" s="383" t="s">
        <v>65</v>
      </c>
      <c r="E185" s="384" t="s">
        <v>701</v>
      </c>
      <c r="F185" s="751" t="s">
        <v>702</v>
      </c>
      <c r="G185" s="751"/>
      <c r="H185" s="751"/>
      <c r="I185" s="751"/>
      <c r="J185" s="65" t="s">
        <v>68</v>
      </c>
      <c r="K185" s="385">
        <f>SUM(K186:K188)</f>
        <v>9.2950000000000017</v>
      </c>
      <c r="L185" s="726"/>
      <c r="M185" s="726"/>
      <c r="N185" s="752">
        <f>ROUND(L185*K185,2)</f>
        <v>0</v>
      </c>
      <c r="O185" s="720"/>
      <c r="P185" s="720"/>
      <c r="Q185" s="720"/>
      <c r="R185" s="238"/>
      <c r="T185" s="45"/>
      <c r="V185" s="236"/>
      <c r="W185" s="236"/>
      <c r="X185" s="236"/>
      <c r="Y185" s="236"/>
      <c r="Z185" s="236"/>
      <c r="AA185" s="236"/>
      <c r="AB185" s="236"/>
    </row>
    <row r="186" spans="2:29" s="248" customFormat="1" outlineLevel="1">
      <c r="B186" s="247"/>
      <c r="E186" s="349" t="s">
        <v>698</v>
      </c>
      <c r="F186" s="717" t="s">
        <v>2465</v>
      </c>
      <c r="G186" s="718">
        <f>(12.3+7.6)</f>
        <v>19.899999999999999</v>
      </c>
      <c r="H186" s="718">
        <f>(12.3+7.6)</f>
        <v>19.899999999999999</v>
      </c>
      <c r="I186" s="718">
        <f>(12.3+7.6)</f>
        <v>19.899999999999999</v>
      </c>
      <c r="J186" s="64"/>
      <c r="K186" s="350">
        <f>(6.9)</f>
        <v>6.9</v>
      </c>
      <c r="L186" s="196"/>
      <c r="M186" s="196"/>
      <c r="R186" s="249"/>
      <c r="T186" s="45"/>
      <c r="AC186" s="351"/>
    </row>
    <row r="187" spans="2:29" s="248" customFormat="1" outlineLevel="1">
      <c r="B187" s="247"/>
      <c r="E187" s="349" t="s">
        <v>699</v>
      </c>
      <c r="F187" s="717" t="s">
        <v>2466</v>
      </c>
      <c r="G187" s="718">
        <f>(1.1+2)/2*3</f>
        <v>4.6500000000000004</v>
      </c>
      <c r="H187" s="718">
        <f>(1.1+2)/2*3</f>
        <v>4.6500000000000004</v>
      </c>
      <c r="I187" s="718">
        <f>(1.1+2)/2*3</f>
        <v>4.6500000000000004</v>
      </c>
      <c r="J187" s="64"/>
      <c r="K187" s="350">
        <f>(1.1+2)/2*1</f>
        <v>1.55</v>
      </c>
      <c r="L187" s="196"/>
      <c r="M187" s="196"/>
      <c r="R187" s="249"/>
      <c r="T187" s="45"/>
      <c r="AC187" s="351"/>
    </row>
    <row r="188" spans="2:29" s="248" customFormat="1" ht="22.5" outlineLevel="1">
      <c r="B188" s="247"/>
      <c r="E188" s="349" t="s">
        <v>704</v>
      </c>
      <c r="F188" s="717"/>
      <c r="G188" s="718"/>
      <c r="H188" s="718"/>
      <c r="I188" s="718"/>
      <c r="J188" s="141">
        <v>0.1</v>
      </c>
      <c r="K188" s="350">
        <f>SUM(K186:K187)*J188</f>
        <v>0.8450000000000002</v>
      </c>
      <c r="L188" s="196"/>
      <c r="M188" s="196"/>
      <c r="R188" s="249"/>
      <c r="T188" s="45"/>
      <c r="AC188" s="351"/>
    </row>
    <row r="189" spans="2:29" outlineLevel="1">
      <c r="B189" s="237"/>
      <c r="C189" s="345"/>
      <c r="D189" s="345" t="s">
        <v>62</v>
      </c>
      <c r="E189" s="346" t="s">
        <v>705</v>
      </c>
      <c r="F189" s="719" t="s">
        <v>706</v>
      </c>
      <c r="G189" s="719"/>
      <c r="H189" s="719"/>
      <c r="I189" s="719"/>
      <c r="J189" s="63" t="s">
        <v>63</v>
      </c>
      <c r="K189" s="347">
        <f>K174</f>
        <v>10.695</v>
      </c>
      <c r="L189" s="726"/>
      <c r="M189" s="726"/>
      <c r="N189" s="720">
        <f>ROUND(L189*K189,2)</f>
        <v>0</v>
      </c>
      <c r="O189" s="720"/>
      <c r="P189" s="720"/>
      <c r="Q189" s="720"/>
      <c r="R189" s="238"/>
      <c r="T189" s="45"/>
    </row>
    <row r="190" spans="2:29" ht="11.25" customHeight="1" outlineLevel="1">
      <c r="B190" s="237"/>
      <c r="C190" s="383"/>
      <c r="D190" s="383" t="s">
        <v>65</v>
      </c>
      <c r="E190" s="384" t="s">
        <v>708</v>
      </c>
      <c r="F190" s="751" t="s">
        <v>709</v>
      </c>
      <c r="G190" s="751"/>
      <c r="H190" s="751"/>
      <c r="I190" s="751"/>
      <c r="J190" s="65" t="s">
        <v>63</v>
      </c>
      <c r="K190" s="385">
        <f>SUM(K191:K192)</f>
        <v>11.7645</v>
      </c>
      <c r="L190" s="726"/>
      <c r="M190" s="726"/>
      <c r="N190" s="752">
        <f>ROUND(L190*K190,2)</f>
        <v>0</v>
      </c>
      <c r="O190" s="720"/>
      <c r="P190" s="720"/>
      <c r="Q190" s="720"/>
      <c r="R190" s="238"/>
      <c r="T190" s="45"/>
      <c r="V190" s="236"/>
      <c r="W190" s="236"/>
      <c r="X190" s="236"/>
      <c r="Y190" s="236"/>
      <c r="Z190" s="236"/>
      <c r="AA190" s="236"/>
      <c r="AB190" s="236"/>
    </row>
    <row r="191" spans="2:29" s="248" customFormat="1" outlineLevel="1">
      <c r="B191" s="247"/>
      <c r="E191" s="349" t="s">
        <v>707</v>
      </c>
      <c r="F191" s="717" t="s">
        <v>187</v>
      </c>
      <c r="G191" s="718"/>
      <c r="H191" s="718"/>
      <c r="I191" s="718"/>
      <c r="J191" s="64"/>
      <c r="K191" s="350">
        <f>K174</f>
        <v>10.695</v>
      </c>
      <c r="L191" s="196"/>
      <c r="M191" s="196"/>
      <c r="R191" s="249"/>
      <c r="T191" s="45"/>
      <c r="AC191" s="351"/>
    </row>
    <row r="192" spans="2:29" s="248" customFormat="1" ht="22.5" outlineLevel="1">
      <c r="B192" s="247"/>
      <c r="E192" s="349" t="s">
        <v>704</v>
      </c>
      <c r="F192" s="717"/>
      <c r="G192" s="718"/>
      <c r="H192" s="718"/>
      <c r="I192" s="718"/>
      <c r="J192" s="141">
        <v>0.1</v>
      </c>
      <c r="K192" s="350">
        <f>SUM(K191:K191)*J192</f>
        <v>1.0695000000000001</v>
      </c>
      <c r="L192" s="196"/>
      <c r="M192" s="196"/>
      <c r="R192" s="249"/>
      <c r="T192" s="45"/>
      <c r="AC192" s="351"/>
    </row>
    <row r="193" spans="2:29" ht="27" customHeight="1" outlineLevel="1">
      <c r="B193" s="237"/>
      <c r="C193" s="345"/>
      <c r="D193" s="345" t="s">
        <v>62</v>
      </c>
      <c r="E193" s="346">
        <v>711161122</v>
      </c>
      <c r="F193" s="719" t="s">
        <v>714</v>
      </c>
      <c r="G193" s="719"/>
      <c r="H193" s="719"/>
      <c r="I193" s="719"/>
      <c r="J193" s="63" t="s">
        <v>63</v>
      </c>
      <c r="K193" s="347">
        <f>SUM(K194:K194)</f>
        <v>5.5200000000000005</v>
      </c>
      <c r="L193" s="726"/>
      <c r="M193" s="726"/>
      <c r="N193" s="720">
        <f>ROUND(L193*K193,2)</f>
        <v>0</v>
      </c>
      <c r="O193" s="720"/>
      <c r="P193" s="720"/>
      <c r="Q193" s="720"/>
      <c r="R193" s="238"/>
      <c r="T193" s="45"/>
      <c r="V193" s="236"/>
      <c r="W193" s="236"/>
      <c r="X193" s="236"/>
      <c r="Y193" s="236"/>
      <c r="Z193" s="236"/>
      <c r="AA193" s="236"/>
      <c r="AB193" s="236"/>
    </row>
    <row r="194" spans="2:29" s="248" customFormat="1" outlineLevel="1">
      <c r="B194" s="247"/>
      <c r="E194" s="349" t="s">
        <v>696</v>
      </c>
      <c r="F194" s="717" t="s">
        <v>2464</v>
      </c>
      <c r="G194" s="718">
        <f>(12.3+7.6)*0.8</f>
        <v>15.92</v>
      </c>
      <c r="H194" s="718">
        <f>(12.3+7.6)*0.8</f>
        <v>15.92</v>
      </c>
      <c r="I194" s="718">
        <f>(12.3+7.6)*0.8</f>
        <v>15.92</v>
      </c>
      <c r="J194" s="64"/>
      <c r="K194" s="350">
        <f>(6.9)*0.8</f>
        <v>5.5200000000000005</v>
      </c>
      <c r="L194" s="196"/>
      <c r="M194" s="196"/>
      <c r="R194" s="249"/>
      <c r="T194" s="45"/>
      <c r="AC194" s="351"/>
    </row>
    <row r="195" spans="2:29" outlineLevel="1">
      <c r="B195" s="237"/>
      <c r="C195" s="345"/>
      <c r="D195" s="345" t="s">
        <v>62</v>
      </c>
      <c r="E195" s="346">
        <v>711161222</v>
      </c>
      <c r="F195" s="719" t="s">
        <v>715</v>
      </c>
      <c r="G195" s="719"/>
      <c r="H195" s="719"/>
      <c r="I195" s="719"/>
      <c r="J195" s="63" t="s">
        <v>63</v>
      </c>
      <c r="K195" s="347">
        <f>K174</f>
        <v>10.695</v>
      </c>
      <c r="L195" s="726"/>
      <c r="M195" s="726"/>
      <c r="N195" s="720">
        <f>ROUND(L195*K195,2)</f>
        <v>0</v>
      </c>
      <c r="O195" s="720"/>
      <c r="P195" s="720"/>
      <c r="Q195" s="720"/>
      <c r="R195" s="238"/>
      <c r="T195" s="45"/>
    </row>
    <row r="196" spans="2:29" outlineLevel="1">
      <c r="B196" s="237"/>
      <c r="C196" s="345"/>
      <c r="D196" s="345" t="s">
        <v>62</v>
      </c>
      <c r="E196" s="346" t="s">
        <v>716</v>
      </c>
      <c r="F196" s="719" t="s">
        <v>717</v>
      </c>
      <c r="G196" s="719"/>
      <c r="H196" s="719"/>
      <c r="I196" s="719"/>
      <c r="J196" s="63" t="s">
        <v>68</v>
      </c>
      <c r="K196" s="347">
        <f>SUM(K197)</f>
        <v>6.9</v>
      </c>
      <c r="L196" s="726"/>
      <c r="M196" s="726"/>
      <c r="N196" s="720">
        <f>ROUND(L196*K196,2)</f>
        <v>0</v>
      </c>
      <c r="O196" s="720"/>
      <c r="P196" s="720"/>
      <c r="Q196" s="720"/>
      <c r="R196" s="238"/>
      <c r="T196" s="45"/>
    </row>
    <row r="197" spans="2:29" s="248" customFormat="1" outlineLevel="1">
      <c r="B197" s="247"/>
      <c r="E197" s="349" t="s">
        <v>698</v>
      </c>
      <c r="F197" s="717" t="s">
        <v>2465</v>
      </c>
      <c r="G197" s="718">
        <f>(12.3+7.6)</f>
        <v>19.899999999999999</v>
      </c>
      <c r="H197" s="718">
        <f>(12.3+7.6)</f>
        <v>19.899999999999999</v>
      </c>
      <c r="I197" s="718">
        <f>(12.3+7.6)</f>
        <v>19.899999999999999</v>
      </c>
      <c r="J197" s="64"/>
      <c r="K197" s="350">
        <f>(6.9)</f>
        <v>6.9</v>
      </c>
      <c r="L197" s="196"/>
      <c r="M197" s="196"/>
      <c r="R197" s="249"/>
      <c r="T197" s="45"/>
      <c r="AC197" s="351"/>
    </row>
    <row r="198" spans="2:29" s="374" customFormat="1" outlineLevel="1">
      <c r="B198" s="370"/>
      <c r="C198" s="371"/>
      <c r="D198" s="371" t="s">
        <v>712</v>
      </c>
      <c r="E198" s="753" t="s">
        <v>713</v>
      </c>
      <c r="F198" s="754"/>
      <c r="G198" s="754"/>
      <c r="H198" s="754"/>
      <c r="I198" s="755"/>
      <c r="J198" s="145"/>
      <c r="K198" s="372">
        <f>K199</f>
        <v>4.7200000000000006</v>
      </c>
      <c r="L198" s="756"/>
      <c r="M198" s="756"/>
      <c r="N198" s="757"/>
      <c r="O198" s="757"/>
      <c r="P198" s="757"/>
      <c r="Q198" s="757"/>
      <c r="R198" s="373"/>
      <c r="T198" s="144"/>
      <c r="U198" s="375"/>
      <c r="V198" s="375"/>
      <c r="W198" s="375"/>
      <c r="X198" s="375"/>
      <c r="Y198" s="375"/>
      <c r="Z198" s="375"/>
      <c r="AA198" s="375"/>
      <c r="AB198" s="375"/>
      <c r="AC198" s="376"/>
    </row>
    <row r="199" spans="2:29" s="378" customFormat="1" outlineLevel="1">
      <c r="B199" s="377"/>
      <c r="E199" s="379" t="s">
        <v>2276</v>
      </c>
      <c r="F199" s="748" t="s">
        <v>2508</v>
      </c>
      <c r="G199" s="749">
        <f>2.9*0.6+(32.5+7.7+19.2)*0.4</f>
        <v>25.500000000000004</v>
      </c>
      <c r="H199" s="749">
        <f>2.9*0.6+(32.5+7.7+19.2)*0.4</f>
        <v>25.500000000000004</v>
      </c>
      <c r="I199" s="749">
        <f>2.9*0.6+(32.5+7.7+19.2)*0.4</f>
        <v>25.500000000000004</v>
      </c>
      <c r="J199" s="195"/>
      <c r="K199" s="380">
        <f>(11.8)*0.4</f>
        <v>4.7200000000000006</v>
      </c>
      <c r="L199" s="197"/>
      <c r="M199" s="197"/>
      <c r="R199" s="381"/>
      <c r="T199" s="194"/>
      <c r="AC199" s="382"/>
    </row>
    <row r="200" spans="2:29" outlineLevel="1">
      <c r="B200" s="237"/>
      <c r="C200" s="345"/>
      <c r="D200" s="345" t="s">
        <v>62</v>
      </c>
      <c r="E200" s="346">
        <v>985311112</v>
      </c>
      <c r="F200" s="719" t="s">
        <v>695</v>
      </c>
      <c r="G200" s="719"/>
      <c r="H200" s="719"/>
      <c r="I200" s="719"/>
      <c r="J200" s="63" t="s">
        <v>63</v>
      </c>
      <c r="K200" s="347">
        <f>K198</f>
        <v>4.7200000000000006</v>
      </c>
      <c r="L200" s="726"/>
      <c r="M200" s="726"/>
      <c r="N200" s="720">
        <f>ROUND(L200*K200,2)</f>
        <v>0</v>
      </c>
      <c r="O200" s="720"/>
      <c r="P200" s="720"/>
      <c r="Q200" s="720"/>
      <c r="R200" s="238"/>
      <c r="T200" s="45"/>
    </row>
    <row r="201" spans="2:29" ht="27" customHeight="1" outlineLevel="1">
      <c r="B201" s="237"/>
      <c r="C201" s="345"/>
      <c r="D201" s="345" t="s">
        <v>62</v>
      </c>
      <c r="E201" s="346">
        <v>711191201</v>
      </c>
      <c r="F201" s="719" t="s">
        <v>411</v>
      </c>
      <c r="G201" s="719"/>
      <c r="H201" s="719"/>
      <c r="I201" s="719"/>
      <c r="J201" s="63" t="s">
        <v>63</v>
      </c>
      <c r="K201" s="347">
        <f>SUM(K202:K202)</f>
        <v>9.4400000000000013</v>
      </c>
      <c r="L201" s="726"/>
      <c r="M201" s="726"/>
      <c r="N201" s="720">
        <f>ROUND(L201*K201,2)</f>
        <v>0</v>
      </c>
      <c r="O201" s="720"/>
      <c r="P201" s="720"/>
      <c r="Q201" s="720"/>
      <c r="R201" s="238"/>
      <c r="T201" s="45"/>
      <c r="V201" s="236"/>
      <c r="W201" s="236"/>
      <c r="X201" s="236"/>
      <c r="Y201" s="236"/>
      <c r="Z201" s="236"/>
      <c r="AA201" s="236"/>
      <c r="AB201" s="236"/>
    </row>
    <row r="202" spans="2:29" s="248" customFormat="1" outlineLevel="1">
      <c r="B202" s="247"/>
      <c r="E202" s="349" t="s">
        <v>696</v>
      </c>
      <c r="F202" s="717" t="s">
        <v>2509</v>
      </c>
      <c r="G202" s="718">
        <f>(2.9+32.5+7.7+19.2)*0.8</f>
        <v>49.84</v>
      </c>
      <c r="H202" s="718">
        <f>(2.9+32.5+7.7+19.2)*0.8</f>
        <v>49.84</v>
      </c>
      <c r="I202" s="718">
        <f>(2.9+32.5+7.7+19.2)*0.8</f>
        <v>49.84</v>
      </c>
      <c r="J202" s="64"/>
      <c r="K202" s="350">
        <f>(11.8)*0.8</f>
        <v>9.4400000000000013</v>
      </c>
      <c r="L202" s="196"/>
      <c r="M202" s="196"/>
      <c r="R202" s="249"/>
      <c r="T202" s="45"/>
      <c r="AC202" s="351"/>
    </row>
    <row r="203" spans="2:29" outlineLevel="1">
      <c r="B203" s="237"/>
      <c r="C203" s="345"/>
      <c r="D203" s="345" t="s">
        <v>62</v>
      </c>
      <c r="E203" s="346">
        <v>711192202</v>
      </c>
      <c r="F203" s="719" t="s">
        <v>410</v>
      </c>
      <c r="G203" s="719"/>
      <c r="H203" s="719"/>
      <c r="I203" s="719"/>
      <c r="J203" s="63" t="s">
        <v>63</v>
      </c>
      <c r="K203" s="347">
        <f>K198</f>
        <v>4.7200000000000006</v>
      </c>
      <c r="L203" s="726"/>
      <c r="M203" s="726"/>
      <c r="N203" s="720">
        <f>ROUND(L203*K203,2)</f>
        <v>0</v>
      </c>
      <c r="O203" s="720"/>
      <c r="P203" s="720"/>
      <c r="Q203" s="720"/>
      <c r="R203" s="238"/>
      <c r="T203" s="45"/>
    </row>
    <row r="204" spans="2:29" outlineLevel="1">
      <c r="B204" s="237"/>
      <c r="C204" s="345"/>
      <c r="D204" s="345" t="s">
        <v>62</v>
      </c>
      <c r="E204" s="346">
        <v>711199101</v>
      </c>
      <c r="F204" s="719" t="s">
        <v>697</v>
      </c>
      <c r="G204" s="719"/>
      <c r="H204" s="719"/>
      <c r="I204" s="719"/>
      <c r="J204" s="63" t="s">
        <v>68</v>
      </c>
      <c r="K204" s="347">
        <f>SUM(K205:K206)</f>
        <v>13.350000000000001</v>
      </c>
      <c r="L204" s="726"/>
      <c r="M204" s="726"/>
      <c r="N204" s="720">
        <f>ROUND(L204*K204,2)</f>
        <v>0</v>
      </c>
      <c r="O204" s="720"/>
      <c r="P204" s="720"/>
      <c r="Q204" s="720"/>
      <c r="R204" s="238"/>
      <c r="T204" s="45"/>
    </row>
    <row r="205" spans="2:29" s="248" customFormat="1" outlineLevel="1">
      <c r="B205" s="247"/>
      <c r="E205" s="349" t="s">
        <v>698</v>
      </c>
      <c r="F205" s="717" t="s">
        <v>2510</v>
      </c>
      <c r="G205" s="718">
        <f>(2.9+32.5+7.7+19.2)</f>
        <v>62.3</v>
      </c>
      <c r="H205" s="718">
        <f>(2.9+32.5+7.7+19.2)</f>
        <v>62.3</v>
      </c>
      <c r="I205" s="718">
        <f>(2.9+32.5+7.7+19.2)</f>
        <v>62.3</v>
      </c>
      <c r="J205" s="64"/>
      <c r="K205" s="350">
        <f>(11.8)</f>
        <v>11.8</v>
      </c>
      <c r="L205" s="196"/>
      <c r="M205" s="196"/>
      <c r="R205" s="249"/>
      <c r="T205" s="45"/>
      <c r="AC205" s="351"/>
    </row>
    <row r="206" spans="2:29" s="248" customFormat="1" ht="10.5" customHeight="1" outlineLevel="1">
      <c r="B206" s="247"/>
      <c r="E206" s="349" t="s">
        <v>699</v>
      </c>
      <c r="F206" s="717" t="s">
        <v>2466</v>
      </c>
      <c r="G206" s="718">
        <f>(1.1+2)/2*3</f>
        <v>4.6500000000000004</v>
      </c>
      <c r="H206" s="718">
        <f>(1.1+2)/2*3</f>
        <v>4.6500000000000004</v>
      </c>
      <c r="I206" s="718">
        <f>(1.1+2)/2*3</f>
        <v>4.6500000000000004</v>
      </c>
      <c r="J206" s="64"/>
      <c r="K206" s="350">
        <f>(1.1+2)/2*1</f>
        <v>1.55</v>
      </c>
      <c r="L206" s="196"/>
      <c r="M206" s="196"/>
      <c r="R206" s="249"/>
      <c r="T206" s="45"/>
      <c r="AC206" s="351"/>
    </row>
    <row r="207" spans="2:29" ht="11.25" customHeight="1" outlineLevel="1">
      <c r="B207" s="237"/>
      <c r="C207" s="383"/>
      <c r="D207" s="383" t="s">
        <v>69</v>
      </c>
      <c r="E207" s="384" t="s">
        <v>718</v>
      </c>
      <c r="F207" s="751" t="s">
        <v>719</v>
      </c>
      <c r="G207" s="751"/>
      <c r="H207" s="751"/>
      <c r="I207" s="751"/>
      <c r="J207" s="65" t="s">
        <v>412</v>
      </c>
      <c r="K207" s="385">
        <f>SUM(K208:K208)</f>
        <v>46.728000000000009</v>
      </c>
      <c r="L207" s="726"/>
      <c r="M207" s="726"/>
      <c r="N207" s="752">
        <f>ROUND(L207*K207,2)</f>
        <v>0</v>
      </c>
      <c r="O207" s="720"/>
      <c r="P207" s="720"/>
      <c r="Q207" s="720"/>
      <c r="R207" s="238"/>
      <c r="T207" s="45"/>
      <c r="V207" s="236"/>
      <c r="W207" s="236"/>
      <c r="X207" s="236"/>
      <c r="Y207" s="236"/>
      <c r="Z207" s="236"/>
      <c r="AA207" s="236"/>
      <c r="AB207" s="236"/>
    </row>
    <row r="208" spans="2:29" s="248" customFormat="1" outlineLevel="1">
      <c r="B208" s="247"/>
      <c r="E208" s="349" t="s">
        <v>700</v>
      </c>
      <c r="F208" s="717"/>
      <c r="G208" s="718"/>
      <c r="H208" s="718"/>
      <c r="I208" s="718"/>
      <c r="J208" s="64">
        <f>3*1.1</f>
        <v>3.3000000000000003</v>
      </c>
      <c r="K208" s="350">
        <f>(K201+K203)*J208</f>
        <v>46.728000000000009</v>
      </c>
      <c r="L208" s="196"/>
      <c r="M208" s="196"/>
      <c r="R208" s="249"/>
      <c r="T208" s="45"/>
      <c r="AC208" s="351"/>
    </row>
    <row r="209" spans="2:29" ht="11.25" customHeight="1" outlineLevel="1">
      <c r="B209" s="237"/>
      <c r="C209" s="383"/>
      <c r="D209" s="383" t="s">
        <v>65</v>
      </c>
      <c r="E209" s="384" t="s">
        <v>701</v>
      </c>
      <c r="F209" s="751" t="s">
        <v>702</v>
      </c>
      <c r="G209" s="751"/>
      <c r="H209" s="751"/>
      <c r="I209" s="751"/>
      <c r="J209" s="65" t="s">
        <v>68</v>
      </c>
      <c r="K209" s="385">
        <f>SUM(K210:K212)</f>
        <v>13.420000000000002</v>
      </c>
      <c r="L209" s="726"/>
      <c r="M209" s="726"/>
      <c r="N209" s="752">
        <f>ROUND(L209*K209,2)</f>
        <v>0</v>
      </c>
      <c r="O209" s="720"/>
      <c r="P209" s="720"/>
      <c r="Q209" s="720"/>
      <c r="R209" s="238"/>
      <c r="T209" s="45"/>
      <c r="V209" s="236"/>
      <c r="W209" s="236"/>
      <c r="X209" s="236"/>
      <c r="Y209" s="236"/>
      <c r="Z209" s="236"/>
      <c r="AA209" s="236"/>
      <c r="AB209" s="236"/>
    </row>
    <row r="210" spans="2:29" s="248" customFormat="1" outlineLevel="1">
      <c r="B210" s="247"/>
      <c r="E210" s="349" t="s">
        <v>698</v>
      </c>
      <c r="F210" s="717" t="s">
        <v>2510</v>
      </c>
      <c r="G210" s="718">
        <f>(2.9+32.5+7.7+19.2)</f>
        <v>62.3</v>
      </c>
      <c r="H210" s="718">
        <f>(2.9+32.5+7.7+19.2)</f>
        <v>62.3</v>
      </c>
      <c r="I210" s="718">
        <f>(2.9+32.5+7.7+19.2)</f>
        <v>62.3</v>
      </c>
      <c r="J210" s="64"/>
      <c r="K210" s="350">
        <f>(11.8)</f>
        <v>11.8</v>
      </c>
      <c r="L210" s="196"/>
      <c r="M210" s="196"/>
      <c r="R210" s="249"/>
      <c r="T210" s="45"/>
      <c r="AC210" s="351"/>
    </row>
    <row r="211" spans="2:29" s="248" customFormat="1" outlineLevel="1">
      <c r="B211" s="247"/>
      <c r="E211" s="349" t="s">
        <v>699</v>
      </c>
      <c r="F211" s="717" t="s">
        <v>2467</v>
      </c>
      <c r="G211" s="718">
        <f>8*0.4</f>
        <v>3.2</v>
      </c>
      <c r="H211" s="718">
        <f>8*0.4</f>
        <v>3.2</v>
      </c>
      <c r="I211" s="718">
        <f>8*0.4</f>
        <v>3.2</v>
      </c>
      <c r="J211" s="64"/>
      <c r="K211" s="350">
        <f>1*0.4</f>
        <v>0.4</v>
      </c>
      <c r="L211" s="196"/>
      <c r="M211" s="196"/>
      <c r="R211" s="249"/>
      <c r="T211" s="45"/>
      <c r="AC211" s="351"/>
    </row>
    <row r="212" spans="2:29" s="248" customFormat="1" ht="22.5" outlineLevel="1">
      <c r="B212" s="247"/>
      <c r="E212" s="349" t="s">
        <v>704</v>
      </c>
      <c r="F212" s="717"/>
      <c r="G212" s="718"/>
      <c r="H212" s="718"/>
      <c r="I212" s="718"/>
      <c r="J212" s="141">
        <v>0.1</v>
      </c>
      <c r="K212" s="350">
        <f>SUM(K210:K211)*J212</f>
        <v>1.2200000000000002</v>
      </c>
      <c r="L212" s="196"/>
      <c r="M212" s="196"/>
      <c r="R212" s="249"/>
      <c r="T212" s="45"/>
      <c r="AC212" s="351"/>
    </row>
    <row r="213" spans="2:29" ht="27" customHeight="1" outlineLevel="1">
      <c r="B213" s="237"/>
      <c r="C213" s="345"/>
      <c r="D213" s="345" t="s">
        <v>62</v>
      </c>
      <c r="E213" s="346">
        <v>711161122</v>
      </c>
      <c r="F213" s="719" t="s">
        <v>714</v>
      </c>
      <c r="G213" s="719"/>
      <c r="H213" s="719"/>
      <c r="I213" s="719"/>
      <c r="J213" s="63" t="s">
        <v>63</v>
      </c>
      <c r="K213" s="347">
        <f>SUM(K214:K214)</f>
        <v>9.4400000000000013</v>
      </c>
      <c r="L213" s="726"/>
      <c r="M213" s="726"/>
      <c r="N213" s="720">
        <f>ROUND(L213*K213,2)</f>
        <v>0</v>
      </c>
      <c r="O213" s="720"/>
      <c r="P213" s="720"/>
      <c r="Q213" s="720"/>
      <c r="R213" s="238"/>
      <c r="T213" s="45"/>
      <c r="V213" s="236"/>
      <c r="W213" s="236"/>
      <c r="X213" s="236"/>
      <c r="Y213" s="236"/>
      <c r="Z213" s="236"/>
      <c r="AA213" s="236"/>
      <c r="AB213" s="236"/>
    </row>
    <row r="214" spans="2:29" s="248" customFormat="1" ht="11.25" customHeight="1" outlineLevel="1">
      <c r="B214" s="247"/>
      <c r="E214" s="349" t="s">
        <v>696</v>
      </c>
      <c r="F214" s="717" t="s">
        <v>2509</v>
      </c>
      <c r="G214" s="718">
        <f>(2.9+32.5+7.7+19.2)*0.8</f>
        <v>49.84</v>
      </c>
      <c r="H214" s="718">
        <f>(2.9+32.5+7.7+19.2)*0.8</f>
        <v>49.84</v>
      </c>
      <c r="I214" s="718">
        <f>(2.9+32.5+7.7+19.2)*0.8</f>
        <v>49.84</v>
      </c>
      <c r="J214" s="64"/>
      <c r="K214" s="350">
        <f>(11.8)*0.8</f>
        <v>9.4400000000000013</v>
      </c>
      <c r="L214" s="196"/>
      <c r="M214" s="196"/>
      <c r="R214" s="249"/>
      <c r="T214" s="45"/>
      <c r="AC214" s="351"/>
    </row>
    <row r="215" spans="2:29" outlineLevel="1">
      <c r="B215" s="237"/>
      <c r="C215" s="345"/>
      <c r="D215" s="345" t="s">
        <v>62</v>
      </c>
      <c r="E215" s="346">
        <v>711161222</v>
      </c>
      <c r="F215" s="719" t="s">
        <v>715</v>
      </c>
      <c r="G215" s="719"/>
      <c r="H215" s="719"/>
      <c r="I215" s="719"/>
      <c r="J215" s="63" t="s">
        <v>63</v>
      </c>
      <c r="K215" s="347">
        <f>K198</f>
        <v>4.7200000000000006</v>
      </c>
      <c r="L215" s="726"/>
      <c r="M215" s="726"/>
      <c r="N215" s="720">
        <f>ROUND(L215*K215,2)</f>
        <v>0</v>
      </c>
      <c r="O215" s="720"/>
      <c r="P215" s="720"/>
      <c r="Q215" s="720"/>
      <c r="R215" s="238"/>
      <c r="T215" s="45"/>
    </row>
    <row r="216" spans="2:29" outlineLevel="1">
      <c r="B216" s="237"/>
      <c r="C216" s="345"/>
      <c r="D216" s="345" t="s">
        <v>62</v>
      </c>
      <c r="E216" s="346" t="s">
        <v>716</v>
      </c>
      <c r="F216" s="719" t="s">
        <v>717</v>
      </c>
      <c r="G216" s="719"/>
      <c r="H216" s="719"/>
      <c r="I216" s="719"/>
      <c r="J216" s="63" t="s">
        <v>68</v>
      </c>
      <c r="K216" s="347">
        <f>SUM(K217)</f>
        <v>11.8</v>
      </c>
      <c r="L216" s="726"/>
      <c r="M216" s="726"/>
      <c r="N216" s="720">
        <f>ROUND(L216*K216,2)</f>
        <v>0</v>
      </c>
      <c r="O216" s="720"/>
      <c r="P216" s="720"/>
      <c r="Q216" s="720"/>
      <c r="R216" s="238"/>
      <c r="T216" s="45"/>
    </row>
    <row r="217" spans="2:29" s="248" customFormat="1" outlineLevel="1">
      <c r="B217" s="247"/>
      <c r="E217" s="349" t="s">
        <v>698</v>
      </c>
      <c r="F217" s="717" t="s">
        <v>2510</v>
      </c>
      <c r="G217" s="718">
        <f>(2.9+32.5+7.7+19.2)</f>
        <v>62.3</v>
      </c>
      <c r="H217" s="718">
        <f>(2.9+32.5+7.7+19.2)</f>
        <v>62.3</v>
      </c>
      <c r="I217" s="718">
        <f>(2.9+32.5+7.7+19.2)</f>
        <v>62.3</v>
      </c>
      <c r="J217" s="64"/>
      <c r="K217" s="350">
        <f>(11.8)</f>
        <v>11.8</v>
      </c>
      <c r="L217" s="196"/>
      <c r="M217" s="196"/>
      <c r="R217" s="249"/>
      <c r="T217" s="45"/>
      <c r="AC217" s="351"/>
    </row>
    <row r="218" spans="2:29" s="374" customFormat="1" outlineLevel="1">
      <c r="B218" s="370"/>
      <c r="C218" s="371"/>
      <c r="D218" s="371" t="s">
        <v>721</v>
      </c>
      <c r="E218" s="753" t="s">
        <v>720</v>
      </c>
      <c r="F218" s="754"/>
      <c r="G218" s="754"/>
      <c r="H218" s="754"/>
      <c r="I218" s="755"/>
      <c r="J218" s="145"/>
      <c r="K218" s="372">
        <f>K219</f>
        <v>14.960000000000003</v>
      </c>
      <c r="L218" s="756"/>
      <c r="M218" s="756"/>
      <c r="N218" s="757"/>
      <c r="O218" s="757"/>
      <c r="P218" s="757"/>
      <c r="Q218" s="757"/>
      <c r="R218" s="373"/>
      <c r="T218" s="144"/>
      <c r="U218" s="375"/>
      <c r="V218" s="375"/>
      <c r="W218" s="375"/>
      <c r="X218" s="375"/>
      <c r="Y218" s="375"/>
      <c r="Z218" s="375"/>
      <c r="AA218" s="375"/>
      <c r="AB218" s="375"/>
      <c r="AC218" s="376"/>
    </row>
    <row r="219" spans="2:29" s="378" customFormat="1" outlineLevel="1">
      <c r="B219" s="377"/>
      <c r="E219" s="379" t="s">
        <v>2278</v>
      </c>
      <c r="F219" s="748" t="s">
        <v>2511</v>
      </c>
      <c r="G219" s="749">
        <f>(12.3+7.6+2.9+32.5+7.7+19.2)*0.8</f>
        <v>65.760000000000005</v>
      </c>
      <c r="H219" s="749">
        <f>(12.3+7.6+2.9+32.5+7.7+19.2)*0.8</f>
        <v>65.760000000000005</v>
      </c>
      <c r="I219" s="749">
        <f>(12.3+7.6+2.9+32.5+7.7+19.2)*0.8</f>
        <v>65.760000000000005</v>
      </c>
      <c r="J219" s="195"/>
      <c r="K219" s="380">
        <f>(11.8+6.9)*0.8</f>
        <v>14.960000000000003</v>
      </c>
      <c r="L219" s="197"/>
      <c r="M219" s="197"/>
      <c r="R219" s="381"/>
      <c r="T219" s="194"/>
      <c r="AC219" s="382"/>
    </row>
    <row r="220" spans="2:29" outlineLevel="1">
      <c r="B220" s="237"/>
      <c r="C220" s="345"/>
      <c r="D220" s="345" t="s">
        <v>62</v>
      </c>
      <c r="E220" s="346">
        <v>783803140</v>
      </c>
      <c r="F220" s="719" t="s">
        <v>722</v>
      </c>
      <c r="G220" s="719"/>
      <c r="H220" s="719"/>
      <c r="I220" s="719"/>
      <c r="J220" s="63" t="s">
        <v>63</v>
      </c>
      <c r="K220" s="347">
        <f>K218</f>
        <v>14.960000000000003</v>
      </c>
      <c r="L220" s="726"/>
      <c r="M220" s="726"/>
      <c r="N220" s="720">
        <f>ROUND(L220*K220,2)</f>
        <v>0</v>
      </c>
      <c r="O220" s="720"/>
      <c r="P220" s="720"/>
      <c r="Q220" s="720"/>
      <c r="R220" s="238"/>
      <c r="T220" s="45"/>
    </row>
    <row r="221" spans="2:29" ht="11.25" customHeight="1" outlineLevel="1">
      <c r="B221" s="237"/>
      <c r="C221" s="383"/>
      <c r="D221" s="383" t="s">
        <v>69</v>
      </c>
      <c r="E221" s="384" t="s">
        <v>723</v>
      </c>
      <c r="F221" s="751" t="s">
        <v>724</v>
      </c>
      <c r="G221" s="751"/>
      <c r="H221" s="751"/>
      <c r="I221" s="751"/>
      <c r="J221" s="65" t="s">
        <v>725</v>
      </c>
      <c r="K221" s="385">
        <f>K220*0.3*2</f>
        <v>8.9760000000000009</v>
      </c>
      <c r="L221" s="726"/>
      <c r="M221" s="726"/>
      <c r="N221" s="752">
        <f>ROUND(L221*K221,2)</f>
        <v>0</v>
      </c>
      <c r="O221" s="720"/>
      <c r="P221" s="720"/>
      <c r="Q221" s="720"/>
      <c r="R221" s="238"/>
      <c r="T221" s="45"/>
      <c r="V221" s="236"/>
      <c r="W221" s="236"/>
      <c r="X221" s="236"/>
      <c r="Y221" s="236"/>
      <c r="Z221" s="236"/>
      <c r="AA221" s="236"/>
      <c r="AB221" s="236"/>
    </row>
    <row r="222" spans="2:29" outlineLevel="1">
      <c r="B222" s="237"/>
      <c r="C222" s="345"/>
      <c r="D222" s="345" t="s">
        <v>62</v>
      </c>
      <c r="E222" s="346">
        <v>985311112</v>
      </c>
      <c r="F222" s="719" t="s">
        <v>695</v>
      </c>
      <c r="G222" s="719"/>
      <c r="H222" s="719"/>
      <c r="I222" s="719"/>
      <c r="J222" s="63" t="s">
        <v>63</v>
      </c>
      <c r="K222" s="347">
        <f>K218</f>
        <v>14.960000000000003</v>
      </c>
      <c r="L222" s="726"/>
      <c r="M222" s="726"/>
      <c r="N222" s="720">
        <f>ROUND(L222*K222,2)</f>
        <v>0</v>
      </c>
      <c r="O222" s="720"/>
      <c r="P222" s="720"/>
      <c r="Q222" s="720"/>
      <c r="R222" s="238"/>
      <c r="T222" s="45"/>
    </row>
    <row r="223" spans="2:29" outlineLevel="1">
      <c r="B223" s="237"/>
      <c r="C223" s="345"/>
      <c r="D223" s="345" t="s">
        <v>62</v>
      </c>
      <c r="E223" s="346">
        <v>711192202</v>
      </c>
      <c r="F223" s="719" t="s">
        <v>410</v>
      </c>
      <c r="G223" s="719"/>
      <c r="H223" s="719"/>
      <c r="I223" s="719"/>
      <c r="J223" s="63" t="s">
        <v>63</v>
      </c>
      <c r="K223" s="347">
        <f>K218</f>
        <v>14.960000000000003</v>
      </c>
      <c r="L223" s="726"/>
      <c r="M223" s="726"/>
      <c r="N223" s="720">
        <f>ROUND(L223*K223,2)</f>
        <v>0</v>
      </c>
      <c r="O223" s="720"/>
      <c r="P223" s="720"/>
      <c r="Q223" s="720"/>
      <c r="R223" s="238"/>
      <c r="T223" s="45"/>
    </row>
    <row r="224" spans="2:29" outlineLevel="1">
      <c r="B224" s="237"/>
      <c r="C224" s="345"/>
      <c r="D224" s="345" t="s">
        <v>62</v>
      </c>
      <c r="E224" s="346">
        <v>711199101</v>
      </c>
      <c r="F224" s="719" t="s">
        <v>697</v>
      </c>
      <c r="G224" s="719"/>
      <c r="H224" s="719"/>
      <c r="I224" s="719"/>
      <c r="J224" s="63" t="s">
        <v>68</v>
      </c>
      <c r="K224" s="347">
        <f>SUM(K225:K225)</f>
        <v>3.2</v>
      </c>
      <c r="L224" s="726"/>
      <c r="M224" s="726"/>
      <c r="N224" s="720">
        <f>ROUND(L224*K224,2)</f>
        <v>0</v>
      </c>
      <c r="O224" s="720"/>
      <c r="P224" s="720"/>
      <c r="Q224" s="720"/>
      <c r="R224" s="238"/>
      <c r="T224" s="45"/>
    </row>
    <row r="225" spans="2:29" s="248" customFormat="1" outlineLevel="1">
      <c r="B225" s="247"/>
      <c r="E225" s="349" t="s">
        <v>699</v>
      </c>
      <c r="F225" s="717" t="s">
        <v>2468</v>
      </c>
      <c r="G225" s="718">
        <f>25*0.8</f>
        <v>20</v>
      </c>
      <c r="H225" s="718">
        <f>25*0.8</f>
        <v>20</v>
      </c>
      <c r="I225" s="718">
        <f>25*0.8</f>
        <v>20</v>
      </c>
      <c r="J225" s="64"/>
      <c r="K225" s="350">
        <f>4*0.8</f>
        <v>3.2</v>
      </c>
      <c r="L225" s="196"/>
      <c r="M225" s="196"/>
      <c r="R225" s="249"/>
      <c r="T225" s="45"/>
      <c r="AC225" s="351"/>
    </row>
    <row r="226" spans="2:29" ht="11.25" customHeight="1" outlineLevel="1">
      <c r="B226" s="237"/>
      <c r="C226" s="383"/>
      <c r="D226" s="383" t="s">
        <v>69</v>
      </c>
      <c r="E226" s="384" t="s">
        <v>718</v>
      </c>
      <c r="F226" s="751" t="s">
        <v>719</v>
      </c>
      <c r="G226" s="751"/>
      <c r="H226" s="751"/>
      <c r="I226" s="751"/>
      <c r="J226" s="65" t="s">
        <v>412</v>
      </c>
      <c r="K226" s="385">
        <f>SUM(K227:K227)</f>
        <v>59.24160000000002</v>
      </c>
      <c r="L226" s="726"/>
      <c r="M226" s="726"/>
      <c r="N226" s="752">
        <f>ROUND(L226*K226,2)</f>
        <v>0</v>
      </c>
      <c r="O226" s="720"/>
      <c r="P226" s="720"/>
      <c r="Q226" s="720"/>
      <c r="R226" s="238"/>
      <c r="T226" s="45"/>
      <c r="V226" s="236"/>
      <c r="W226" s="236"/>
      <c r="X226" s="236"/>
      <c r="Y226" s="236"/>
      <c r="Z226" s="236"/>
      <c r="AA226" s="236"/>
      <c r="AB226" s="236"/>
    </row>
    <row r="227" spans="2:29" s="248" customFormat="1" outlineLevel="1">
      <c r="B227" s="247"/>
      <c r="E227" s="349" t="s">
        <v>700</v>
      </c>
      <c r="F227" s="717" t="s">
        <v>703</v>
      </c>
      <c r="G227" s="718"/>
      <c r="H227" s="718"/>
      <c r="I227" s="718"/>
      <c r="J227" s="64">
        <f>1.8*2*1.1</f>
        <v>3.9600000000000004</v>
      </c>
      <c r="K227" s="350">
        <f>(K223)*J227</f>
        <v>59.24160000000002</v>
      </c>
      <c r="L227" s="196"/>
      <c r="M227" s="196"/>
      <c r="R227" s="249"/>
      <c r="T227" s="45"/>
      <c r="AC227" s="351"/>
    </row>
    <row r="228" spans="2:29" ht="11.25" customHeight="1" outlineLevel="1">
      <c r="B228" s="237"/>
      <c r="C228" s="383"/>
      <c r="D228" s="383" t="s">
        <v>65</v>
      </c>
      <c r="E228" s="384" t="s">
        <v>701</v>
      </c>
      <c r="F228" s="751" t="s">
        <v>702</v>
      </c>
      <c r="G228" s="751"/>
      <c r="H228" s="751"/>
      <c r="I228" s="751"/>
      <c r="J228" s="65" t="s">
        <v>68</v>
      </c>
      <c r="K228" s="385">
        <f>SUM(K229:K230)</f>
        <v>3.5200000000000005</v>
      </c>
      <c r="L228" s="726"/>
      <c r="M228" s="726"/>
      <c r="N228" s="752">
        <f>ROUND(L228*K228,2)</f>
        <v>0</v>
      </c>
      <c r="O228" s="720"/>
      <c r="P228" s="720"/>
      <c r="Q228" s="720"/>
      <c r="R228" s="238"/>
      <c r="T228" s="45"/>
      <c r="V228" s="236"/>
      <c r="W228" s="236"/>
      <c r="X228" s="236"/>
      <c r="Y228" s="236"/>
      <c r="Z228" s="236"/>
      <c r="AA228" s="236"/>
      <c r="AB228" s="236"/>
    </row>
    <row r="229" spans="2:29" s="248" customFormat="1" outlineLevel="1">
      <c r="B229" s="247"/>
      <c r="E229" s="349" t="s">
        <v>699</v>
      </c>
      <c r="F229" s="717" t="s">
        <v>2468</v>
      </c>
      <c r="G229" s="718">
        <f>25*0.8</f>
        <v>20</v>
      </c>
      <c r="H229" s="718">
        <f>25*0.8</f>
        <v>20</v>
      </c>
      <c r="I229" s="718">
        <f>25*0.8</f>
        <v>20</v>
      </c>
      <c r="J229" s="64"/>
      <c r="K229" s="350">
        <f>4*0.8</f>
        <v>3.2</v>
      </c>
      <c r="L229" s="196"/>
      <c r="M229" s="196"/>
      <c r="R229" s="249"/>
      <c r="T229" s="45"/>
      <c r="AC229" s="351"/>
    </row>
    <row r="230" spans="2:29" s="248" customFormat="1" ht="22.5" outlineLevel="1">
      <c r="B230" s="247"/>
      <c r="E230" s="349" t="s">
        <v>704</v>
      </c>
      <c r="F230" s="717"/>
      <c r="G230" s="718"/>
      <c r="H230" s="718"/>
      <c r="I230" s="718"/>
      <c r="J230" s="141">
        <v>0.1</v>
      </c>
      <c r="K230" s="350">
        <f>SUM(K229:K229)*J230</f>
        <v>0.32000000000000006</v>
      </c>
      <c r="L230" s="196"/>
      <c r="M230" s="196"/>
      <c r="R230" s="249"/>
      <c r="T230" s="45"/>
      <c r="AC230" s="351"/>
    </row>
    <row r="231" spans="2:29" outlineLevel="1">
      <c r="B231" s="237"/>
      <c r="C231" s="345"/>
      <c r="D231" s="345" t="s">
        <v>62</v>
      </c>
      <c r="E231" s="346">
        <v>622326121</v>
      </c>
      <c r="F231" s="719" t="s">
        <v>402</v>
      </c>
      <c r="G231" s="719"/>
      <c r="H231" s="719"/>
      <c r="I231" s="719"/>
      <c r="J231" s="63" t="s">
        <v>63</v>
      </c>
      <c r="K231" s="347">
        <f>K218</f>
        <v>14.960000000000003</v>
      </c>
      <c r="L231" s="726"/>
      <c r="M231" s="726"/>
      <c r="N231" s="720">
        <f>ROUND(L231*K231,2)</f>
        <v>0</v>
      </c>
      <c r="O231" s="720"/>
      <c r="P231" s="720"/>
      <c r="Q231" s="720"/>
      <c r="R231" s="238"/>
      <c r="T231" s="45"/>
      <c r="V231" s="236"/>
      <c r="W231" s="236"/>
      <c r="X231" s="236"/>
      <c r="Y231" s="236"/>
      <c r="Z231" s="236"/>
      <c r="AA231" s="236"/>
      <c r="AB231" s="236"/>
    </row>
    <row r="232" spans="2:29" ht="27" customHeight="1" outlineLevel="1">
      <c r="B232" s="237"/>
      <c r="C232" s="345"/>
      <c r="D232" s="345" t="s">
        <v>62</v>
      </c>
      <c r="E232" s="346">
        <v>622326191</v>
      </c>
      <c r="F232" s="719" t="s">
        <v>728</v>
      </c>
      <c r="G232" s="719"/>
      <c r="H232" s="719"/>
      <c r="I232" s="719"/>
      <c r="J232" s="63" t="s">
        <v>63</v>
      </c>
      <c r="K232" s="347">
        <f>SUM(K233)</f>
        <v>14.960000000000003</v>
      </c>
      <c r="L232" s="726"/>
      <c r="M232" s="726"/>
      <c r="N232" s="720">
        <f>ROUND(L232*K232,2)</f>
        <v>0</v>
      </c>
      <c r="O232" s="720"/>
      <c r="P232" s="720"/>
      <c r="Q232" s="720"/>
      <c r="R232" s="238"/>
      <c r="T232" s="45"/>
      <c r="V232" s="236"/>
      <c r="W232" s="236"/>
      <c r="X232" s="236"/>
      <c r="Y232" s="236"/>
      <c r="Z232" s="236"/>
      <c r="AA232" s="236"/>
      <c r="AB232" s="236"/>
    </row>
    <row r="233" spans="2:29" s="248" customFormat="1" outlineLevel="1">
      <c r="B233" s="247"/>
      <c r="E233" s="349" t="s">
        <v>730</v>
      </c>
      <c r="F233" s="717" t="s">
        <v>187</v>
      </c>
      <c r="G233" s="718"/>
      <c r="H233" s="718"/>
      <c r="I233" s="718"/>
      <c r="J233" s="64">
        <v>1</v>
      </c>
      <c r="K233" s="350">
        <f>K231*J233</f>
        <v>14.960000000000003</v>
      </c>
      <c r="L233" s="196"/>
      <c r="M233" s="196"/>
      <c r="R233" s="249"/>
      <c r="T233" s="45"/>
      <c r="AC233" s="351"/>
    </row>
    <row r="234" spans="2:29" outlineLevel="1">
      <c r="B234" s="237"/>
      <c r="C234" s="345"/>
      <c r="D234" s="345" t="s">
        <v>62</v>
      </c>
      <c r="E234" s="346">
        <v>622142002</v>
      </c>
      <c r="F234" s="719" t="s">
        <v>726</v>
      </c>
      <c r="G234" s="719"/>
      <c r="H234" s="719"/>
      <c r="I234" s="719"/>
      <c r="J234" s="63" t="s">
        <v>63</v>
      </c>
      <c r="K234" s="347">
        <f>K231</f>
        <v>14.960000000000003</v>
      </c>
      <c r="L234" s="726"/>
      <c r="M234" s="726"/>
      <c r="N234" s="720">
        <f>ROUND(L234*K234,2)</f>
        <v>0</v>
      </c>
      <c r="O234" s="720"/>
      <c r="P234" s="720"/>
      <c r="Q234" s="720"/>
      <c r="R234" s="238"/>
      <c r="T234" s="45"/>
    </row>
    <row r="235" spans="2:29" outlineLevel="1">
      <c r="B235" s="237"/>
      <c r="C235" s="345"/>
      <c r="D235" s="345" t="s">
        <v>62</v>
      </c>
      <c r="E235" s="346">
        <v>783826615</v>
      </c>
      <c r="F235" s="719" t="s">
        <v>408</v>
      </c>
      <c r="G235" s="719"/>
      <c r="H235" s="719"/>
      <c r="I235" s="719"/>
      <c r="J235" s="63" t="s">
        <v>63</v>
      </c>
      <c r="K235" s="347">
        <f>K234</f>
        <v>14.960000000000003</v>
      </c>
      <c r="L235" s="726"/>
      <c r="M235" s="726"/>
      <c r="N235" s="720">
        <f>ROUND(L235*K235,2)</f>
        <v>0</v>
      </c>
      <c r="O235" s="720"/>
      <c r="P235" s="720"/>
      <c r="Q235" s="720"/>
      <c r="R235" s="238"/>
      <c r="T235" s="45"/>
    </row>
    <row r="236" spans="2:29" s="374" customFormat="1" outlineLevel="1">
      <c r="B236" s="370"/>
      <c r="C236" s="371"/>
      <c r="D236" s="371" t="s">
        <v>727</v>
      </c>
      <c r="E236" s="753" t="s">
        <v>1947</v>
      </c>
      <c r="F236" s="754"/>
      <c r="G236" s="754"/>
      <c r="H236" s="754"/>
      <c r="I236" s="755"/>
      <c r="J236" s="145"/>
      <c r="K236" s="372">
        <f>K237</f>
        <v>22.44</v>
      </c>
      <c r="L236" s="756"/>
      <c r="M236" s="756"/>
      <c r="N236" s="757"/>
      <c r="O236" s="757"/>
      <c r="P236" s="757"/>
      <c r="Q236" s="757"/>
      <c r="R236" s="373"/>
      <c r="T236" s="144"/>
      <c r="U236" s="375"/>
      <c r="V236" s="375"/>
      <c r="W236" s="375"/>
      <c r="X236" s="375"/>
      <c r="Y236" s="375"/>
      <c r="Z236" s="375"/>
      <c r="AA236" s="375"/>
      <c r="AB236" s="375"/>
      <c r="AC236" s="376"/>
    </row>
    <row r="237" spans="2:29" s="378" customFormat="1" outlineLevel="1">
      <c r="B237" s="377"/>
      <c r="E237" s="379" t="s">
        <v>2280</v>
      </c>
      <c r="F237" s="748" t="s">
        <v>2512</v>
      </c>
      <c r="G237" s="749">
        <f>(12.3+7.6+2.9+32.5+7.7+19.2)*(2-0.8)</f>
        <v>98.64</v>
      </c>
      <c r="H237" s="749">
        <f>(12.3+7.6+2.9+32.5+7.7+19.2)*(2-0.8)</f>
        <v>98.64</v>
      </c>
      <c r="I237" s="749">
        <f>(12.3+7.6+2.9+32.5+7.7+19.2)*(2-0.8)</f>
        <v>98.64</v>
      </c>
      <c r="J237" s="195"/>
      <c r="K237" s="380">
        <f>(11.8+6.9)*(2-0.8)</f>
        <v>22.44</v>
      </c>
      <c r="L237" s="197"/>
      <c r="M237" s="197"/>
      <c r="R237" s="381"/>
      <c r="T237" s="194"/>
      <c r="AC237" s="382"/>
    </row>
    <row r="238" spans="2:29" outlineLevel="1">
      <c r="B238" s="237"/>
      <c r="C238" s="345"/>
      <c r="D238" s="345" t="s">
        <v>62</v>
      </c>
      <c r="E238" s="346">
        <v>783803140</v>
      </c>
      <c r="F238" s="719" t="s">
        <v>722</v>
      </c>
      <c r="G238" s="719"/>
      <c r="H238" s="719"/>
      <c r="I238" s="719"/>
      <c r="J238" s="63" t="s">
        <v>63</v>
      </c>
      <c r="K238" s="347">
        <f>K236</f>
        <v>22.44</v>
      </c>
      <c r="L238" s="726"/>
      <c r="M238" s="726"/>
      <c r="N238" s="720">
        <f>ROUND(L238*K238,2)</f>
        <v>0</v>
      </c>
      <c r="O238" s="720"/>
      <c r="P238" s="720"/>
      <c r="Q238" s="720"/>
      <c r="R238" s="238"/>
      <c r="T238" s="45"/>
    </row>
    <row r="239" spans="2:29" ht="11.25" customHeight="1" outlineLevel="1">
      <c r="B239" s="237"/>
      <c r="C239" s="383"/>
      <c r="D239" s="383" t="s">
        <v>69</v>
      </c>
      <c r="E239" s="384" t="s">
        <v>723</v>
      </c>
      <c r="F239" s="751" t="s">
        <v>724</v>
      </c>
      <c r="G239" s="751"/>
      <c r="H239" s="751"/>
      <c r="I239" s="751"/>
      <c r="J239" s="65" t="s">
        <v>725</v>
      </c>
      <c r="K239" s="385">
        <f>K238*0.3*2</f>
        <v>13.464</v>
      </c>
      <c r="L239" s="726"/>
      <c r="M239" s="726"/>
      <c r="N239" s="752">
        <f>ROUND(L239*K239,2)</f>
        <v>0</v>
      </c>
      <c r="O239" s="720"/>
      <c r="P239" s="720"/>
      <c r="Q239" s="720"/>
      <c r="R239" s="238"/>
      <c r="T239" s="45"/>
      <c r="V239" s="236"/>
      <c r="W239" s="236"/>
      <c r="X239" s="236"/>
      <c r="Y239" s="236"/>
      <c r="Z239" s="236"/>
      <c r="AA239" s="236"/>
      <c r="AB239" s="236"/>
    </row>
    <row r="240" spans="2:29" ht="11.25" customHeight="1" outlineLevel="1">
      <c r="B240" s="237"/>
      <c r="C240" s="345"/>
      <c r="D240" s="345" t="s">
        <v>62</v>
      </c>
      <c r="E240" s="346">
        <v>985311112</v>
      </c>
      <c r="F240" s="719" t="s">
        <v>695</v>
      </c>
      <c r="G240" s="719"/>
      <c r="H240" s="719"/>
      <c r="I240" s="719"/>
      <c r="J240" s="63" t="s">
        <v>63</v>
      </c>
      <c r="K240" s="347">
        <f>K236</f>
        <v>22.44</v>
      </c>
      <c r="L240" s="726"/>
      <c r="M240" s="726"/>
      <c r="N240" s="720">
        <f>ROUND(L240*K240,2)</f>
        <v>0</v>
      </c>
      <c r="O240" s="720"/>
      <c r="P240" s="720"/>
      <c r="Q240" s="720"/>
      <c r="R240" s="238"/>
      <c r="T240" s="45"/>
    </row>
    <row r="241" spans="2:29" outlineLevel="1">
      <c r="B241" s="237"/>
      <c r="C241" s="345"/>
      <c r="D241" s="345" t="s">
        <v>62</v>
      </c>
      <c r="E241" s="346">
        <v>711192202</v>
      </c>
      <c r="F241" s="719" t="s">
        <v>410</v>
      </c>
      <c r="G241" s="719"/>
      <c r="H241" s="719"/>
      <c r="I241" s="719"/>
      <c r="J241" s="63" t="s">
        <v>63</v>
      </c>
      <c r="K241" s="347">
        <f>SUM(K242:K242)</f>
        <v>3.7399999999999998</v>
      </c>
      <c r="L241" s="726"/>
      <c r="M241" s="726"/>
      <c r="N241" s="720">
        <f>ROUND(L241*K241,2)</f>
        <v>0</v>
      </c>
      <c r="O241" s="720"/>
      <c r="P241" s="720"/>
      <c r="Q241" s="720"/>
      <c r="R241" s="238"/>
      <c r="T241" s="45"/>
    </row>
    <row r="242" spans="2:29" s="248" customFormat="1" ht="22.5" outlineLevel="1">
      <c r="B242" s="247"/>
      <c r="E242" s="349" t="s">
        <v>1948</v>
      </c>
      <c r="F242" s="717" t="s">
        <v>2513</v>
      </c>
      <c r="G242" s="718">
        <f>(12.3+7.6+2.9+32.5+7.7+19.2)*(1-0.8)</f>
        <v>16.439999999999998</v>
      </c>
      <c r="H242" s="718">
        <f>(12.3+7.6+2.9+32.5+7.7+19.2)*(1-0.8)</f>
        <v>16.439999999999998</v>
      </c>
      <c r="I242" s="718">
        <f>(12.3+7.6+2.9+32.5+7.7+19.2)*(1-0.8)</f>
        <v>16.439999999999998</v>
      </c>
      <c r="J242" s="64"/>
      <c r="K242" s="350">
        <f>(11.8+6.9)*(1-0.8)</f>
        <v>3.7399999999999998</v>
      </c>
      <c r="L242" s="196"/>
      <c r="M242" s="196"/>
      <c r="R242" s="249"/>
      <c r="T242" s="45"/>
      <c r="AC242" s="351"/>
    </row>
    <row r="243" spans="2:29" outlineLevel="1">
      <c r="B243" s="237"/>
      <c r="C243" s="345"/>
      <c r="D243" s="345" t="s">
        <v>62</v>
      </c>
      <c r="E243" s="346">
        <v>711199101</v>
      </c>
      <c r="F243" s="719" t="s">
        <v>697</v>
      </c>
      <c r="G243" s="719"/>
      <c r="H243" s="719"/>
      <c r="I243" s="719"/>
      <c r="J243" s="63" t="s">
        <v>68</v>
      </c>
      <c r="K243" s="347">
        <f>SUM(K244:K244)</f>
        <v>0.8</v>
      </c>
      <c r="L243" s="726"/>
      <c r="M243" s="726"/>
      <c r="N243" s="720">
        <f>ROUND(L243*K243,2)</f>
        <v>0</v>
      </c>
      <c r="O243" s="720"/>
      <c r="P243" s="720"/>
      <c r="Q243" s="720"/>
      <c r="R243" s="238"/>
      <c r="T243" s="45"/>
    </row>
    <row r="244" spans="2:29" s="248" customFormat="1" outlineLevel="1">
      <c r="B244" s="247"/>
      <c r="E244" s="349" t="s">
        <v>699</v>
      </c>
      <c r="F244" s="717" t="s">
        <v>2468</v>
      </c>
      <c r="G244" s="718">
        <f>25*1.2</f>
        <v>30</v>
      </c>
      <c r="H244" s="718">
        <f>25*1.2</f>
        <v>30</v>
      </c>
      <c r="I244" s="718">
        <f>25*1.2</f>
        <v>30</v>
      </c>
      <c r="J244" s="64"/>
      <c r="K244" s="350">
        <f>4*0.2</f>
        <v>0.8</v>
      </c>
      <c r="L244" s="196"/>
      <c r="M244" s="196"/>
      <c r="R244" s="249"/>
      <c r="T244" s="45"/>
      <c r="AC244" s="351"/>
    </row>
    <row r="245" spans="2:29" ht="11.25" customHeight="1" outlineLevel="1">
      <c r="B245" s="237"/>
      <c r="C245" s="383"/>
      <c r="D245" s="383" t="s">
        <v>69</v>
      </c>
      <c r="E245" s="384" t="s">
        <v>718</v>
      </c>
      <c r="F245" s="751" t="s">
        <v>719</v>
      </c>
      <c r="G245" s="751"/>
      <c r="H245" s="751"/>
      <c r="I245" s="751"/>
      <c r="J245" s="65" t="s">
        <v>412</v>
      </c>
      <c r="K245" s="385">
        <f>SUM(K246:K246)</f>
        <v>14.810400000000001</v>
      </c>
      <c r="L245" s="726"/>
      <c r="M245" s="726"/>
      <c r="N245" s="752">
        <f>ROUND(L245*K245,2)</f>
        <v>0</v>
      </c>
      <c r="O245" s="720"/>
      <c r="P245" s="720"/>
      <c r="Q245" s="720"/>
      <c r="R245" s="238"/>
      <c r="T245" s="45"/>
      <c r="V245" s="236"/>
      <c r="W245" s="236"/>
      <c r="X245" s="236"/>
      <c r="Y245" s="236"/>
      <c r="Z245" s="236"/>
      <c r="AA245" s="236"/>
      <c r="AB245" s="236"/>
    </row>
    <row r="246" spans="2:29" s="248" customFormat="1" outlineLevel="1">
      <c r="B246" s="247"/>
      <c r="E246" s="349" t="s">
        <v>700</v>
      </c>
      <c r="F246" s="717" t="s">
        <v>703</v>
      </c>
      <c r="G246" s="718"/>
      <c r="H246" s="718"/>
      <c r="I246" s="718"/>
      <c r="J246" s="64">
        <f>1.8*2*1.1</f>
        <v>3.9600000000000004</v>
      </c>
      <c r="K246" s="350">
        <f>(K241)*J246</f>
        <v>14.810400000000001</v>
      </c>
      <c r="L246" s="196"/>
      <c r="M246" s="196"/>
      <c r="R246" s="249"/>
      <c r="T246" s="45"/>
      <c r="AC246" s="351"/>
    </row>
    <row r="247" spans="2:29" ht="11.25" customHeight="1" outlineLevel="1">
      <c r="B247" s="237"/>
      <c r="C247" s="383"/>
      <c r="D247" s="383" t="s">
        <v>65</v>
      </c>
      <c r="E247" s="384" t="s">
        <v>701</v>
      </c>
      <c r="F247" s="751" t="s">
        <v>702</v>
      </c>
      <c r="G247" s="751"/>
      <c r="H247" s="751"/>
      <c r="I247" s="751"/>
      <c r="J247" s="65" t="s">
        <v>68</v>
      </c>
      <c r="K247" s="385">
        <f>SUM(K248:K249)</f>
        <v>0.88000000000000012</v>
      </c>
      <c r="L247" s="726"/>
      <c r="M247" s="726"/>
      <c r="N247" s="752">
        <f>ROUND(L247*K247,2)</f>
        <v>0</v>
      </c>
      <c r="O247" s="720"/>
      <c r="P247" s="720"/>
      <c r="Q247" s="720"/>
      <c r="R247" s="238"/>
      <c r="T247" s="45"/>
      <c r="V247" s="236"/>
      <c r="W247" s="236"/>
      <c r="X247" s="236"/>
      <c r="Y247" s="236"/>
      <c r="Z247" s="236"/>
      <c r="AA247" s="236"/>
      <c r="AB247" s="236"/>
    </row>
    <row r="248" spans="2:29" s="248" customFormat="1" outlineLevel="1">
      <c r="B248" s="247"/>
      <c r="E248" s="349" t="s">
        <v>699</v>
      </c>
      <c r="F248" s="717" t="s">
        <v>2468</v>
      </c>
      <c r="G248" s="718">
        <f>25*1.2</f>
        <v>30</v>
      </c>
      <c r="H248" s="718">
        <f>25*1.2</f>
        <v>30</v>
      </c>
      <c r="I248" s="718">
        <f>25*1.2</f>
        <v>30</v>
      </c>
      <c r="J248" s="64"/>
      <c r="K248" s="350">
        <f>4*0.2</f>
        <v>0.8</v>
      </c>
      <c r="L248" s="196"/>
      <c r="M248" s="196"/>
      <c r="R248" s="249"/>
      <c r="T248" s="45"/>
      <c r="AC248" s="351"/>
    </row>
    <row r="249" spans="2:29" s="248" customFormat="1" ht="22.5" outlineLevel="1">
      <c r="B249" s="247"/>
      <c r="E249" s="349" t="s">
        <v>704</v>
      </c>
      <c r="F249" s="717"/>
      <c r="G249" s="718"/>
      <c r="H249" s="718"/>
      <c r="I249" s="718"/>
      <c r="J249" s="141">
        <v>0.1</v>
      </c>
      <c r="K249" s="350">
        <f>SUM(K248:K248)*J249</f>
        <v>8.0000000000000016E-2</v>
      </c>
      <c r="L249" s="196"/>
      <c r="M249" s="196"/>
      <c r="R249" s="249"/>
      <c r="T249" s="45"/>
      <c r="AC249" s="351"/>
    </row>
    <row r="250" spans="2:29" outlineLevel="1">
      <c r="B250" s="237"/>
      <c r="C250" s="345"/>
      <c r="D250" s="345" t="s">
        <v>62</v>
      </c>
      <c r="E250" s="346">
        <v>622327121</v>
      </c>
      <c r="F250" s="719" t="s">
        <v>729</v>
      </c>
      <c r="G250" s="719"/>
      <c r="H250" s="719"/>
      <c r="I250" s="719"/>
      <c r="J250" s="63" t="s">
        <v>63</v>
      </c>
      <c r="K250" s="347">
        <f>K236</f>
        <v>22.44</v>
      </c>
      <c r="L250" s="726"/>
      <c r="M250" s="726"/>
      <c r="N250" s="720">
        <f>ROUND(L250*K250,2)</f>
        <v>0</v>
      </c>
      <c r="O250" s="720"/>
      <c r="P250" s="720"/>
      <c r="Q250" s="720"/>
      <c r="R250" s="238"/>
      <c r="T250" s="45"/>
      <c r="V250" s="236"/>
      <c r="W250" s="236"/>
      <c r="X250" s="236"/>
      <c r="Y250" s="236"/>
      <c r="Z250" s="236"/>
      <c r="AA250" s="236"/>
      <c r="AB250" s="236"/>
    </row>
    <row r="251" spans="2:29" ht="27" customHeight="1" outlineLevel="1">
      <c r="B251" s="237"/>
      <c r="C251" s="345"/>
      <c r="D251" s="345" t="s">
        <v>62</v>
      </c>
      <c r="E251" s="346">
        <v>622327191</v>
      </c>
      <c r="F251" s="719" t="s">
        <v>731</v>
      </c>
      <c r="G251" s="719"/>
      <c r="H251" s="719"/>
      <c r="I251" s="719"/>
      <c r="J251" s="63" t="s">
        <v>63</v>
      </c>
      <c r="K251" s="347">
        <f>SUM(K252)</f>
        <v>44.88</v>
      </c>
      <c r="L251" s="726"/>
      <c r="M251" s="726"/>
      <c r="N251" s="720">
        <f>ROUND(L251*K251,2)</f>
        <v>0</v>
      </c>
      <c r="O251" s="720"/>
      <c r="P251" s="720"/>
      <c r="Q251" s="720"/>
      <c r="R251" s="238"/>
      <c r="T251" s="45"/>
      <c r="V251" s="236"/>
      <c r="W251" s="236"/>
      <c r="X251" s="236"/>
      <c r="Y251" s="236"/>
      <c r="Z251" s="236"/>
      <c r="AA251" s="236"/>
      <c r="AB251" s="236"/>
    </row>
    <row r="252" spans="2:29" s="248" customFormat="1" outlineLevel="1">
      <c r="B252" s="247"/>
      <c r="E252" s="349" t="s">
        <v>730</v>
      </c>
      <c r="F252" s="717" t="s">
        <v>187</v>
      </c>
      <c r="G252" s="718" t="e">
        <f>G250*F252</f>
        <v>#VALUE!</v>
      </c>
      <c r="H252" s="718" t="e">
        <f>H250*G252</f>
        <v>#VALUE!</v>
      </c>
      <c r="I252" s="718" t="e">
        <f>I250*H252</f>
        <v>#VALUE!</v>
      </c>
      <c r="J252" s="64">
        <v>2</v>
      </c>
      <c r="K252" s="350">
        <f>K250*J252</f>
        <v>44.88</v>
      </c>
      <c r="L252" s="196"/>
      <c r="M252" s="196"/>
      <c r="R252" s="249"/>
      <c r="T252" s="45"/>
      <c r="AC252" s="351"/>
    </row>
    <row r="253" spans="2:29" outlineLevel="1">
      <c r="B253" s="237"/>
      <c r="C253" s="345"/>
      <c r="D253" s="345" t="s">
        <v>62</v>
      </c>
      <c r="E253" s="346">
        <v>622142002</v>
      </c>
      <c r="F253" s="719" t="s">
        <v>726</v>
      </c>
      <c r="G253" s="719"/>
      <c r="H253" s="719"/>
      <c r="I253" s="719"/>
      <c r="J253" s="63" t="s">
        <v>63</v>
      </c>
      <c r="K253" s="347">
        <f>K250</f>
        <v>22.44</v>
      </c>
      <c r="L253" s="726"/>
      <c r="M253" s="726"/>
      <c r="N253" s="720">
        <f>ROUND(L253*K253,2)</f>
        <v>0</v>
      </c>
      <c r="O253" s="720"/>
      <c r="P253" s="720"/>
      <c r="Q253" s="720"/>
      <c r="R253" s="238"/>
      <c r="T253" s="45"/>
    </row>
    <row r="254" spans="2:29" outlineLevel="1">
      <c r="B254" s="237"/>
      <c r="C254" s="345"/>
      <c r="D254" s="345" t="s">
        <v>62</v>
      </c>
      <c r="E254" s="346">
        <v>783826615</v>
      </c>
      <c r="F254" s="719" t="s">
        <v>408</v>
      </c>
      <c r="G254" s="719"/>
      <c r="H254" s="719"/>
      <c r="I254" s="719"/>
      <c r="J254" s="63" t="s">
        <v>63</v>
      </c>
      <c r="K254" s="347">
        <f>K253</f>
        <v>22.44</v>
      </c>
      <c r="L254" s="726"/>
      <c r="M254" s="726"/>
      <c r="N254" s="720">
        <f>ROUND(L254*K254,2)</f>
        <v>0</v>
      </c>
      <c r="O254" s="720"/>
      <c r="P254" s="720"/>
      <c r="Q254" s="720"/>
      <c r="R254" s="238"/>
      <c r="T254" s="45"/>
    </row>
    <row r="255" spans="2:29" s="374" customFormat="1" outlineLevel="1">
      <c r="B255" s="370"/>
      <c r="C255" s="371"/>
      <c r="D255" s="371" t="s">
        <v>732</v>
      </c>
      <c r="E255" s="753" t="s">
        <v>733</v>
      </c>
      <c r="F255" s="754"/>
      <c r="G255" s="754"/>
      <c r="H255" s="754"/>
      <c r="I255" s="755"/>
      <c r="J255" s="145"/>
      <c r="K255" s="372">
        <f>K256</f>
        <v>94.8</v>
      </c>
      <c r="L255" s="756"/>
      <c r="M255" s="756"/>
      <c r="N255" s="757"/>
      <c r="O255" s="757"/>
      <c r="P255" s="757"/>
      <c r="Q255" s="757"/>
      <c r="R255" s="373"/>
      <c r="T255" s="144"/>
      <c r="U255" s="375"/>
      <c r="V255" s="375"/>
      <c r="W255" s="375"/>
      <c r="X255" s="375"/>
      <c r="Y255" s="375"/>
      <c r="Z255" s="375"/>
      <c r="AA255" s="375"/>
      <c r="AB255" s="375"/>
      <c r="AC255" s="376"/>
    </row>
    <row r="256" spans="2:29" s="378" customFormat="1" outlineLevel="1">
      <c r="B256" s="377"/>
      <c r="E256" s="379" t="s">
        <v>2282</v>
      </c>
      <c r="F256" s="748" t="s">
        <v>2514</v>
      </c>
      <c r="G256" s="749" t="e">
        <f>((6.66+3.62)*2+(4.57+6.66)*2+(4.9+3.7+1.3)*2+(5.9+3.7+4.7+5.9+6.1+6.6+6.3+3.2+5.6+5.4+4+2.5)*2+1.6*4)*2-#REF!-#REF!</f>
        <v>#REF!</v>
      </c>
      <c r="H256" s="749" t="e">
        <f>((6.66+3.62)*2+(4.57+6.66)*2+(4.9+3.7+1.3)*2+(5.9+3.7+4.7+5.9+6.1+6.6+6.3+3.2+5.6+5.4+4+2.5)*2+1.6*4)*2-#REF!-#REF!</f>
        <v>#REF!</v>
      </c>
      <c r="I256" s="749" t="e">
        <f>((6.66+3.62)*2+(4.57+6.66)*2+(4.9+3.7+1.3)*2+(5.9+3.7+4.7+5.9+6.1+6.6+6.3+3.2+5.6+5.4+4+2.5)*2+1.6*4)*2-#REF!-#REF!</f>
        <v>#REF!</v>
      </c>
      <c r="J256" s="195"/>
      <c r="K256" s="380">
        <f>((5.6+5.4+6.3+3.2)*2+1.6*4)*2</f>
        <v>94.8</v>
      </c>
      <c r="L256" s="197"/>
      <c r="M256" s="197"/>
      <c r="R256" s="381"/>
      <c r="T256" s="194"/>
      <c r="AC256" s="382"/>
    </row>
    <row r="257" spans="2:29" outlineLevel="1">
      <c r="B257" s="237"/>
      <c r="C257" s="345"/>
      <c r="D257" s="345" t="s">
        <v>62</v>
      </c>
      <c r="E257" s="346">
        <v>783803140</v>
      </c>
      <c r="F257" s="719" t="s">
        <v>722</v>
      </c>
      <c r="G257" s="719"/>
      <c r="H257" s="719"/>
      <c r="I257" s="719"/>
      <c r="J257" s="63" t="s">
        <v>63</v>
      </c>
      <c r="K257" s="347">
        <f>K255</f>
        <v>94.8</v>
      </c>
      <c r="L257" s="726"/>
      <c r="M257" s="726"/>
      <c r="N257" s="720">
        <f>ROUND(L257*K257,2)</f>
        <v>0</v>
      </c>
      <c r="O257" s="720"/>
      <c r="P257" s="720"/>
      <c r="Q257" s="720"/>
      <c r="R257" s="238"/>
      <c r="T257" s="45"/>
    </row>
    <row r="258" spans="2:29" ht="11.25" customHeight="1" outlineLevel="1">
      <c r="B258" s="237"/>
      <c r="C258" s="383"/>
      <c r="D258" s="383" t="s">
        <v>69</v>
      </c>
      <c r="E258" s="384" t="s">
        <v>723</v>
      </c>
      <c r="F258" s="751" t="s">
        <v>724</v>
      </c>
      <c r="G258" s="751"/>
      <c r="H258" s="751"/>
      <c r="I258" s="751"/>
      <c r="J258" s="65" t="s">
        <v>725</v>
      </c>
      <c r="K258" s="385">
        <f>K257*0.3*2</f>
        <v>56.879999999999995</v>
      </c>
      <c r="L258" s="726"/>
      <c r="M258" s="726"/>
      <c r="N258" s="752">
        <f>ROUND(L258*K258,2)</f>
        <v>0</v>
      </c>
      <c r="O258" s="720"/>
      <c r="P258" s="720"/>
      <c r="Q258" s="720"/>
      <c r="R258" s="238"/>
      <c r="T258" s="45"/>
      <c r="V258" s="236"/>
      <c r="W258" s="236"/>
      <c r="X258" s="236"/>
      <c r="Y258" s="236"/>
      <c r="Z258" s="236"/>
      <c r="AA258" s="236"/>
      <c r="AB258" s="236"/>
    </row>
    <row r="259" spans="2:29" outlineLevel="1">
      <c r="B259" s="237"/>
      <c r="C259" s="345"/>
      <c r="D259" s="345" t="s">
        <v>62</v>
      </c>
      <c r="E259" s="346">
        <v>985311112</v>
      </c>
      <c r="F259" s="719" t="s">
        <v>695</v>
      </c>
      <c r="G259" s="719"/>
      <c r="H259" s="719"/>
      <c r="I259" s="719"/>
      <c r="J259" s="63" t="s">
        <v>63</v>
      </c>
      <c r="K259" s="347">
        <f>K255</f>
        <v>94.8</v>
      </c>
      <c r="L259" s="726"/>
      <c r="M259" s="726"/>
      <c r="N259" s="720">
        <f>ROUND(L259*K259,2)</f>
        <v>0</v>
      </c>
      <c r="O259" s="720"/>
      <c r="P259" s="720"/>
      <c r="Q259" s="720"/>
      <c r="R259" s="238"/>
      <c r="T259" s="45"/>
    </row>
    <row r="260" spans="2:29" outlineLevel="1">
      <c r="B260" s="237"/>
      <c r="C260" s="345"/>
      <c r="D260" s="345" t="s">
        <v>62</v>
      </c>
      <c r="E260" s="346">
        <v>711192202</v>
      </c>
      <c r="F260" s="719" t="s">
        <v>410</v>
      </c>
      <c r="G260" s="719"/>
      <c r="H260" s="719"/>
      <c r="I260" s="719"/>
      <c r="J260" s="63" t="s">
        <v>63</v>
      </c>
      <c r="K260" s="347">
        <f>SUM(K261:K261)</f>
        <v>28.7</v>
      </c>
      <c r="L260" s="726"/>
      <c r="M260" s="726"/>
      <c r="N260" s="720">
        <f>ROUND(L260*K260,2)</f>
        <v>0</v>
      </c>
      <c r="O260" s="720"/>
      <c r="P260" s="720"/>
      <c r="Q260" s="720"/>
      <c r="R260" s="238"/>
      <c r="T260" s="45"/>
    </row>
    <row r="261" spans="2:29" s="248" customFormat="1" outlineLevel="1">
      <c r="B261" s="247"/>
      <c r="E261" s="349" t="s">
        <v>1950</v>
      </c>
      <c r="F261" s="717" t="s">
        <v>2515</v>
      </c>
      <c r="G261" s="718">
        <f>((6.66+3.62)*2+(4.57+6.66)*2+(4.9+3.7+1.3)*2+(5.9+3.7+4.7+5.9+6.1+6.6+6.3+3.2+5.6+5.4+4+2.5)*2)*0.5</f>
        <v>91.31</v>
      </c>
      <c r="H261" s="718">
        <f>((6.66+3.62)*2+(4.57+6.66)*2+(4.9+3.7+1.3)*2+(5.9+3.7+4.7+5.9+6.1+6.6+6.3+3.2+5.6+5.4+4+2.5)*2)*0.5</f>
        <v>91.31</v>
      </c>
      <c r="I261" s="718">
        <f>((6.66+3.62)*2+(4.57+6.66)*2+(4.9+3.7+1.3)*2+(5.9+3.7+4.7+5.9+6.1+6.6+6.3+3.2+5.6+5.4+4+2.5)*2)*0.5</f>
        <v>91.31</v>
      </c>
      <c r="J261" s="64"/>
      <c r="K261" s="350">
        <f>((5.6+5.4+6.3+3.2)*2)*0.7</f>
        <v>28.7</v>
      </c>
      <c r="L261" s="196"/>
      <c r="M261" s="196"/>
      <c r="R261" s="249"/>
      <c r="T261" s="45"/>
      <c r="AC261" s="305"/>
    </row>
    <row r="262" spans="2:29" outlineLevel="1">
      <c r="B262" s="237"/>
      <c r="C262" s="345"/>
      <c r="D262" s="345" t="s">
        <v>62</v>
      </c>
      <c r="E262" s="346">
        <v>711199101</v>
      </c>
      <c r="F262" s="719" t="s">
        <v>697</v>
      </c>
      <c r="G262" s="719"/>
      <c r="H262" s="719"/>
      <c r="I262" s="719"/>
      <c r="J262" s="63" t="s">
        <v>68</v>
      </c>
      <c r="K262" s="347">
        <f>SUM(K263:K263)</f>
        <v>64</v>
      </c>
      <c r="L262" s="726"/>
      <c r="M262" s="726"/>
      <c r="N262" s="720">
        <f>ROUND(L262*K262,2)</f>
        <v>0</v>
      </c>
      <c r="O262" s="720"/>
      <c r="P262" s="720"/>
      <c r="Q262" s="720"/>
      <c r="R262" s="238"/>
      <c r="T262" s="45"/>
    </row>
    <row r="263" spans="2:29" s="248" customFormat="1" outlineLevel="1">
      <c r="B263" s="247"/>
      <c r="E263" s="349" t="s">
        <v>699</v>
      </c>
      <c r="F263" s="717" t="s">
        <v>2516</v>
      </c>
      <c r="G263" s="718">
        <f>98*2</f>
        <v>196</v>
      </c>
      <c r="H263" s="718">
        <f>98*2</f>
        <v>196</v>
      </c>
      <c r="I263" s="718">
        <f>98*2</f>
        <v>196</v>
      </c>
      <c r="J263" s="64"/>
      <c r="K263" s="350">
        <f>32*2</f>
        <v>64</v>
      </c>
      <c r="L263" s="196"/>
      <c r="M263" s="196"/>
      <c r="R263" s="249"/>
      <c r="T263" s="45"/>
      <c r="AC263" s="351"/>
    </row>
    <row r="264" spans="2:29" ht="11.25" customHeight="1" outlineLevel="1">
      <c r="B264" s="237"/>
      <c r="C264" s="383"/>
      <c r="D264" s="383" t="s">
        <v>69</v>
      </c>
      <c r="E264" s="384" t="s">
        <v>718</v>
      </c>
      <c r="F264" s="751" t="s">
        <v>719</v>
      </c>
      <c r="G264" s="751"/>
      <c r="H264" s="751"/>
      <c r="I264" s="751"/>
      <c r="J264" s="65" t="s">
        <v>412</v>
      </c>
      <c r="K264" s="385">
        <f>SUM(K265:K265)</f>
        <v>113.65200000000002</v>
      </c>
      <c r="L264" s="726"/>
      <c r="M264" s="726"/>
      <c r="N264" s="752">
        <f>ROUND(L264*K264,2)</f>
        <v>0</v>
      </c>
      <c r="O264" s="720"/>
      <c r="P264" s="720"/>
      <c r="Q264" s="720"/>
      <c r="R264" s="238"/>
      <c r="T264" s="45"/>
      <c r="V264" s="236"/>
      <c r="W264" s="236"/>
      <c r="X264" s="236"/>
      <c r="Y264" s="236"/>
      <c r="Z264" s="236"/>
      <c r="AA264" s="236"/>
      <c r="AB264" s="236"/>
    </row>
    <row r="265" spans="2:29" s="248" customFormat="1" outlineLevel="1">
      <c r="B265" s="247"/>
      <c r="E265" s="349" t="s">
        <v>700</v>
      </c>
      <c r="F265" s="717" t="s">
        <v>703</v>
      </c>
      <c r="G265" s="718"/>
      <c r="H265" s="718"/>
      <c r="I265" s="718"/>
      <c r="J265" s="64">
        <f>1.8*2*1.1</f>
        <v>3.9600000000000004</v>
      </c>
      <c r="K265" s="350">
        <f>(K260)*J265</f>
        <v>113.65200000000002</v>
      </c>
      <c r="L265" s="196"/>
      <c r="M265" s="196"/>
      <c r="R265" s="249"/>
      <c r="T265" s="45"/>
      <c r="AC265" s="351"/>
    </row>
    <row r="266" spans="2:29" ht="11.25" customHeight="1" outlineLevel="1">
      <c r="B266" s="237"/>
      <c r="C266" s="383"/>
      <c r="D266" s="383" t="s">
        <v>65</v>
      </c>
      <c r="E266" s="384" t="s">
        <v>701</v>
      </c>
      <c r="F266" s="751" t="s">
        <v>702</v>
      </c>
      <c r="G266" s="751"/>
      <c r="H266" s="751"/>
      <c r="I266" s="751"/>
      <c r="J266" s="65" t="s">
        <v>68</v>
      </c>
      <c r="K266" s="385">
        <f>SUM(K267:K268)</f>
        <v>70.400000000000006</v>
      </c>
      <c r="L266" s="726"/>
      <c r="M266" s="726"/>
      <c r="N266" s="752">
        <f>ROUND(L266*K266,2)</f>
        <v>0</v>
      </c>
      <c r="O266" s="720"/>
      <c r="P266" s="720"/>
      <c r="Q266" s="720"/>
      <c r="R266" s="238"/>
      <c r="T266" s="45"/>
      <c r="V266" s="236"/>
      <c r="W266" s="236"/>
      <c r="X266" s="236"/>
      <c r="Y266" s="236"/>
      <c r="Z266" s="236"/>
      <c r="AA266" s="236"/>
      <c r="AB266" s="236"/>
    </row>
    <row r="267" spans="2:29" s="248" customFormat="1" outlineLevel="1">
      <c r="B267" s="247"/>
      <c r="E267" s="349" t="s">
        <v>699</v>
      </c>
      <c r="F267" s="717" t="s">
        <v>187</v>
      </c>
      <c r="G267" s="718">
        <f>G263</f>
        <v>196</v>
      </c>
      <c r="H267" s="718">
        <f>H263</f>
        <v>196</v>
      </c>
      <c r="I267" s="718">
        <f>I263</f>
        <v>196</v>
      </c>
      <c r="J267" s="64"/>
      <c r="K267" s="350">
        <f>K263</f>
        <v>64</v>
      </c>
      <c r="L267" s="196"/>
      <c r="M267" s="196"/>
      <c r="R267" s="249"/>
      <c r="T267" s="45"/>
      <c r="AC267" s="351"/>
    </row>
    <row r="268" spans="2:29" s="248" customFormat="1" ht="22.5" outlineLevel="1">
      <c r="B268" s="247"/>
      <c r="E268" s="349" t="s">
        <v>704</v>
      </c>
      <c r="F268" s="717"/>
      <c r="G268" s="718"/>
      <c r="H268" s="718"/>
      <c r="I268" s="718"/>
      <c r="J268" s="141">
        <v>0.1</v>
      </c>
      <c r="K268" s="350">
        <f>SUM(K267:K267)*J268</f>
        <v>6.4</v>
      </c>
      <c r="L268" s="196"/>
      <c r="M268" s="196"/>
      <c r="R268" s="249"/>
      <c r="T268" s="45"/>
      <c r="AC268" s="351"/>
    </row>
    <row r="269" spans="2:29" outlineLevel="1">
      <c r="B269" s="237"/>
      <c r="C269" s="345"/>
      <c r="D269" s="345" t="s">
        <v>62</v>
      </c>
      <c r="E269" s="346">
        <v>612327121</v>
      </c>
      <c r="F269" s="719" t="s">
        <v>740</v>
      </c>
      <c r="G269" s="719"/>
      <c r="H269" s="719"/>
      <c r="I269" s="719"/>
      <c r="J269" s="63" t="s">
        <v>63</v>
      </c>
      <c r="K269" s="347">
        <f>K255</f>
        <v>94.8</v>
      </c>
      <c r="L269" s="726"/>
      <c r="M269" s="726"/>
      <c r="N269" s="720">
        <f>ROUND(L269*K269,2)</f>
        <v>0</v>
      </c>
      <c r="O269" s="720"/>
      <c r="P269" s="720"/>
      <c r="Q269" s="720"/>
      <c r="R269" s="238"/>
      <c r="T269" s="45"/>
      <c r="V269" s="236"/>
      <c r="W269" s="236"/>
      <c r="X269" s="236"/>
      <c r="Y269" s="236"/>
      <c r="Z269" s="236"/>
      <c r="AA269" s="236"/>
      <c r="AB269" s="236"/>
    </row>
    <row r="270" spans="2:29" ht="27" customHeight="1" outlineLevel="1">
      <c r="B270" s="237"/>
      <c r="C270" s="345"/>
      <c r="D270" s="345" t="s">
        <v>62</v>
      </c>
      <c r="E270" s="346">
        <v>612327191</v>
      </c>
      <c r="F270" s="719" t="s">
        <v>741</v>
      </c>
      <c r="G270" s="719"/>
      <c r="H270" s="719"/>
      <c r="I270" s="719"/>
      <c r="J270" s="63" t="s">
        <v>63</v>
      </c>
      <c r="K270" s="347">
        <f>SUM(K271)</f>
        <v>94.8</v>
      </c>
      <c r="L270" s="726"/>
      <c r="M270" s="726"/>
      <c r="N270" s="720">
        <f>ROUND(L270*K270,2)</f>
        <v>0</v>
      </c>
      <c r="O270" s="720"/>
      <c r="P270" s="720"/>
      <c r="Q270" s="720"/>
      <c r="R270" s="238"/>
      <c r="T270" s="45"/>
      <c r="V270" s="236"/>
      <c r="W270" s="236"/>
      <c r="X270" s="236"/>
      <c r="Y270" s="236"/>
      <c r="Z270" s="236"/>
      <c r="AA270" s="236"/>
      <c r="AB270" s="236"/>
    </row>
    <row r="271" spans="2:29" s="248" customFormat="1" outlineLevel="1">
      <c r="B271" s="247"/>
      <c r="E271" s="349" t="s">
        <v>730</v>
      </c>
      <c r="F271" s="717" t="s">
        <v>187</v>
      </c>
      <c r="G271" s="718"/>
      <c r="H271" s="718"/>
      <c r="I271" s="718"/>
      <c r="J271" s="64">
        <v>1</v>
      </c>
      <c r="K271" s="350">
        <f>K269*J271</f>
        <v>94.8</v>
      </c>
      <c r="L271" s="196"/>
      <c r="M271" s="196"/>
      <c r="R271" s="249"/>
      <c r="T271" s="45"/>
      <c r="AC271" s="351"/>
    </row>
    <row r="272" spans="2:29" outlineLevel="1">
      <c r="B272" s="237"/>
      <c r="C272" s="345"/>
      <c r="D272" s="345" t="s">
        <v>62</v>
      </c>
      <c r="E272" s="346">
        <v>622142002</v>
      </c>
      <c r="F272" s="719" t="s">
        <v>726</v>
      </c>
      <c r="G272" s="719"/>
      <c r="H272" s="719"/>
      <c r="I272" s="719"/>
      <c r="J272" s="63" t="s">
        <v>63</v>
      </c>
      <c r="K272" s="347">
        <f>K269</f>
        <v>94.8</v>
      </c>
      <c r="L272" s="726"/>
      <c r="M272" s="726"/>
      <c r="N272" s="720">
        <f>ROUND(L272*K272,2)</f>
        <v>0</v>
      </c>
      <c r="O272" s="720"/>
      <c r="P272" s="720"/>
      <c r="Q272" s="720"/>
      <c r="R272" s="238"/>
      <c r="T272" s="45"/>
    </row>
    <row r="273" spans="2:29" outlineLevel="1">
      <c r="B273" s="237"/>
      <c r="C273" s="345"/>
      <c r="D273" s="345" t="s">
        <v>62</v>
      </c>
      <c r="E273" s="346">
        <v>612328131</v>
      </c>
      <c r="F273" s="719" t="s">
        <v>742</v>
      </c>
      <c r="G273" s="719"/>
      <c r="H273" s="719"/>
      <c r="I273" s="719"/>
      <c r="J273" s="63" t="s">
        <v>63</v>
      </c>
      <c r="K273" s="347">
        <f>K272</f>
        <v>94.8</v>
      </c>
      <c r="L273" s="726"/>
      <c r="M273" s="726"/>
      <c r="N273" s="720">
        <f>ROUND(L273*K273,2)</f>
        <v>0</v>
      </c>
      <c r="O273" s="720"/>
      <c r="P273" s="720"/>
      <c r="Q273" s="720"/>
      <c r="R273" s="238"/>
      <c r="T273" s="45"/>
    </row>
    <row r="274" spans="2:29" s="374" customFormat="1" outlineLevel="1">
      <c r="B274" s="370"/>
      <c r="C274" s="371"/>
      <c r="D274" s="371" t="s">
        <v>395</v>
      </c>
      <c r="E274" s="753" t="s">
        <v>744</v>
      </c>
      <c r="F274" s="754"/>
      <c r="G274" s="754"/>
      <c r="H274" s="754"/>
      <c r="I274" s="755"/>
      <c r="J274" s="145"/>
      <c r="K274" s="372">
        <f>K275</f>
        <v>50.61</v>
      </c>
      <c r="L274" s="756"/>
      <c r="M274" s="756"/>
      <c r="N274" s="757"/>
      <c r="O274" s="757"/>
      <c r="P274" s="757"/>
      <c r="Q274" s="757"/>
      <c r="R274" s="373"/>
      <c r="T274" s="144"/>
      <c r="U274" s="375"/>
      <c r="V274" s="375"/>
      <c r="W274" s="375"/>
      <c r="X274" s="375"/>
      <c r="Y274" s="375"/>
      <c r="Z274" s="375"/>
      <c r="AA274" s="375"/>
      <c r="AB274" s="375"/>
      <c r="AC274" s="376"/>
    </row>
    <row r="275" spans="2:29" s="378" customFormat="1" outlineLevel="1">
      <c r="B275" s="377"/>
      <c r="E275" s="379" t="s">
        <v>2287</v>
      </c>
      <c r="F275" s="748" t="s">
        <v>2497</v>
      </c>
      <c r="G275" s="749">
        <f>28.19+23.93+18.07+4.92+40.52+27.72+22.76+20+17.25+30.611</f>
        <v>233.97099999999998</v>
      </c>
      <c r="H275" s="749">
        <f>28.19+23.93+18.07+4.92+40.52+27.72+22.76+20+17.25+30.611</f>
        <v>233.97099999999998</v>
      </c>
      <c r="I275" s="749">
        <f>28.19+23.93+18.07+4.92+40.52+27.72+22.76+20+17.25+30.611</f>
        <v>233.97099999999998</v>
      </c>
      <c r="J275" s="195"/>
      <c r="K275" s="380">
        <f>20+30.61</f>
        <v>50.61</v>
      </c>
      <c r="L275" s="197"/>
      <c r="M275" s="197"/>
      <c r="R275" s="381"/>
      <c r="T275" s="194"/>
      <c r="AC275" s="382"/>
    </row>
    <row r="276" spans="2:29" outlineLevel="1">
      <c r="B276" s="237"/>
      <c r="C276" s="345"/>
      <c r="D276" s="345" t="s">
        <v>62</v>
      </c>
      <c r="E276" s="346">
        <v>213141111</v>
      </c>
      <c r="F276" s="719" t="s">
        <v>745</v>
      </c>
      <c r="G276" s="719"/>
      <c r="H276" s="719"/>
      <c r="I276" s="719"/>
      <c r="J276" s="63" t="s">
        <v>63</v>
      </c>
      <c r="K276" s="347">
        <f>K274</f>
        <v>50.61</v>
      </c>
      <c r="L276" s="726"/>
      <c r="M276" s="726"/>
      <c r="N276" s="720">
        <f>ROUND(L276*K276,2)</f>
        <v>0</v>
      </c>
      <c r="O276" s="720"/>
      <c r="P276" s="720"/>
      <c r="Q276" s="720"/>
      <c r="R276" s="238"/>
      <c r="T276" s="45"/>
    </row>
    <row r="277" spans="2:29" ht="11.25" customHeight="1" outlineLevel="1">
      <c r="B277" s="237"/>
      <c r="C277" s="383"/>
      <c r="D277" s="383" t="s">
        <v>65</v>
      </c>
      <c r="E277" s="384" t="s">
        <v>747</v>
      </c>
      <c r="F277" s="751" t="s">
        <v>118</v>
      </c>
      <c r="G277" s="751"/>
      <c r="H277" s="751"/>
      <c r="I277" s="751"/>
      <c r="J277" s="65" t="s">
        <v>63</v>
      </c>
      <c r="K277" s="385">
        <f>SUM(K278:K279)</f>
        <v>60.731999999999999</v>
      </c>
      <c r="L277" s="726"/>
      <c r="M277" s="726"/>
      <c r="N277" s="752">
        <f>ROUND(L277*K277,2)</f>
        <v>0</v>
      </c>
      <c r="O277" s="720"/>
      <c r="P277" s="720"/>
      <c r="Q277" s="720"/>
      <c r="R277" s="238"/>
      <c r="T277" s="45"/>
      <c r="V277" s="236"/>
      <c r="W277" s="236"/>
      <c r="X277" s="236"/>
      <c r="Y277" s="236"/>
      <c r="Z277" s="236"/>
      <c r="AA277" s="236"/>
      <c r="AB277" s="236"/>
    </row>
    <row r="278" spans="2:29" s="248" customFormat="1" outlineLevel="1">
      <c r="B278" s="247"/>
      <c r="E278" s="349" t="s">
        <v>746</v>
      </c>
      <c r="F278" s="717" t="s">
        <v>187</v>
      </c>
      <c r="G278" s="718"/>
      <c r="H278" s="718"/>
      <c r="I278" s="718"/>
      <c r="J278" s="64"/>
      <c r="K278" s="350">
        <f>K276</f>
        <v>50.61</v>
      </c>
      <c r="L278" s="196"/>
      <c r="M278" s="196"/>
      <c r="R278" s="249"/>
      <c r="T278" s="45"/>
      <c r="AC278" s="351"/>
    </row>
    <row r="279" spans="2:29" s="248" customFormat="1" outlineLevel="1">
      <c r="B279" s="247"/>
      <c r="E279" s="349" t="s">
        <v>164</v>
      </c>
      <c r="F279" s="717"/>
      <c r="G279" s="718"/>
      <c r="H279" s="718"/>
      <c r="I279" s="718"/>
      <c r="J279" s="141">
        <v>0.2</v>
      </c>
      <c r="K279" s="350">
        <f>SUM(K278:K278)*J279</f>
        <v>10.122</v>
      </c>
      <c r="L279" s="196"/>
      <c r="M279" s="196"/>
      <c r="R279" s="249"/>
      <c r="T279" s="45"/>
      <c r="AC279" s="351"/>
    </row>
    <row r="280" spans="2:29" ht="11.25" customHeight="1" outlineLevel="1">
      <c r="B280" s="237"/>
      <c r="C280" s="345"/>
      <c r="D280" s="345" t="s">
        <v>62</v>
      </c>
      <c r="E280" s="346">
        <v>635111142</v>
      </c>
      <c r="F280" s="719" t="s">
        <v>748</v>
      </c>
      <c r="G280" s="719"/>
      <c r="H280" s="719"/>
      <c r="I280" s="719"/>
      <c r="J280" s="63" t="s">
        <v>64</v>
      </c>
      <c r="K280" s="347">
        <f>SUM(K281)</f>
        <v>5.0609999999999999</v>
      </c>
      <c r="L280" s="726"/>
      <c r="M280" s="726"/>
      <c r="N280" s="720">
        <f>ROUND(L280*K280,2)</f>
        <v>0</v>
      </c>
      <c r="O280" s="720"/>
      <c r="P280" s="720"/>
      <c r="Q280" s="720"/>
      <c r="R280" s="238"/>
      <c r="T280" s="45"/>
    </row>
    <row r="281" spans="2:29" s="248" customFormat="1" outlineLevel="1">
      <c r="B281" s="247"/>
      <c r="E281" s="349" t="s">
        <v>746</v>
      </c>
      <c r="F281" s="717" t="s">
        <v>2292</v>
      </c>
      <c r="G281" s="718"/>
      <c r="H281" s="718"/>
      <c r="I281" s="718"/>
      <c r="J281" s="64">
        <v>0.1</v>
      </c>
      <c r="K281" s="350">
        <f>K274*J281</f>
        <v>5.0609999999999999</v>
      </c>
      <c r="L281" s="196"/>
      <c r="M281" s="196"/>
      <c r="R281" s="249"/>
      <c r="T281" s="45"/>
      <c r="AC281" s="351"/>
    </row>
    <row r="282" spans="2:29" ht="27" customHeight="1" outlineLevel="1">
      <c r="B282" s="237"/>
      <c r="C282" s="345"/>
      <c r="D282" s="345" t="s">
        <v>62</v>
      </c>
      <c r="E282" s="346" t="s">
        <v>749</v>
      </c>
      <c r="F282" s="719" t="s">
        <v>750</v>
      </c>
      <c r="G282" s="719"/>
      <c r="H282" s="719"/>
      <c r="I282" s="719"/>
      <c r="J282" s="63" t="s">
        <v>63</v>
      </c>
      <c r="K282" s="347">
        <f>K274</f>
        <v>50.61</v>
      </c>
      <c r="L282" s="726"/>
      <c r="M282" s="726"/>
      <c r="N282" s="720">
        <f>ROUND(L282*K282,2)</f>
        <v>0</v>
      </c>
      <c r="O282" s="720"/>
      <c r="P282" s="720"/>
      <c r="Q282" s="720"/>
      <c r="R282" s="238"/>
      <c r="T282" s="45"/>
      <c r="V282" s="236"/>
      <c r="W282" s="236"/>
      <c r="X282" s="236"/>
      <c r="Y282" s="236"/>
      <c r="Z282" s="236"/>
      <c r="AA282" s="236"/>
      <c r="AB282" s="236"/>
    </row>
    <row r="283" spans="2:29" ht="27" customHeight="1" outlineLevel="1">
      <c r="B283" s="237"/>
      <c r="C283" s="345"/>
      <c r="D283" s="345" t="s">
        <v>62</v>
      </c>
      <c r="E283" s="346">
        <v>631311114</v>
      </c>
      <c r="F283" s="719" t="s">
        <v>751</v>
      </c>
      <c r="G283" s="719"/>
      <c r="H283" s="719"/>
      <c r="I283" s="719"/>
      <c r="J283" s="63" t="s">
        <v>64</v>
      </c>
      <c r="K283" s="347">
        <f>SUM(K284:K284)</f>
        <v>3.0366</v>
      </c>
      <c r="L283" s="726"/>
      <c r="M283" s="726"/>
      <c r="N283" s="720">
        <f>ROUND(L283*K283,2)</f>
        <v>0</v>
      </c>
      <c r="O283" s="720"/>
      <c r="P283" s="720"/>
      <c r="Q283" s="720"/>
      <c r="R283" s="238"/>
      <c r="T283" s="45"/>
      <c r="V283" s="236"/>
      <c r="W283" s="236"/>
      <c r="X283" s="236"/>
      <c r="Y283" s="236"/>
      <c r="Z283" s="236"/>
      <c r="AA283" s="236"/>
      <c r="AB283" s="236"/>
    </row>
    <row r="284" spans="2:29" s="248" customFormat="1" outlineLevel="1">
      <c r="B284" s="247"/>
      <c r="E284" s="349" t="s">
        <v>752</v>
      </c>
      <c r="F284" s="717" t="s">
        <v>187</v>
      </c>
      <c r="G284" s="718"/>
      <c r="H284" s="718"/>
      <c r="I284" s="718"/>
      <c r="J284" s="64">
        <v>0.06</v>
      </c>
      <c r="K284" s="350">
        <f>K274*J284</f>
        <v>3.0366</v>
      </c>
      <c r="L284" s="196"/>
      <c r="M284" s="196"/>
      <c r="R284" s="249"/>
      <c r="T284" s="45"/>
      <c r="AC284" s="351"/>
    </row>
    <row r="285" spans="2:29" outlineLevel="1">
      <c r="B285" s="237"/>
      <c r="C285" s="345"/>
      <c r="D285" s="345" t="s">
        <v>62</v>
      </c>
      <c r="E285" s="346">
        <v>631362021</v>
      </c>
      <c r="F285" s="719" t="s">
        <v>409</v>
      </c>
      <c r="G285" s="719"/>
      <c r="H285" s="719"/>
      <c r="I285" s="719"/>
      <c r="J285" s="63" t="s">
        <v>66</v>
      </c>
      <c r="K285" s="347">
        <f>SUM(K286:K287)</f>
        <v>0.182196</v>
      </c>
      <c r="L285" s="726"/>
      <c r="M285" s="726"/>
      <c r="N285" s="720">
        <f>ROUND(L285*K285,2)</f>
        <v>0</v>
      </c>
      <c r="O285" s="720"/>
      <c r="P285" s="720"/>
      <c r="Q285" s="720"/>
      <c r="R285" s="238"/>
      <c r="T285" s="45"/>
    </row>
    <row r="286" spans="2:29" s="248" customFormat="1" outlineLevel="1">
      <c r="B286" s="247"/>
      <c r="E286" s="349" t="s">
        <v>753</v>
      </c>
      <c r="F286" s="717"/>
      <c r="G286" s="718"/>
      <c r="H286" s="718"/>
      <c r="I286" s="718"/>
      <c r="J286" s="64">
        <f>3/1000</f>
        <v>3.0000000000000001E-3</v>
      </c>
      <c r="K286" s="350">
        <f>K274*J286</f>
        <v>0.15182999999999999</v>
      </c>
      <c r="L286" s="196"/>
      <c r="M286" s="196"/>
      <c r="R286" s="249"/>
      <c r="T286" s="45"/>
      <c r="AC286" s="351"/>
    </row>
    <row r="287" spans="2:29" s="248" customFormat="1" outlineLevel="1">
      <c r="B287" s="247"/>
      <c r="E287" s="349" t="s">
        <v>164</v>
      </c>
      <c r="F287" s="717"/>
      <c r="G287" s="718"/>
      <c r="H287" s="718"/>
      <c r="I287" s="718"/>
      <c r="J287" s="141">
        <v>0.2</v>
      </c>
      <c r="K287" s="350">
        <f>K286*J287</f>
        <v>3.0366000000000001E-2</v>
      </c>
      <c r="L287" s="196"/>
      <c r="M287" s="196"/>
      <c r="R287" s="249"/>
      <c r="T287" s="45"/>
      <c r="AC287" s="351"/>
    </row>
    <row r="288" spans="2:29" ht="27" customHeight="1" outlineLevel="1">
      <c r="B288" s="237"/>
      <c r="C288" s="345"/>
      <c r="D288" s="345" t="s">
        <v>62</v>
      </c>
      <c r="E288" s="346">
        <v>711191201</v>
      </c>
      <c r="F288" s="719" t="s">
        <v>411</v>
      </c>
      <c r="G288" s="719"/>
      <c r="H288" s="719"/>
      <c r="I288" s="719"/>
      <c r="J288" s="63" t="s">
        <v>63</v>
      </c>
      <c r="K288" s="347">
        <f>SUM(K289:K290)</f>
        <v>56.741999999999997</v>
      </c>
      <c r="L288" s="726"/>
      <c r="M288" s="726"/>
      <c r="N288" s="720">
        <f>ROUND(L288*K288,2)</f>
        <v>0</v>
      </c>
      <c r="O288" s="720"/>
      <c r="P288" s="720"/>
      <c r="Q288" s="720"/>
      <c r="R288" s="238"/>
      <c r="T288" s="45"/>
      <c r="V288" s="236"/>
      <c r="W288" s="236"/>
      <c r="X288" s="236"/>
      <c r="Y288" s="236"/>
      <c r="Z288" s="236"/>
      <c r="AA288" s="236"/>
      <c r="AB288" s="236"/>
    </row>
    <row r="289" spans="2:29" s="248" customFormat="1" outlineLevel="1">
      <c r="B289" s="247"/>
      <c r="E289" s="349" t="s">
        <v>756</v>
      </c>
      <c r="F289" s="717" t="s">
        <v>187</v>
      </c>
      <c r="G289" s="718"/>
      <c r="H289" s="718"/>
      <c r="I289" s="718"/>
      <c r="J289" s="64"/>
      <c r="K289" s="350">
        <f>K274</f>
        <v>50.61</v>
      </c>
      <c r="L289" s="196"/>
      <c r="M289" s="196"/>
      <c r="R289" s="249"/>
      <c r="T289" s="45"/>
      <c r="AC289" s="351"/>
    </row>
    <row r="290" spans="2:29" s="248" customFormat="1" outlineLevel="1">
      <c r="B290" s="247"/>
      <c r="E290" s="349" t="s">
        <v>755</v>
      </c>
      <c r="F290" s="717"/>
      <c r="G290" s="718"/>
      <c r="H290" s="718"/>
      <c r="I290" s="718"/>
      <c r="J290" s="64">
        <v>0.15</v>
      </c>
      <c r="K290" s="350">
        <f>K293*J290</f>
        <v>6.1320000000000006</v>
      </c>
      <c r="L290" s="196"/>
      <c r="M290" s="196"/>
      <c r="R290" s="249"/>
      <c r="T290" s="45"/>
      <c r="AC290" s="351"/>
    </row>
    <row r="291" spans="2:29" ht="24.75" customHeight="1" outlineLevel="1">
      <c r="B291" s="237"/>
      <c r="C291" s="383"/>
      <c r="D291" s="383" t="s">
        <v>65</v>
      </c>
      <c r="E291" s="384">
        <v>24551030</v>
      </c>
      <c r="F291" s="751" t="s">
        <v>754</v>
      </c>
      <c r="G291" s="751"/>
      <c r="H291" s="751"/>
      <c r="I291" s="751"/>
      <c r="J291" s="65" t="s">
        <v>412</v>
      </c>
      <c r="K291" s="385">
        <f>SUM(K292)</f>
        <v>192.9228</v>
      </c>
      <c r="L291" s="726"/>
      <c r="M291" s="726"/>
      <c r="N291" s="752">
        <f>ROUND(L291*K291,2)</f>
        <v>0</v>
      </c>
      <c r="O291" s="720"/>
      <c r="P291" s="720"/>
      <c r="Q291" s="720"/>
      <c r="R291" s="238"/>
      <c r="T291" s="139"/>
      <c r="V291" s="236"/>
      <c r="W291" s="236"/>
      <c r="X291" s="236"/>
      <c r="Y291" s="236"/>
      <c r="Z291" s="236"/>
      <c r="AA291" s="236"/>
      <c r="AB291" s="236"/>
    </row>
    <row r="292" spans="2:29" s="248" customFormat="1" outlineLevel="1">
      <c r="B292" s="247"/>
      <c r="E292" s="349" t="s">
        <v>700</v>
      </c>
      <c r="F292" s="717" t="s">
        <v>187</v>
      </c>
      <c r="G292" s="718"/>
      <c r="H292" s="718"/>
      <c r="I292" s="718"/>
      <c r="J292" s="64">
        <v>3.4</v>
      </c>
      <c r="K292" s="350">
        <f>(K288)*J292</f>
        <v>192.9228</v>
      </c>
      <c r="L292" s="196"/>
      <c r="M292" s="196"/>
      <c r="R292" s="249"/>
      <c r="T292" s="45"/>
      <c r="AC292" s="351"/>
    </row>
    <row r="293" spans="2:29" outlineLevel="1">
      <c r="B293" s="237"/>
      <c r="C293" s="345"/>
      <c r="D293" s="345" t="s">
        <v>62</v>
      </c>
      <c r="E293" s="346">
        <v>711199101</v>
      </c>
      <c r="F293" s="719" t="s">
        <v>697</v>
      </c>
      <c r="G293" s="719"/>
      <c r="H293" s="719"/>
      <c r="I293" s="719"/>
      <c r="J293" s="63" t="s">
        <v>68</v>
      </c>
      <c r="K293" s="347">
        <f>SUM(K294:K294)</f>
        <v>40.880000000000003</v>
      </c>
      <c r="L293" s="726"/>
      <c r="M293" s="726"/>
      <c r="N293" s="720">
        <f>ROUND(L293*K293,2)</f>
        <v>0</v>
      </c>
      <c r="O293" s="720"/>
      <c r="P293" s="720"/>
      <c r="Q293" s="720"/>
      <c r="R293" s="238"/>
      <c r="T293" s="45"/>
    </row>
    <row r="294" spans="2:29" s="248" customFormat="1" outlineLevel="1">
      <c r="B294" s="247"/>
      <c r="E294" s="349" t="s">
        <v>707</v>
      </c>
      <c r="F294" s="717" t="s">
        <v>2517</v>
      </c>
      <c r="G294" s="718">
        <f>(6.66+3.62+6.66+4.57+3.7+6.66+3.9+5.87+5.87+4.73+6.61+6.12+6.26+3.2+5.4+5.58+3.98+3.28)*2</f>
        <v>185.34000000000003</v>
      </c>
      <c r="H294" s="718">
        <f>(6.66+3.62+6.66+4.57+3.7+6.66+3.9+5.87+5.87+4.73+6.61+6.12+6.26+3.2+5.4+5.58+3.98+3.28)*2</f>
        <v>185.34000000000003</v>
      </c>
      <c r="I294" s="718">
        <f>(6.66+3.62+6.66+4.57+3.7+6.66+3.9+5.87+5.87+4.73+6.61+6.12+6.26+3.2+5.4+5.58+3.98+3.28)*2</f>
        <v>185.34000000000003</v>
      </c>
      <c r="J294" s="64"/>
      <c r="K294" s="350">
        <f>(5.4+5.58+6.26+3.2)*2</f>
        <v>40.880000000000003</v>
      </c>
      <c r="L294" s="196"/>
      <c r="M294" s="196"/>
      <c r="R294" s="249"/>
      <c r="T294" s="45"/>
      <c r="AC294" s="351"/>
    </row>
    <row r="295" spans="2:29" ht="11.25" customHeight="1" outlineLevel="1">
      <c r="B295" s="237"/>
      <c r="C295" s="383"/>
      <c r="D295" s="383" t="s">
        <v>65</v>
      </c>
      <c r="E295" s="384" t="s">
        <v>701</v>
      </c>
      <c r="F295" s="751" t="s">
        <v>702</v>
      </c>
      <c r="G295" s="751"/>
      <c r="H295" s="751"/>
      <c r="I295" s="751"/>
      <c r="J295" s="65" t="s">
        <v>68</v>
      </c>
      <c r="K295" s="385">
        <f>SUM(K296:K297)</f>
        <v>44.968000000000004</v>
      </c>
      <c r="L295" s="726"/>
      <c r="M295" s="726"/>
      <c r="N295" s="752">
        <f>ROUND(L295*K295,2)</f>
        <v>0</v>
      </c>
      <c r="O295" s="720"/>
      <c r="P295" s="720"/>
      <c r="Q295" s="720"/>
      <c r="R295" s="238"/>
      <c r="T295" s="45"/>
      <c r="V295" s="236"/>
      <c r="W295" s="236"/>
      <c r="X295" s="236"/>
      <c r="Y295" s="236"/>
      <c r="Z295" s="236"/>
      <c r="AA295" s="236"/>
      <c r="AB295" s="236"/>
    </row>
    <row r="296" spans="2:29" s="248" customFormat="1" outlineLevel="1">
      <c r="B296" s="247"/>
      <c r="E296" s="349" t="s">
        <v>707</v>
      </c>
      <c r="F296" s="717" t="s">
        <v>187</v>
      </c>
      <c r="G296" s="718"/>
      <c r="H296" s="718"/>
      <c r="I296" s="718"/>
      <c r="J296" s="64"/>
      <c r="K296" s="350">
        <f>K293</f>
        <v>40.880000000000003</v>
      </c>
      <c r="L296" s="196"/>
      <c r="M296" s="196"/>
      <c r="R296" s="249"/>
      <c r="T296" s="45"/>
      <c r="AC296" s="351"/>
    </row>
    <row r="297" spans="2:29" s="248" customFormat="1" ht="22.5" outlineLevel="1">
      <c r="B297" s="247"/>
      <c r="E297" s="349" t="s">
        <v>704</v>
      </c>
      <c r="F297" s="717"/>
      <c r="G297" s="718"/>
      <c r="H297" s="718"/>
      <c r="I297" s="718"/>
      <c r="J297" s="141">
        <v>0.1</v>
      </c>
      <c r="K297" s="350">
        <f>SUM(K296:K296)*J297</f>
        <v>4.0880000000000001</v>
      </c>
      <c r="L297" s="196"/>
      <c r="M297" s="196"/>
      <c r="R297" s="249"/>
      <c r="T297" s="45"/>
      <c r="AC297" s="351"/>
    </row>
    <row r="298" spans="2:29" s="374" customFormat="1" outlineLevel="1">
      <c r="B298" s="370"/>
      <c r="C298" s="371"/>
      <c r="D298" s="371" t="s">
        <v>395</v>
      </c>
      <c r="E298" s="753" t="s">
        <v>757</v>
      </c>
      <c r="F298" s="754"/>
      <c r="G298" s="754"/>
      <c r="H298" s="754"/>
      <c r="I298" s="755"/>
      <c r="J298" s="145"/>
      <c r="K298" s="372"/>
      <c r="L298" s="756"/>
      <c r="M298" s="756"/>
      <c r="N298" s="757"/>
      <c r="O298" s="757"/>
      <c r="P298" s="757"/>
      <c r="Q298" s="757"/>
      <c r="R298" s="373"/>
      <c r="T298" s="144"/>
      <c r="U298" s="375"/>
      <c r="V298" s="375"/>
      <c r="W298" s="375"/>
      <c r="X298" s="375"/>
      <c r="Y298" s="375"/>
      <c r="Z298" s="375"/>
      <c r="AA298" s="375"/>
      <c r="AB298" s="375"/>
      <c r="AC298" s="376"/>
    </row>
    <row r="299" spans="2:29" ht="27" customHeight="1" outlineLevel="1">
      <c r="B299" s="237"/>
      <c r="C299" s="345"/>
      <c r="D299" s="345" t="s">
        <v>62</v>
      </c>
      <c r="E299" s="346" t="s">
        <v>758</v>
      </c>
      <c r="F299" s="719" t="s">
        <v>759</v>
      </c>
      <c r="G299" s="719"/>
      <c r="H299" s="719"/>
      <c r="I299" s="719"/>
      <c r="J299" s="63" t="s">
        <v>68</v>
      </c>
      <c r="K299" s="347">
        <f>SUM(K300:K301)</f>
        <v>14</v>
      </c>
      <c r="L299" s="726"/>
      <c r="M299" s="726"/>
      <c r="N299" s="720">
        <f>ROUND(L299*K299,2)</f>
        <v>0</v>
      </c>
      <c r="O299" s="720"/>
      <c r="P299" s="720"/>
      <c r="Q299" s="720"/>
      <c r="R299" s="238"/>
      <c r="T299" s="45"/>
      <c r="V299" s="236"/>
      <c r="W299" s="236"/>
      <c r="X299" s="236"/>
      <c r="Y299" s="236"/>
      <c r="Z299" s="236"/>
      <c r="AA299" s="236"/>
      <c r="AB299" s="236"/>
    </row>
    <row r="300" spans="2:29" s="248" customFormat="1" outlineLevel="1">
      <c r="B300" s="247"/>
      <c r="E300" s="349" t="s">
        <v>760</v>
      </c>
      <c r="F300" s="717" t="s">
        <v>2518</v>
      </c>
      <c r="G300" s="718" t="e">
        <f>11*F300</f>
        <v>#VALUE!</v>
      </c>
      <c r="H300" s="718" t="e">
        <f>11*G300</f>
        <v>#VALUE!</v>
      </c>
      <c r="I300" s="718" t="e">
        <f>11*H300</f>
        <v>#VALUE!</v>
      </c>
      <c r="J300" s="64">
        <v>0.5</v>
      </c>
      <c r="K300" s="350">
        <f>1*J300</f>
        <v>0.5</v>
      </c>
      <c r="L300" s="196"/>
      <c r="M300" s="196"/>
      <c r="R300" s="249"/>
      <c r="T300" s="45"/>
      <c r="AC300" s="351"/>
    </row>
    <row r="301" spans="2:29" s="248" customFormat="1" ht="22.5" outlineLevel="1">
      <c r="B301" s="247"/>
      <c r="E301" s="349" t="s">
        <v>761</v>
      </c>
      <c r="F301" s="717" t="s">
        <v>2469</v>
      </c>
      <c r="G301" s="718"/>
      <c r="H301" s="718"/>
      <c r="I301" s="718"/>
      <c r="J301" s="64">
        <v>13.5</v>
      </c>
      <c r="K301" s="350">
        <f>1*J301</f>
        <v>13.5</v>
      </c>
      <c r="L301" s="196"/>
      <c r="M301" s="196"/>
      <c r="R301" s="249"/>
      <c r="T301" s="45"/>
      <c r="AC301" s="351"/>
    </row>
    <row r="302" spans="2:29" ht="11.25" customHeight="1" outlineLevel="1">
      <c r="B302" s="237"/>
      <c r="C302" s="345"/>
      <c r="D302" s="345" t="s">
        <v>62</v>
      </c>
      <c r="E302" s="346">
        <v>953735113</v>
      </c>
      <c r="F302" s="719" t="s">
        <v>762</v>
      </c>
      <c r="G302" s="719"/>
      <c r="H302" s="719"/>
      <c r="I302" s="719"/>
      <c r="J302" s="63" t="s">
        <v>68</v>
      </c>
      <c r="K302" s="347">
        <f>SUM(K303:K305)</f>
        <v>5.0999999999999996</v>
      </c>
      <c r="L302" s="726"/>
      <c r="M302" s="726"/>
      <c r="N302" s="720">
        <f>ROUND(L302*K302,2)</f>
        <v>0</v>
      </c>
      <c r="O302" s="720"/>
      <c r="P302" s="720"/>
      <c r="Q302" s="720"/>
      <c r="R302" s="238"/>
      <c r="T302" s="45"/>
    </row>
    <row r="303" spans="2:29" s="248" customFormat="1" outlineLevel="1">
      <c r="B303" s="247"/>
      <c r="E303" s="349" t="s">
        <v>763</v>
      </c>
      <c r="F303" s="717" t="s">
        <v>187</v>
      </c>
      <c r="G303" s="718">
        <f>G165</f>
        <v>0</v>
      </c>
      <c r="H303" s="718">
        <f>H165</f>
        <v>0</v>
      </c>
      <c r="I303" s="718">
        <f>I165</f>
        <v>0</v>
      </c>
      <c r="J303" s="64"/>
      <c r="K303" s="350">
        <f>K165</f>
        <v>3.6</v>
      </c>
      <c r="L303" s="196"/>
      <c r="M303" s="196"/>
      <c r="R303" s="249"/>
      <c r="T303" s="45"/>
      <c r="AC303" s="351"/>
    </row>
    <row r="304" spans="2:29" s="248" customFormat="1" outlineLevel="1">
      <c r="B304" s="247"/>
      <c r="E304" s="349" t="s">
        <v>764</v>
      </c>
      <c r="F304" s="717" t="s">
        <v>2470</v>
      </c>
      <c r="G304" s="718">
        <f>1*14+0.5*4+2+7+8</f>
        <v>33</v>
      </c>
      <c r="H304" s="718">
        <f>1*14+0.5*4+2+7+8</f>
        <v>33</v>
      </c>
      <c r="I304" s="718">
        <f>1*14+0.5*4+2+7+8</f>
        <v>33</v>
      </c>
      <c r="J304" s="64"/>
      <c r="K304" s="350">
        <f>0.5*1</f>
        <v>0.5</v>
      </c>
      <c r="L304" s="196"/>
      <c r="M304" s="196"/>
      <c r="R304" s="249"/>
      <c r="T304" s="45"/>
      <c r="AC304" s="351"/>
    </row>
    <row r="305" spans="2:29" s="248" customFormat="1" outlineLevel="1">
      <c r="B305" s="247"/>
      <c r="E305" s="349" t="s">
        <v>765</v>
      </c>
      <c r="F305" s="717" t="s">
        <v>2471</v>
      </c>
      <c r="G305" s="718">
        <f>1+2+3</f>
        <v>6</v>
      </c>
      <c r="H305" s="718">
        <f>1+2+3</f>
        <v>6</v>
      </c>
      <c r="I305" s="718">
        <f>1+2+3</f>
        <v>6</v>
      </c>
      <c r="J305" s="64"/>
      <c r="K305" s="350">
        <f>1</f>
        <v>1</v>
      </c>
      <c r="L305" s="196"/>
      <c r="M305" s="196"/>
      <c r="R305" s="249"/>
      <c r="T305" s="45"/>
      <c r="AC305" s="351"/>
    </row>
    <row r="306" spans="2:29" ht="11.25" customHeight="1" outlineLevel="1">
      <c r="B306" s="237"/>
      <c r="C306" s="345"/>
      <c r="D306" s="345" t="s">
        <v>62</v>
      </c>
      <c r="E306" s="346" t="s">
        <v>766</v>
      </c>
      <c r="F306" s="719" t="s">
        <v>767</v>
      </c>
      <c r="G306" s="719"/>
      <c r="H306" s="719"/>
      <c r="I306" s="719"/>
      <c r="J306" s="63" t="s">
        <v>67</v>
      </c>
      <c r="K306" s="347">
        <f>SUM(K307)</f>
        <v>1</v>
      </c>
      <c r="L306" s="726"/>
      <c r="M306" s="726"/>
      <c r="N306" s="720">
        <f>ROUND(L306*K306,2)</f>
        <v>0</v>
      </c>
      <c r="O306" s="720"/>
      <c r="P306" s="720"/>
      <c r="Q306" s="720"/>
      <c r="R306" s="238"/>
      <c r="T306" s="45"/>
    </row>
    <row r="307" spans="2:29" s="248" customFormat="1" outlineLevel="1">
      <c r="B307" s="247"/>
      <c r="E307" s="349" t="s">
        <v>768</v>
      </c>
      <c r="F307" s="717" t="s">
        <v>2471</v>
      </c>
      <c r="G307" s="718"/>
      <c r="H307" s="718"/>
      <c r="I307" s="718"/>
      <c r="J307" s="64"/>
      <c r="K307" s="350">
        <v>1</v>
      </c>
      <c r="L307" s="196"/>
      <c r="M307" s="196"/>
      <c r="R307" s="249"/>
      <c r="T307" s="45"/>
      <c r="AC307" s="351"/>
    </row>
    <row r="308" spans="2:29" ht="11.25" customHeight="1" outlineLevel="1">
      <c r="B308" s="237"/>
      <c r="C308" s="383"/>
      <c r="D308" s="383" t="s">
        <v>69</v>
      </c>
      <c r="E308" s="384" t="s">
        <v>771</v>
      </c>
      <c r="F308" s="751" t="s">
        <v>2294</v>
      </c>
      <c r="G308" s="751"/>
      <c r="H308" s="751"/>
      <c r="I308" s="751"/>
      <c r="J308" s="65" t="s">
        <v>67</v>
      </c>
      <c r="K308" s="385">
        <f>K306</f>
        <v>1</v>
      </c>
      <c r="L308" s="726"/>
      <c r="M308" s="726"/>
      <c r="N308" s="752">
        <f>ROUND(L308*K308,2)</f>
        <v>0</v>
      </c>
      <c r="O308" s="720"/>
      <c r="P308" s="720"/>
      <c r="Q308" s="720"/>
      <c r="R308" s="238"/>
      <c r="T308" s="45"/>
      <c r="V308" s="236"/>
      <c r="W308" s="236"/>
      <c r="X308" s="236"/>
      <c r="Y308" s="236"/>
      <c r="Z308" s="236"/>
      <c r="AA308" s="236"/>
      <c r="AB308" s="236"/>
    </row>
    <row r="309" spans="2:29" ht="11.25" customHeight="1" outlineLevel="1">
      <c r="B309" s="237"/>
      <c r="C309" s="345"/>
      <c r="D309" s="345" t="s">
        <v>62</v>
      </c>
      <c r="E309" s="346">
        <v>953731311</v>
      </c>
      <c r="F309" s="719" t="s">
        <v>769</v>
      </c>
      <c r="G309" s="719"/>
      <c r="H309" s="719"/>
      <c r="I309" s="719"/>
      <c r="J309" s="63" t="s">
        <v>67</v>
      </c>
      <c r="K309" s="347">
        <v>1</v>
      </c>
      <c r="L309" s="726"/>
      <c r="M309" s="726"/>
      <c r="N309" s="720">
        <f>ROUND(L309*K309,2)</f>
        <v>0</v>
      </c>
      <c r="O309" s="720"/>
      <c r="P309" s="720"/>
      <c r="Q309" s="720"/>
      <c r="R309" s="238"/>
      <c r="T309" s="45"/>
    </row>
    <row r="310" spans="2:29" ht="11.25" customHeight="1" outlineLevel="1">
      <c r="B310" s="237"/>
      <c r="C310" s="383"/>
      <c r="D310" s="383" t="s">
        <v>69</v>
      </c>
      <c r="E310" s="384" t="s">
        <v>770</v>
      </c>
      <c r="F310" s="751" t="s">
        <v>2295</v>
      </c>
      <c r="G310" s="751"/>
      <c r="H310" s="751"/>
      <c r="I310" s="751"/>
      <c r="J310" s="65" t="s">
        <v>67</v>
      </c>
      <c r="K310" s="385">
        <f>K309</f>
        <v>1</v>
      </c>
      <c r="L310" s="726"/>
      <c r="M310" s="726"/>
      <c r="N310" s="752">
        <f>ROUND(L310*K310,2)</f>
        <v>0</v>
      </c>
      <c r="O310" s="720"/>
      <c r="P310" s="720"/>
      <c r="Q310" s="720"/>
      <c r="R310" s="238"/>
      <c r="T310" s="45"/>
      <c r="V310" s="236"/>
      <c r="W310" s="236"/>
      <c r="X310" s="236"/>
      <c r="Y310" s="236"/>
      <c r="Z310" s="236"/>
      <c r="AA310" s="236"/>
      <c r="AB310" s="236"/>
    </row>
    <row r="311" spans="2:29" s="341" customFormat="1" ht="12.75">
      <c r="B311" s="340"/>
      <c r="C311" s="344"/>
      <c r="D311" s="344" t="s">
        <v>377</v>
      </c>
      <c r="E311" s="344"/>
      <c r="F311" s="344"/>
      <c r="G311" s="344"/>
      <c r="H311" s="344"/>
      <c r="I311" s="344"/>
      <c r="J311" s="61"/>
      <c r="K311" s="344"/>
      <c r="L311" s="72"/>
      <c r="M311" s="72"/>
      <c r="N311" s="734">
        <f>SUM(N312:Q316)</f>
        <v>0</v>
      </c>
      <c r="O311" s="734"/>
      <c r="P311" s="734"/>
      <c r="Q311" s="734"/>
      <c r="R311" s="342"/>
      <c r="T311" s="45">
        <f>SUM(N311:Q316)/2</f>
        <v>0</v>
      </c>
      <c r="U311" s="248"/>
      <c r="V311" s="248">
        <v>2</v>
      </c>
      <c r="W311" s="248">
        <f>SUM(W157:W170)</f>
        <v>4.1032450000000011</v>
      </c>
      <c r="X311" s="248">
        <f>W311*V311</f>
        <v>8.2064900000000023</v>
      </c>
      <c r="Y311" s="248"/>
      <c r="Z311" s="248"/>
      <c r="AA311" s="248"/>
      <c r="AB311" s="248"/>
      <c r="AC311" s="343"/>
    </row>
    <row r="312" spans="2:29" outlineLevel="1">
      <c r="B312" s="237"/>
      <c r="C312" s="345"/>
      <c r="D312" s="345" t="s">
        <v>62</v>
      </c>
      <c r="E312" s="346">
        <v>997013213</v>
      </c>
      <c r="F312" s="719" t="s">
        <v>383</v>
      </c>
      <c r="G312" s="719"/>
      <c r="H312" s="719"/>
      <c r="I312" s="719"/>
      <c r="J312" s="63" t="s">
        <v>66</v>
      </c>
      <c r="K312" s="347">
        <f>SUM(K316:K316)</f>
        <v>8.2064900000000023</v>
      </c>
      <c r="L312" s="726"/>
      <c r="M312" s="726"/>
      <c r="N312" s="720">
        <f>ROUND(L312*K312,2)</f>
        <v>0</v>
      </c>
      <c r="O312" s="720"/>
      <c r="P312" s="720"/>
      <c r="Q312" s="720"/>
      <c r="R312" s="238"/>
      <c r="T312" s="45"/>
    </row>
    <row r="313" spans="2:29" outlineLevel="1">
      <c r="B313" s="237"/>
      <c r="C313" s="345"/>
      <c r="D313" s="345" t="s">
        <v>62</v>
      </c>
      <c r="E313" s="346">
        <v>997013501</v>
      </c>
      <c r="F313" s="719" t="s">
        <v>384</v>
      </c>
      <c r="G313" s="719"/>
      <c r="H313" s="719"/>
      <c r="I313" s="719"/>
      <c r="J313" s="63" t="s">
        <v>66</v>
      </c>
      <c r="K313" s="347">
        <f>K312</f>
        <v>8.2064900000000023</v>
      </c>
      <c r="L313" s="726"/>
      <c r="M313" s="726"/>
      <c r="N313" s="720">
        <f>ROUND(L313*K313,2)</f>
        <v>0</v>
      </c>
      <c r="O313" s="720"/>
      <c r="P313" s="720"/>
      <c r="Q313" s="720"/>
      <c r="R313" s="238"/>
      <c r="T313" s="45"/>
    </row>
    <row r="314" spans="2:29" outlineLevel="1">
      <c r="B314" s="237"/>
      <c r="C314" s="345"/>
      <c r="D314" s="345" t="s">
        <v>62</v>
      </c>
      <c r="E314" s="346">
        <v>997013509</v>
      </c>
      <c r="F314" s="719" t="s">
        <v>385</v>
      </c>
      <c r="G314" s="719"/>
      <c r="H314" s="719"/>
      <c r="I314" s="719"/>
      <c r="J314" s="63" t="s">
        <v>66</v>
      </c>
      <c r="K314" s="347">
        <f>K315</f>
        <v>155.92331000000004</v>
      </c>
      <c r="L314" s="726"/>
      <c r="M314" s="726"/>
      <c r="N314" s="720">
        <f>ROUND(L314*K314,2)</f>
        <v>0</v>
      </c>
      <c r="O314" s="720"/>
      <c r="P314" s="720"/>
      <c r="Q314" s="720"/>
      <c r="R314" s="238"/>
      <c r="T314" s="45"/>
    </row>
    <row r="315" spans="2:29" s="248" customFormat="1" ht="11.25" customHeight="1" outlineLevel="1">
      <c r="B315" s="247"/>
      <c r="E315" s="349" t="s">
        <v>0</v>
      </c>
      <c r="F315" s="717" t="s">
        <v>2272</v>
      </c>
      <c r="G315" s="718"/>
      <c r="H315" s="718"/>
      <c r="I315" s="718"/>
      <c r="J315" s="64">
        <v>19</v>
      </c>
      <c r="K315" s="350">
        <f>K313*J315</f>
        <v>155.92331000000004</v>
      </c>
      <c r="L315" s="196"/>
      <c r="M315" s="196"/>
      <c r="R315" s="249"/>
      <c r="T315" s="45"/>
      <c r="AC315" s="351"/>
    </row>
    <row r="316" spans="2:29" ht="27" customHeight="1" outlineLevel="1">
      <c r="B316" s="237"/>
      <c r="C316" s="345"/>
      <c r="D316" s="345" t="s">
        <v>62</v>
      </c>
      <c r="E316" s="346">
        <v>997013871</v>
      </c>
      <c r="F316" s="719" t="s">
        <v>381</v>
      </c>
      <c r="G316" s="719"/>
      <c r="H316" s="719"/>
      <c r="I316" s="719"/>
      <c r="J316" s="63" t="s">
        <v>66</v>
      </c>
      <c r="K316" s="347">
        <f>X311</f>
        <v>8.2064900000000023</v>
      </c>
      <c r="L316" s="726"/>
      <c r="M316" s="726"/>
      <c r="N316" s="720">
        <f>ROUND(L316*K316,2)</f>
        <v>0</v>
      </c>
      <c r="O316" s="720"/>
      <c r="P316" s="720"/>
      <c r="Q316" s="720"/>
      <c r="R316" s="238"/>
      <c r="T316" s="45"/>
    </row>
    <row r="317" spans="2:29" ht="15.75">
      <c r="B317" s="237"/>
      <c r="C317" s="285"/>
      <c r="J317" s="47"/>
      <c r="L317" s="367"/>
      <c r="M317" s="367"/>
      <c r="N317" s="746"/>
      <c r="O317" s="747"/>
      <c r="P317" s="747"/>
      <c r="Q317" s="747"/>
      <c r="R317" s="238"/>
    </row>
    <row r="318" spans="2:29" ht="15.75">
      <c r="B318" s="237"/>
      <c r="C318" s="285" t="s">
        <v>2453</v>
      </c>
      <c r="J318" s="47"/>
      <c r="L318" s="367"/>
      <c r="M318" s="367"/>
      <c r="N318" s="681">
        <f>N319</f>
        <v>0</v>
      </c>
      <c r="O318" s="745"/>
      <c r="P318" s="745"/>
      <c r="Q318" s="745"/>
      <c r="R318" s="238"/>
      <c r="T318" s="42">
        <f>SUM(N318:Q596)/4</f>
        <v>0</v>
      </c>
    </row>
    <row r="319" spans="2:29" s="341" customFormat="1" ht="15">
      <c r="B319" s="340"/>
      <c r="D319" s="323" t="s">
        <v>43</v>
      </c>
      <c r="E319" s="323"/>
      <c r="F319" s="323"/>
      <c r="G319" s="323"/>
      <c r="H319" s="323"/>
      <c r="I319" s="323"/>
      <c r="J319" s="60"/>
      <c r="K319" s="323"/>
      <c r="L319" s="73"/>
      <c r="M319" s="73"/>
      <c r="N319" s="730">
        <f>N320+N342+N346+N364+N392+N590</f>
        <v>0</v>
      </c>
      <c r="O319" s="730"/>
      <c r="P319" s="730"/>
      <c r="Q319" s="730"/>
      <c r="R319" s="342"/>
      <c r="T319" s="45">
        <f>SUM(N319:Q595)/3</f>
        <v>0</v>
      </c>
      <c r="U319" s="248"/>
      <c r="V319" s="248"/>
      <c r="W319" s="248"/>
      <c r="X319" s="248"/>
      <c r="Y319" s="248"/>
      <c r="Z319" s="248"/>
      <c r="AA319" s="248"/>
      <c r="AB319" s="248"/>
      <c r="AC319" s="343"/>
    </row>
    <row r="320" spans="2:29" s="341" customFormat="1" ht="12.75">
      <c r="B320" s="340"/>
      <c r="C320" s="344"/>
      <c r="D320" s="344" t="s">
        <v>44</v>
      </c>
      <c r="E320" s="344"/>
      <c r="F320" s="344"/>
      <c r="G320" s="344"/>
      <c r="H320" s="344"/>
      <c r="I320" s="344"/>
      <c r="J320" s="61"/>
      <c r="K320" s="344"/>
      <c r="L320" s="72"/>
      <c r="M320" s="72"/>
      <c r="N320" s="734">
        <f>SUM(N321:Q341)</f>
        <v>0</v>
      </c>
      <c r="O320" s="734"/>
      <c r="P320" s="734"/>
      <c r="Q320" s="734"/>
      <c r="R320" s="342"/>
      <c r="T320" s="62">
        <f>SUM(N320:Q341)/2</f>
        <v>0</v>
      </c>
      <c r="U320" s="352"/>
      <c r="V320" s="369"/>
      <c r="W320" s="369"/>
      <c r="X320" s="369"/>
      <c r="Y320" s="369"/>
      <c r="AC320" s="343"/>
    </row>
    <row r="321" spans="2:29" s="358" customFormat="1" ht="27" customHeight="1" outlineLevel="1">
      <c r="B321" s="353"/>
      <c r="C321" s="354"/>
      <c r="D321" s="354" t="s">
        <v>62</v>
      </c>
      <c r="E321" s="355">
        <v>132212132</v>
      </c>
      <c r="F321" s="727" t="s">
        <v>345</v>
      </c>
      <c r="G321" s="727"/>
      <c r="H321" s="727"/>
      <c r="I321" s="727"/>
      <c r="J321" s="215" t="s">
        <v>64</v>
      </c>
      <c r="K321" s="356">
        <f>SUM(K322:K326)</f>
        <v>35.701999999999998</v>
      </c>
      <c r="L321" s="728"/>
      <c r="M321" s="728"/>
      <c r="N321" s="729">
        <f>ROUND(L321*K321,2)</f>
        <v>0</v>
      </c>
      <c r="O321" s="729"/>
      <c r="P321" s="729"/>
      <c r="Q321" s="729"/>
      <c r="R321" s="357"/>
      <c r="T321" s="216"/>
      <c r="U321" s="359"/>
      <c r="V321" s="360"/>
      <c r="AC321" s="361"/>
    </row>
    <row r="322" spans="2:29" s="248" customFormat="1" outlineLevel="1">
      <c r="B322" s="247"/>
      <c r="E322" s="349" t="s">
        <v>344</v>
      </c>
      <c r="F322" s="717" t="s">
        <v>823</v>
      </c>
      <c r="G322" s="718" t="e">
        <f>(33.8+20.9)*0.7*F322</f>
        <v>#VALUE!</v>
      </c>
      <c r="H322" s="718" t="e">
        <f>(33.8+20.9)*0.7*G322</f>
        <v>#VALUE!</v>
      </c>
      <c r="I322" s="718" t="e">
        <f>(33.8+20.9)*0.7*H322</f>
        <v>#VALUE!</v>
      </c>
      <c r="J322" s="64">
        <v>0.4</v>
      </c>
      <c r="K322" s="350">
        <f>(33.8+20.9)*0.7*J322</f>
        <v>15.315999999999997</v>
      </c>
      <c r="L322" s="196"/>
      <c r="M322" s="196"/>
      <c r="R322" s="249"/>
      <c r="T322" s="45"/>
      <c r="AC322" s="351"/>
    </row>
    <row r="323" spans="2:29" s="248" customFormat="1" outlineLevel="1">
      <c r="B323" s="247"/>
      <c r="E323" s="349" t="s">
        <v>344</v>
      </c>
      <c r="F323" s="717" t="s">
        <v>824</v>
      </c>
      <c r="G323" s="718" t="e">
        <f>(9.6+3.6)*0.7*F323</f>
        <v>#VALUE!</v>
      </c>
      <c r="H323" s="718" t="e">
        <f>(9.6+3.6)*0.7*G323</f>
        <v>#VALUE!</v>
      </c>
      <c r="I323" s="718" t="e">
        <f>(9.6+3.6)*0.7*H323</f>
        <v>#VALUE!</v>
      </c>
      <c r="J323" s="64">
        <v>0.6</v>
      </c>
      <c r="K323" s="350">
        <f>(9.6+3.6)*0.7*J323</f>
        <v>5.5439999999999987</v>
      </c>
      <c r="L323" s="196"/>
      <c r="M323" s="196"/>
      <c r="R323" s="249"/>
      <c r="T323" s="45"/>
      <c r="AC323" s="351"/>
    </row>
    <row r="324" spans="2:29" s="248" customFormat="1" outlineLevel="1">
      <c r="B324" s="247"/>
      <c r="E324" s="349" t="s">
        <v>344</v>
      </c>
      <c r="F324" s="717" t="s">
        <v>825</v>
      </c>
      <c r="G324" s="718" t="e">
        <f>(13.8+7.9)*0.7*F324</f>
        <v>#VALUE!</v>
      </c>
      <c r="H324" s="718" t="e">
        <f>(13.8+7.9)*0.7*G324</f>
        <v>#VALUE!</v>
      </c>
      <c r="I324" s="718" t="e">
        <f>(13.8+7.9)*0.7*H324</f>
        <v>#VALUE!</v>
      </c>
      <c r="J324" s="64">
        <f>(1.1+2)/2</f>
        <v>1.55</v>
      </c>
      <c r="K324" s="350">
        <f>(13.8+7.9)*0.7*J324</f>
        <v>23.544500000000003</v>
      </c>
      <c r="L324" s="196"/>
      <c r="M324" s="196"/>
      <c r="R324" s="249"/>
      <c r="T324" s="45"/>
      <c r="AC324" s="351"/>
    </row>
    <row r="325" spans="2:29" s="248" customFormat="1" outlineLevel="1">
      <c r="B325" s="247"/>
      <c r="E325" s="349" t="s">
        <v>667</v>
      </c>
      <c r="F325" s="717" t="s">
        <v>826</v>
      </c>
      <c r="G325" s="718" t="e">
        <f>17.4*F325</f>
        <v>#VALUE!</v>
      </c>
      <c r="H325" s="718" t="e">
        <f>17.4*G325</f>
        <v>#VALUE!</v>
      </c>
      <c r="I325" s="718" t="e">
        <f>17.4*H325</f>
        <v>#VALUE!</v>
      </c>
      <c r="J325" s="64">
        <f>0.3*0.4</f>
        <v>0.12</v>
      </c>
      <c r="K325" s="350">
        <f>17.4*J325</f>
        <v>2.0879999999999996</v>
      </c>
      <c r="L325" s="196"/>
      <c r="M325" s="196"/>
      <c r="R325" s="249"/>
      <c r="T325" s="45"/>
      <c r="AC325" s="351"/>
    </row>
    <row r="326" spans="2:29" s="333" customFormat="1" outlineLevel="1">
      <c r="B326" s="362"/>
      <c r="E326" s="363" t="s">
        <v>2520</v>
      </c>
      <c r="F326" s="715" t="s">
        <v>2456</v>
      </c>
      <c r="G326" s="716">
        <f>(1.4+1.5)*2*(0.25*0.6)*12+0.35*0.45*2.3</f>
        <v>10.802249999999999</v>
      </c>
      <c r="H326" s="716">
        <f>(1.4+1.5)*2*(0.25*0.6)*12+0.35*0.45*2.3</f>
        <v>10.802249999999999</v>
      </c>
      <c r="I326" s="716">
        <f>(1.4+1.5)*2*(0.25*0.6)*12+0.35*0.45*2.3</f>
        <v>10.802249999999999</v>
      </c>
      <c r="J326" s="209">
        <v>-1</v>
      </c>
      <c r="K326" s="364">
        <f>K126*J326</f>
        <v>-10.790500000000002</v>
      </c>
      <c r="L326" s="210"/>
      <c r="M326" s="210"/>
      <c r="R326" s="365"/>
      <c r="T326" s="211"/>
      <c r="AC326" s="366"/>
    </row>
    <row r="327" spans="2:29" s="358" customFormat="1" outlineLevel="1">
      <c r="B327" s="353"/>
      <c r="C327" s="354"/>
      <c r="D327" s="354" t="s">
        <v>62</v>
      </c>
      <c r="E327" s="355" t="s">
        <v>368</v>
      </c>
      <c r="F327" s="727" t="s">
        <v>369</v>
      </c>
      <c r="G327" s="727"/>
      <c r="H327" s="727"/>
      <c r="I327" s="727"/>
      <c r="J327" s="215" t="s">
        <v>64</v>
      </c>
      <c r="K327" s="356">
        <f>SUM(K328:K330)</f>
        <v>77.45920000000001</v>
      </c>
      <c r="L327" s="728"/>
      <c r="M327" s="728"/>
      <c r="N327" s="729">
        <f>ROUND(L327*K327,2)</f>
        <v>0</v>
      </c>
      <c r="O327" s="729"/>
      <c r="P327" s="729"/>
      <c r="Q327" s="729"/>
      <c r="R327" s="357"/>
      <c r="T327" s="216"/>
      <c r="U327" s="359"/>
      <c r="V327" s="360"/>
      <c r="W327" s="359"/>
      <c r="X327" s="359"/>
      <c r="Y327" s="359"/>
      <c r="Z327" s="359"/>
      <c r="AA327" s="360"/>
      <c r="AB327" s="359"/>
      <c r="AC327" s="361"/>
    </row>
    <row r="328" spans="2:29" s="248" customFormat="1" outlineLevel="1">
      <c r="B328" s="247"/>
      <c r="E328" s="349" t="s">
        <v>604</v>
      </c>
      <c r="F328" s="717" t="s">
        <v>2496</v>
      </c>
      <c r="G328" s="718" t="e">
        <f>(22.76+27.72+40.52)*(F328-F319)+(20+15.1+30.61+4.95+2.28)*(F328-F320)</f>
        <v>#VALUE!</v>
      </c>
      <c r="H328" s="718" t="e">
        <f>(22.76+27.72+40.52)*(G328-G319)+(20+15.1+30.61+4.95+2.28)*(G328-G320)</f>
        <v>#VALUE!</v>
      </c>
      <c r="I328" s="718" t="e">
        <f>(22.76+27.72+40.52)*(H328-H319)+(20+15.1+30.61+4.95+2.28)*(H328-H320)</f>
        <v>#VALUE!</v>
      </c>
      <c r="J328" s="64">
        <v>0.65</v>
      </c>
      <c r="K328" s="350">
        <f>(22.76+27.72+40.52)*(J328-J319)+(20+15.1+30.61+4.95+2.28)*(J328-J320)</f>
        <v>106.56100000000001</v>
      </c>
      <c r="L328" s="196"/>
      <c r="M328" s="196"/>
      <c r="R328" s="249"/>
      <c r="T328" s="45"/>
      <c r="AC328" s="351"/>
    </row>
    <row r="329" spans="2:29" s="248" customFormat="1" outlineLevel="1">
      <c r="B329" s="247"/>
      <c r="E329" s="349" t="s">
        <v>605</v>
      </c>
      <c r="F329" s="717" t="s">
        <v>800</v>
      </c>
      <c r="G329" s="718" t="e">
        <f>(6.86+11.21)*F329</f>
        <v>#VALUE!</v>
      </c>
      <c r="H329" s="718" t="e">
        <f>(6.86+11.21)*G329</f>
        <v>#VALUE!</v>
      </c>
      <c r="I329" s="718" t="e">
        <f>(6.86+11.21)*H329</f>
        <v>#VALUE!</v>
      </c>
      <c r="J329" s="64">
        <v>0.21</v>
      </c>
      <c r="K329" s="350">
        <f>(6.86+11.21)*J329</f>
        <v>3.7946999999999997</v>
      </c>
      <c r="L329" s="196"/>
      <c r="M329" s="196"/>
      <c r="R329" s="249"/>
      <c r="T329" s="45"/>
      <c r="AC329" s="351"/>
    </row>
    <row r="330" spans="2:29" s="333" customFormat="1" outlineLevel="1">
      <c r="B330" s="362"/>
      <c r="E330" s="363" t="s">
        <v>2520</v>
      </c>
      <c r="F330" s="715" t="s">
        <v>2456</v>
      </c>
      <c r="G330" s="716">
        <f>(1.4+1.5)*2*(0.25*0.6)*12+0.35*0.45*2.3</f>
        <v>10.802249999999999</v>
      </c>
      <c r="H330" s="716">
        <f>(1.4+1.5)*2*(0.25*0.6)*12+0.35*0.45*2.3</f>
        <v>10.802249999999999</v>
      </c>
      <c r="I330" s="716">
        <f>(1.4+1.5)*2*(0.25*0.6)*12+0.35*0.45*2.3</f>
        <v>10.802249999999999</v>
      </c>
      <c r="J330" s="209">
        <v>-1</v>
      </c>
      <c r="K330" s="364">
        <f>K129*J330</f>
        <v>-32.896500000000003</v>
      </c>
      <c r="L330" s="210"/>
      <c r="M330" s="210"/>
      <c r="R330" s="365"/>
      <c r="T330" s="211"/>
      <c r="AC330" s="366"/>
    </row>
    <row r="331" spans="2:29" ht="27" customHeight="1" outlineLevel="1">
      <c r="B331" s="237"/>
      <c r="C331" s="345"/>
      <c r="D331" s="345" t="s">
        <v>62</v>
      </c>
      <c r="E331" s="346">
        <v>162751117</v>
      </c>
      <c r="F331" s="719" t="s">
        <v>189</v>
      </c>
      <c r="G331" s="719"/>
      <c r="H331" s="719"/>
      <c r="I331" s="719"/>
      <c r="J331" s="63" t="s">
        <v>64</v>
      </c>
      <c r="K331" s="347">
        <f>SUM(K332:K332)</f>
        <v>111.07320000000001</v>
      </c>
      <c r="L331" s="726"/>
      <c r="M331" s="726"/>
      <c r="N331" s="720">
        <f>ROUND(L331*K331,2)</f>
        <v>0</v>
      </c>
      <c r="O331" s="720"/>
      <c r="P331" s="720"/>
      <c r="Q331" s="720"/>
      <c r="R331" s="238"/>
      <c r="T331" s="45"/>
      <c r="V331" s="236"/>
      <c r="W331" s="236"/>
      <c r="X331" s="236"/>
      <c r="Y331" s="236"/>
      <c r="Z331" s="236"/>
      <c r="AA331" s="236"/>
      <c r="AB331" s="236"/>
    </row>
    <row r="332" spans="2:29" s="248" customFormat="1" ht="22.5" outlineLevel="1">
      <c r="B332" s="247"/>
      <c r="E332" s="349" t="s">
        <v>204</v>
      </c>
      <c r="F332" s="717" t="s">
        <v>187</v>
      </c>
      <c r="G332" s="718"/>
      <c r="H332" s="718"/>
      <c r="I332" s="718"/>
      <c r="J332" s="64"/>
      <c r="K332" s="350">
        <f>K321+K327-K340</f>
        <v>111.07320000000001</v>
      </c>
      <c r="L332" s="196"/>
      <c r="M332" s="196"/>
      <c r="R332" s="249"/>
      <c r="T332" s="45"/>
      <c r="AC332" s="351"/>
    </row>
    <row r="333" spans="2:29" ht="27" customHeight="1" outlineLevel="1">
      <c r="B333" s="237"/>
      <c r="C333" s="345"/>
      <c r="D333" s="345" t="s">
        <v>62</v>
      </c>
      <c r="E333" s="346">
        <v>162751119</v>
      </c>
      <c r="F333" s="719" t="s">
        <v>195</v>
      </c>
      <c r="G333" s="719"/>
      <c r="H333" s="719"/>
      <c r="I333" s="719"/>
      <c r="J333" s="63" t="s">
        <v>64</v>
      </c>
      <c r="K333" s="347">
        <f>SUM(K334:K334)</f>
        <v>1110.7320000000002</v>
      </c>
      <c r="L333" s="726"/>
      <c r="M333" s="726"/>
      <c r="N333" s="720">
        <f>ROUND(L333*K333,2)</f>
        <v>0</v>
      </c>
      <c r="O333" s="720"/>
      <c r="P333" s="720"/>
      <c r="Q333" s="720"/>
      <c r="R333" s="238"/>
      <c r="T333" s="45"/>
      <c r="V333" s="236"/>
      <c r="W333" s="236"/>
      <c r="X333" s="236"/>
      <c r="Y333" s="236"/>
      <c r="Z333" s="236"/>
      <c r="AA333" s="236"/>
      <c r="AB333" s="236"/>
    </row>
    <row r="334" spans="2:29" s="248" customFormat="1" outlineLevel="1">
      <c r="B334" s="247"/>
      <c r="E334" s="349"/>
      <c r="F334" s="717" t="s">
        <v>2273</v>
      </c>
      <c r="G334" s="718"/>
      <c r="H334" s="718"/>
      <c r="I334" s="718"/>
      <c r="J334" s="64">
        <v>10</v>
      </c>
      <c r="K334" s="350">
        <f>K331*J334</f>
        <v>1110.7320000000002</v>
      </c>
      <c r="L334" s="196"/>
      <c r="M334" s="196"/>
      <c r="R334" s="249"/>
      <c r="T334" s="45"/>
      <c r="AC334" s="351"/>
    </row>
    <row r="335" spans="2:29" outlineLevel="1">
      <c r="B335" s="237"/>
      <c r="C335" s="345"/>
      <c r="D335" s="345" t="s">
        <v>62</v>
      </c>
      <c r="E335" s="346">
        <v>167151111</v>
      </c>
      <c r="F335" s="719" t="s">
        <v>194</v>
      </c>
      <c r="G335" s="719"/>
      <c r="H335" s="719"/>
      <c r="I335" s="719"/>
      <c r="J335" s="63" t="s">
        <v>64</v>
      </c>
      <c r="K335" s="347">
        <f>SUM(K336:K336)</f>
        <v>111.07320000000001</v>
      </c>
      <c r="L335" s="726"/>
      <c r="M335" s="726"/>
      <c r="N335" s="720">
        <f>ROUND(L335*K335,2)</f>
        <v>0</v>
      </c>
      <c r="O335" s="720"/>
      <c r="P335" s="720"/>
      <c r="Q335" s="720"/>
      <c r="R335" s="238"/>
      <c r="T335" s="45"/>
      <c r="V335" s="236"/>
      <c r="W335" s="236"/>
      <c r="X335" s="236"/>
      <c r="Y335" s="236"/>
      <c r="Z335" s="236"/>
      <c r="AA335" s="236"/>
      <c r="AB335" s="236"/>
    </row>
    <row r="336" spans="2:29" s="248" customFormat="1" ht="22.5" outlineLevel="1">
      <c r="B336" s="247"/>
      <c r="E336" s="349" t="s">
        <v>188</v>
      </c>
      <c r="F336" s="717" t="s">
        <v>237</v>
      </c>
      <c r="G336" s="718"/>
      <c r="H336" s="718"/>
      <c r="I336" s="718"/>
      <c r="J336" s="64"/>
      <c r="K336" s="350">
        <f>K331</f>
        <v>111.07320000000001</v>
      </c>
      <c r="L336" s="196"/>
      <c r="M336" s="196"/>
      <c r="R336" s="249"/>
      <c r="T336" s="45"/>
      <c r="AC336" s="351"/>
    </row>
    <row r="337" spans="2:29" outlineLevel="1">
      <c r="B337" s="237"/>
      <c r="C337" s="345"/>
      <c r="D337" s="345" t="s">
        <v>62</v>
      </c>
      <c r="E337" s="346">
        <v>171251201</v>
      </c>
      <c r="F337" s="719" t="s">
        <v>109</v>
      </c>
      <c r="G337" s="719"/>
      <c r="H337" s="719"/>
      <c r="I337" s="719"/>
      <c r="J337" s="63" t="s">
        <v>64</v>
      </c>
      <c r="K337" s="347">
        <f>K335</f>
        <v>111.07320000000001</v>
      </c>
      <c r="L337" s="726"/>
      <c r="M337" s="726"/>
      <c r="N337" s="720">
        <f>ROUND(L337*K337,2)</f>
        <v>0</v>
      </c>
      <c r="O337" s="720"/>
      <c r="P337" s="720"/>
      <c r="Q337" s="720"/>
      <c r="R337" s="238"/>
      <c r="T337" s="45"/>
      <c r="V337" s="236"/>
      <c r="W337" s="236"/>
      <c r="X337" s="236"/>
      <c r="Y337" s="236"/>
      <c r="Z337" s="236"/>
      <c r="AA337" s="236"/>
      <c r="AB337" s="236"/>
    </row>
    <row r="338" spans="2:29" ht="27" customHeight="1" outlineLevel="1">
      <c r="B338" s="237"/>
      <c r="C338" s="345"/>
      <c r="D338" s="345" t="s">
        <v>62</v>
      </c>
      <c r="E338" s="346">
        <v>171201231</v>
      </c>
      <c r="F338" s="719" t="s">
        <v>193</v>
      </c>
      <c r="G338" s="719"/>
      <c r="H338" s="719"/>
      <c r="I338" s="719"/>
      <c r="J338" s="63" t="s">
        <v>66</v>
      </c>
      <c r="K338" s="347">
        <f>SUM(K339:K339)</f>
        <v>177.71712000000002</v>
      </c>
      <c r="L338" s="726"/>
      <c r="M338" s="726"/>
      <c r="N338" s="720">
        <f>ROUND(L338*K338,2)</f>
        <v>0</v>
      </c>
      <c r="O338" s="720"/>
      <c r="P338" s="720"/>
      <c r="Q338" s="720"/>
      <c r="R338" s="238"/>
      <c r="T338" s="45"/>
      <c r="V338" s="236"/>
      <c r="W338" s="236"/>
      <c r="X338" s="236"/>
      <c r="Y338" s="236"/>
      <c r="Z338" s="236"/>
      <c r="AA338" s="236"/>
      <c r="AB338" s="236"/>
    </row>
    <row r="339" spans="2:29" s="248" customFormat="1" ht="22.5" outlineLevel="1">
      <c r="B339" s="247"/>
      <c r="E339" s="349" t="s">
        <v>191</v>
      </c>
      <c r="F339" s="717" t="s">
        <v>192</v>
      </c>
      <c r="G339" s="718"/>
      <c r="H339" s="718"/>
      <c r="I339" s="718"/>
      <c r="J339" s="64">
        <v>1.6</v>
      </c>
      <c r="K339" s="350">
        <f>K331*J339</f>
        <v>177.71712000000002</v>
      </c>
      <c r="L339" s="196"/>
      <c r="M339" s="196"/>
      <c r="R339" s="249"/>
      <c r="T339" s="45"/>
      <c r="AC339" s="351"/>
    </row>
    <row r="340" spans="2:29" outlineLevel="1">
      <c r="B340" s="237"/>
      <c r="C340" s="345"/>
      <c r="D340" s="345" t="s">
        <v>62</v>
      </c>
      <c r="E340" s="346" t="s">
        <v>108</v>
      </c>
      <c r="F340" s="719" t="s">
        <v>97</v>
      </c>
      <c r="G340" s="719"/>
      <c r="H340" s="719"/>
      <c r="I340" s="719"/>
      <c r="J340" s="63" t="s">
        <v>64</v>
      </c>
      <c r="K340" s="347">
        <f>SUM(K341:K341)</f>
        <v>2.0879999999999996</v>
      </c>
      <c r="L340" s="726"/>
      <c r="M340" s="726"/>
      <c r="N340" s="720">
        <f>ROUND(L340*K340,2)</f>
        <v>0</v>
      </c>
      <c r="O340" s="720"/>
      <c r="P340" s="720"/>
      <c r="Q340" s="720"/>
      <c r="R340" s="238"/>
      <c r="T340" s="45"/>
      <c r="V340" s="236"/>
      <c r="W340" s="236"/>
      <c r="X340" s="236"/>
      <c r="Y340" s="236"/>
      <c r="Z340" s="236"/>
      <c r="AA340" s="236"/>
      <c r="AB340" s="236"/>
    </row>
    <row r="341" spans="2:29" s="248" customFormat="1" outlineLevel="1">
      <c r="B341" s="247"/>
      <c r="E341" s="349" t="s">
        <v>668</v>
      </c>
      <c r="F341" s="717"/>
      <c r="G341" s="718"/>
      <c r="H341" s="718"/>
      <c r="I341" s="718"/>
      <c r="J341" s="64"/>
      <c r="K341" s="350">
        <f>K325</f>
        <v>2.0879999999999996</v>
      </c>
      <c r="L341" s="196"/>
      <c r="M341" s="196"/>
      <c r="R341" s="249"/>
      <c r="T341" s="45"/>
      <c r="AC341" s="351"/>
    </row>
    <row r="342" spans="2:29" s="341" customFormat="1" ht="12.75">
      <c r="B342" s="340"/>
      <c r="C342" s="344"/>
      <c r="D342" s="344" t="s">
        <v>45</v>
      </c>
      <c r="E342" s="344"/>
      <c r="F342" s="344"/>
      <c r="G342" s="344"/>
      <c r="H342" s="344"/>
      <c r="I342" s="344"/>
      <c r="J342" s="61"/>
      <c r="K342" s="344"/>
      <c r="L342" s="72"/>
      <c r="M342" s="72"/>
      <c r="N342" s="734">
        <f>SUM(N343:Q344)</f>
        <v>0</v>
      </c>
      <c r="O342" s="734"/>
      <c r="P342" s="734"/>
      <c r="Q342" s="734"/>
      <c r="R342" s="342"/>
      <c r="T342" s="62">
        <f>SUM(N342:Q344)/2</f>
        <v>0</v>
      </c>
      <c r="U342" s="352"/>
      <c r="V342" s="352"/>
      <c r="W342" s="352"/>
      <c r="X342" s="352"/>
      <c r="Y342" s="352"/>
      <c r="Z342" s="352"/>
      <c r="AA342" s="248"/>
      <c r="AB342" s="248"/>
      <c r="AC342" s="343"/>
    </row>
    <row r="343" spans="2:29" s="358" customFormat="1" outlineLevel="1">
      <c r="B343" s="353"/>
      <c r="C343" s="354"/>
      <c r="D343" s="354" t="s">
        <v>62</v>
      </c>
      <c r="E343" s="355">
        <v>212312111</v>
      </c>
      <c r="F343" s="727" t="s">
        <v>665</v>
      </c>
      <c r="G343" s="727"/>
      <c r="H343" s="727"/>
      <c r="I343" s="727"/>
      <c r="J343" s="215" t="s">
        <v>63</v>
      </c>
      <c r="K343" s="356">
        <f>SUM(K344:K345)</f>
        <v>2.4814999999999996</v>
      </c>
      <c r="L343" s="728"/>
      <c r="M343" s="728"/>
      <c r="N343" s="729">
        <f>ROUND(L343*K343,2)</f>
        <v>0</v>
      </c>
      <c r="O343" s="729"/>
      <c r="P343" s="729"/>
      <c r="Q343" s="729"/>
      <c r="R343" s="357"/>
      <c r="T343" s="216"/>
      <c r="U343" s="359"/>
      <c r="V343" s="359"/>
      <c r="W343" s="359"/>
      <c r="X343" s="359"/>
      <c r="Y343" s="359"/>
      <c r="Z343" s="359"/>
      <c r="AA343" s="359"/>
      <c r="AB343" s="359"/>
      <c r="AC343" s="361"/>
    </row>
    <row r="344" spans="2:29" s="248" customFormat="1" ht="22.5" outlineLevel="1">
      <c r="B344" s="247"/>
      <c r="E344" s="349" t="s">
        <v>666</v>
      </c>
      <c r="F344" s="717" t="s">
        <v>827</v>
      </c>
      <c r="G344" s="718" t="e">
        <f>(33.8+20.9+9.6+3.6+13.8+7.9)*0.7*F344</f>
        <v>#VALUE!</v>
      </c>
      <c r="H344" s="718" t="e">
        <f>(33.8+20.9+9.6+3.6+13.8+7.9)*0.7*G344</f>
        <v>#VALUE!</v>
      </c>
      <c r="I344" s="718" t="e">
        <f>(33.8+20.9+9.6+3.6+13.8+7.9)*0.7*H344</f>
        <v>#VALUE!</v>
      </c>
      <c r="J344" s="64">
        <v>0.05</v>
      </c>
      <c r="K344" s="350">
        <f>(33.8+20.9+9.6+3.6+13.8+7.9)*0.7*J344</f>
        <v>3.1359999999999997</v>
      </c>
      <c r="L344" s="196"/>
      <c r="M344" s="196"/>
      <c r="R344" s="249"/>
      <c r="T344" s="45"/>
      <c r="AC344" s="351"/>
    </row>
    <row r="345" spans="2:29" s="333" customFormat="1" outlineLevel="1">
      <c r="B345" s="362"/>
      <c r="E345" s="363" t="s">
        <v>2520</v>
      </c>
      <c r="F345" s="715" t="s">
        <v>2456</v>
      </c>
      <c r="G345" s="716">
        <f>(1.4+1.5)*2*(0.25*0.6)*12+0.35*0.45*2.3</f>
        <v>10.802249999999999</v>
      </c>
      <c r="H345" s="716">
        <f>(1.4+1.5)*2*(0.25*0.6)*12+0.35*0.45*2.3</f>
        <v>10.802249999999999</v>
      </c>
      <c r="I345" s="716">
        <f>(1.4+1.5)*2*(0.25*0.6)*12+0.35*0.45*2.3</f>
        <v>10.802249999999999</v>
      </c>
      <c r="J345" s="209">
        <v>-1</v>
      </c>
      <c r="K345" s="364">
        <f>K141*J345</f>
        <v>-0.65450000000000008</v>
      </c>
      <c r="L345" s="210"/>
      <c r="M345" s="210"/>
      <c r="R345" s="365"/>
      <c r="T345" s="211"/>
      <c r="AC345" s="366"/>
    </row>
    <row r="346" spans="2:29" s="341" customFormat="1" ht="12.75">
      <c r="B346" s="340"/>
      <c r="C346" s="344"/>
      <c r="D346" s="344" t="s">
        <v>252</v>
      </c>
      <c r="E346" s="344"/>
      <c r="F346" s="344"/>
      <c r="G346" s="344"/>
      <c r="H346" s="344"/>
      <c r="I346" s="344"/>
      <c r="J346" s="61"/>
      <c r="K346" s="344"/>
      <c r="L346" s="72"/>
      <c r="M346" s="72"/>
      <c r="N346" s="734">
        <f>SUM(N347:Q362)</f>
        <v>0</v>
      </c>
      <c r="O346" s="734"/>
      <c r="P346" s="734"/>
      <c r="Q346" s="734"/>
      <c r="R346" s="342"/>
      <c r="T346" s="62">
        <f>SUM(N346:Q348)/2</f>
        <v>0</v>
      </c>
      <c r="U346" s="352"/>
      <c r="V346" s="352"/>
      <c r="W346" s="352"/>
      <c r="X346" s="352"/>
      <c r="Y346" s="352"/>
      <c r="Z346" s="352"/>
      <c r="AA346" s="248"/>
      <c r="AB346" s="248"/>
      <c r="AC346" s="343"/>
    </row>
    <row r="347" spans="2:29" s="358" customFormat="1" outlineLevel="1">
      <c r="B347" s="353"/>
      <c r="C347" s="354"/>
      <c r="D347" s="354" t="s">
        <v>62</v>
      </c>
      <c r="E347" s="355">
        <v>113106111</v>
      </c>
      <c r="F347" s="727" t="s">
        <v>671</v>
      </c>
      <c r="G347" s="727"/>
      <c r="H347" s="727"/>
      <c r="I347" s="727"/>
      <c r="J347" s="215" t="s">
        <v>63</v>
      </c>
      <c r="K347" s="356">
        <f>SUM(K348:K349)</f>
        <v>30.029999999999994</v>
      </c>
      <c r="L347" s="728"/>
      <c r="M347" s="728"/>
      <c r="N347" s="729">
        <f>ROUND(L347*K347,2)</f>
        <v>0</v>
      </c>
      <c r="O347" s="729"/>
      <c r="P347" s="729"/>
      <c r="Q347" s="729"/>
      <c r="R347" s="357"/>
      <c r="T347" s="216"/>
      <c r="U347" s="359"/>
      <c r="V347" s="359"/>
      <c r="W347" s="359"/>
      <c r="X347" s="359"/>
      <c r="Y347" s="359"/>
      <c r="Z347" s="359"/>
      <c r="AA347" s="359"/>
      <c r="AB347" s="359"/>
      <c r="AC347" s="361"/>
    </row>
    <row r="348" spans="2:29" s="248" customFormat="1" outlineLevel="1">
      <c r="B348" s="247"/>
      <c r="E348" s="349" t="s">
        <v>672</v>
      </c>
      <c r="F348" s="717" t="s">
        <v>828</v>
      </c>
      <c r="G348" s="718">
        <f>(33.8+20.9)*0.7</f>
        <v>38.289999999999992</v>
      </c>
      <c r="H348" s="718">
        <f>(33.8+20.9)*0.7</f>
        <v>38.289999999999992</v>
      </c>
      <c r="I348" s="718">
        <f>(33.8+20.9)*0.7</f>
        <v>38.289999999999992</v>
      </c>
      <c r="J348" s="64"/>
      <c r="K348" s="350">
        <f>(33.8+20.9)*0.7</f>
        <v>38.289999999999992</v>
      </c>
      <c r="L348" s="196"/>
      <c r="M348" s="196"/>
      <c r="R348" s="249"/>
      <c r="T348" s="45"/>
      <c r="AC348" s="351"/>
    </row>
    <row r="349" spans="2:29" s="333" customFormat="1" outlineLevel="1">
      <c r="B349" s="362"/>
      <c r="E349" s="363" t="s">
        <v>2520</v>
      </c>
      <c r="F349" s="715" t="s">
        <v>2456</v>
      </c>
      <c r="G349" s="716">
        <f>(1.4+1.5)*2*(0.25*0.6)*12+0.35*0.45*2.3</f>
        <v>10.802249999999999</v>
      </c>
      <c r="H349" s="716">
        <f>(1.4+1.5)*2*(0.25*0.6)*12+0.35*0.45*2.3</f>
        <v>10.802249999999999</v>
      </c>
      <c r="I349" s="716">
        <f>(1.4+1.5)*2*(0.25*0.6)*12+0.35*0.45*2.3</f>
        <v>10.802249999999999</v>
      </c>
      <c r="J349" s="209">
        <v>-1</v>
      </c>
      <c r="K349" s="364">
        <f>K144*J349</f>
        <v>-8.26</v>
      </c>
      <c r="L349" s="210"/>
      <c r="M349" s="210"/>
      <c r="R349" s="365"/>
      <c r="T349" s="211"/>
      <c r="AC349" s="366"/>
    </row>
    <row r="350" spans="2:29" s="358" customFormat="1" outlineLevel="1">
      <c r="B350" s="353"/>
      <c r="C350" s="354"/>
      <c r="D350" s="354" t="s">
        <v>62</v>
      </c>
      <c r="E350" s="355">
        <v>113106123</v>
      </c>
      <c r="F350" s="727" t="s">
        <v>673</v>
      </c>
      <c r="G350" s="727"/>
      <c r="H350" s="727"/>
      <c r="I350" s="727"/>
      <c r="J350" s="215" t="s">
        <v>63</v>
      </c>
      <c r="K350" s="356">
        <f>SUM(K351:K352)</f>
        <v>4.83</v>
      </c>
      <c r="L350" s="728"/>
      <c r="M350" s="728"/>
      <c r="N350" s="729">
        <f>ROUND(L350*K350,2)</f>
        <v>0</v>
      </c>
      <c r="O350" s="729"/>
      <c r="P350" s="729"/>
      <c r="Q350" s="729"/>
      <c r="R350" s="357"/>
      <c r="T350" s="216"/>
      <c r="U350" s="359"/>
      <c r="V350" s="359"/>
      <c r="W350" s="359"/>
      <c r="X350" s="359"/>
      <c r="Y350" s="359"/>
      <c r="Z350" s="359"/>
      <c r="AA350" s="359"/>
      <c r="AB350" s="359"/>
      <c r="AC350" s="361"/>
    </row>
    <row r="351" spans="2:29" s="248" customFormat="1" outlineLevel="1">
      <c r="B351" s="247"/>
      <c r="E351" s="349" t="s">
        <v>674</v>
      </c>
      <c r="F351" s="717" t="s">
        <v>829</v>
      </c>
      <c r="G351" s="718">
        <f>13.8*0.7</f>
        <v>9.66</v>
      </c>
      <c r="H351" s="718">
        <f>13.8*0.7</f>
        <v>9.66</v>
      </c>
      <c r="I351" s="718">
        <f>13.8*0.7</f>
        <v>9.66</v>
      </c>
      <c r="J351" s="64"/>
      <c r="K351" s="350">
        <f>13.8*0.7</f>
        <v>9.66</v>
      </c>
      <c r="L351" s="196"/>
      <c r="M351" s="196"/>
      <c r="R351" s="249"/>
      <c r="T351" s="45"/>
      <c r="AC351" s="351"/>
    </row>
    <row r="352" spans="2:29" s="333" customFormat="1" outlineLevel="1">
      <c r="B352" s="362"/>
      <c r="E352" s="363" t="s">
        <v>2520</v>
      </c>
      <c r="F352" s="715" t="s">
        <v>2456</v>
      </c>
      <c r="G352" s="716">
        <f>(1.4+1.5)*2*(0.25*0.6)*12+0.35*0.45*2.3</f>
        <v>10.802249999999999</v>
      </c>
      <c r="H352" s="716">
        <f>(1.4+1.5)*2*(0.25*0.6)*12+0.35*0.45*2.3</f>
        <v>10.802249999999999</v>
      </c>
      <c r="I352" s="716">
        <f>(1.4+1.5)*2*(0.25*0.6)*12+0.35*0.45*2.3</f>
        <v>10.802249999999999</v>
      </c>
      <c r="J352" s="209">
        <v>-1</v>
      </c>
      <c r="K352" s="364">
        <f>K146*J352</f>
        <v>-4.83</v>
      </c>
      <c r="L352" s="210"/>
      <c r="M352" s="210"/>
      <c r="R352" s="365"/>
      <c r="T352" s="211"/>
      <c r="AC352" s="366"/>
    </row>
    <row r="353" spans="2:29" outlineLevel="1">
      <c r="B353" s="237"/>
      <c r="C353" s="345"/>
      <c r="D353" s="345" t="s">
        <v>62</v>
      </c>
      <c r="E353" s="346">
        <v>113107113</v>
      </c>
      <c r="F353" s="719" t="s">
        <v>675</v>
      </c>
      <c r="G353" s="719"/>
      <c r="H353" s="719"/>
      <c r="I353" s="719"/>
      <c r="J353" s="63" t="s">
        <v>63</v>
      </c>
      <c r="K353" s="347">
        <f>K347+K350</f>
        <v>34.859999999999992</v>
      </c>
      <c r="L353" s="726"/>
      <c r="M353" s="726"/>
      <c r="N353" s="720">
        <f>ROUND(L353*K353,2)</f>
        <v>0</v>
      </c>
      <c r="O353" s="720"/>
      <c r="P353" s="720"/>
      <c r="Q353" s="720"/>
      <c r="R353" s="238"/>
      <c r="T353" s="45"/>
    </row>
    <row r="354" spans="2:29" s="358" customFormat="1" outlineLevel="1">
      <c r="B354" s="353"/>
      <c r="C354" s="354"/>
      <c r="D354" s="354" t="s">
        <v>62</v>
      </c>
      <c r="E354" s="355">
        <v>564861011</v>
      </c>
      <c r="F354" s="727" t="s">
        <v>676</v>
      </c>
      <c r="G354" s="727"/>
      <c r="H354" s="727"/>
      <c r="I354" s="727"/>
      <c r="J354" s="215" t="s">
        <v>63</v>
      </c>
      <c r="K354" s="356">
        <f>SUM(K355:K357)</f>
        <v>34.859999999999985</v>
      </c>
      <c r="L354" s="728"/>
      <c r="M354" s="728"/>
      <c r="N354" s="729">
        <f>ROUND(L354*K354,2)</f>
        <v>0</v>
      </c>
      <c r="O354" s="729"/>
      <c r="P354" s="729"/>
      <c r="Q354" s="729"/>
      <c r="R354" s="357"/>
      <c r="T354" s="216"/>
      <c r="U354" s="359"/>
      <c r="V354" s="359"/>
      <c r="W354" s="359"/>
      <c r="X354" s="359"/>
      <c r="Y354" s="359"/>
      <c r="Z354" s="359"/>
      <c r="AA354" s="359"/>
      <c r="AB354" s="359"/>
      <c r="AC354" s="361"/>
    </row>
    <row r="355" spans="2:29" s="248" customFormat="1" outlineLevel="1">
      <c r="B355" s="247"/>
      <c r="E355" s="349" t="s">
        <v>672</v>
      </c>
      <c r="F355" s="717" t="s">
        <v>828</v>
      </c>
      <c r="G355" s="718">
        <f>(33.8+20.9)*0.7</f>
        <v>38.289999999999992</v>
      </c>
      <c r="H355" s="718">
        <f>(33.8+20.9)*0.7</f>
        <v>38.289999999999992</v>
      </c>
      <c r="I355" s="718">
        <f>(33.8+20.9)*0.7</f>
        <v>38.289999999999992</v>
      </c>
      <c r="J355" s="64"/>
      <c r="K355" s="350">
        <f>(33.8+20.9)*0.7</f>
        <v>38.289999999999992</v>
      </c>
      <c r="L355" s="196"/>
      <c r="M355" s="196"/>
      <c r="R355" s="249"/>
      <c r="T355" s="45"/>
      <c r="AC355" s="351"/>
    </row>
    <row r="356" spans="2:29" s="248" customFormat="1" outlineLevel="1">
      <c r="B356" s="247"/>
      <c r="E356" s="349" t="s">
        <v>674</v>
      </c>
      <c r="F356" s="717" t="s">
        <v>829</v>
      </c>
      <c r="G356" s="718">
        <f>13.8*0.7</f>
        <v>9.66</v>
      </c>
      <c r="H356" s="718">
        <f>13.8*0.7</f>
        <v>9.66</v>
      </c>
      <c r="I356" s="718">
        <f>13.8*0.7</f>
        <v>9.66</v>
      </c>
      <c r="J356" s="64"/>
      <c r="K356" s="350">
        <f>13.8*0.7</f>
        <v>9.66</v>
      </c>
      <c r="L356" s="196"/>
      <c r="M356" s="196"/>
      <c r="R356" s="249"/>
      <c r="T356" s="45"/>
      <c r="AC356" s="351"/>
    </row>
    <row r="357" spans="2:29" s="333" customFormat="1" outlineLevel="1">
      <c r="B357" s="362"/>
      <c r="E357" s="363" t="s">
        <v>2520</v>
      </c>
      <c r="F357" s="715" t="s">
        <v>2456</v>
      </c>
      <c r="G357" s="716">
        <f>(1.4+1.5)*2*(0.25*0.6)*12+0.35*0.45*2.3</f>
        <v>10.802249999999999</v>
      </c>
      <c r="H357" s="716">
        <f>(1.4+1.5)*2*(0.25*0.6)*12+0.35*0.45*2.3</f>
        <v>10.802249999999999</v>
      </c>
      <c r="I357" s="716">
        <f>(1.4+1.5)*2*(0.25*0.6)*12+0.35*0.45*2.3</f>
        <v>10.802249999999999</v>
      </c>
      <c r="J357" s="209">
        <v>-1</v>
      </c>
      <c r="K357" s="364">
        <f>K149*J357</f>
        <v>-13.09</v>
      </c>
      <c r="L357" s="210"/>
      <c r="M357" s="210"/>
      <c r="R357" s="365"/>
      <c r="T357" s="211"/>
      <c r="AC357" s="366"/>
    </row>
    <row r="358" spans="2:29" s="358" customFormat="1" outlineLevel="1">
      <c r="B358" s="353"/>
      <c r="C358" s="354"/>
      <c r="D358" s="354" t="s">
        <v>62</v>
      </c>
      <c r="E358" s="355">
        <v>591411111</v>
      </c>
      <c r="F358" s="727" t="s">
        <v>677</v>
      </c>
      <c r="G358" s="727"/>
      <c r="H358" s="727"/>
      <c r="I358" s="727"/>
      <c r="J358" s="215" t="s">
        <v>63</v>
      </c>
      <c r="K358" s="356">
        <f>SUM(K359:K360)</f>
        <v>30.029999999999994</v>
      </c>
      <c r="L358" s="728"/>
      <c r="M358" s="728"/>
      <c r="N358" s="729">
        <f>ROUND(L358*K358,2)</f>
        <v>0</v>
      </c>
      <c r="O358" s="729"/>
      <c r="P358" s="729"/>
      <c r="Q358" s="729"/>
      <c r="R358" s="357"/>
      <c r="T358" s="216"/>
      <c r="U358" s="359"/>
      <c r="V358" s="359"/>
      <c r="W358" s="359"/>
      <c r="X358" s="359"/>
      <c r="Y358" s="359"/>
      <c r="Z358" s="359"/>
      <c r="AA358" s="359"/>
      <c r="AB358" s="359"/>
      <c r="AC358" s="361"/>
    </row>
    <row r="359" spans="2:29" s="248" customFormat="1" outlineLevel="1">
      <c r="B359" s="247"/>
      <c r="E359" s="349" t="s">
        <v>672</v>
      </c>
      <c r="F359" s="717" t="s">
        <v>828</v>
      </c>
      <c r="G359" s="718">
        <f>(33.8+20.9)*0.7</f>
        <v>38.289999999999992</v>
      </c>
      <c r="H359" s="718">
        <f>(33.8+20.9)*0.7</f>
        <v>38.289999999999992</v>
      </c>
      <c r="I359" s="718">
        <f>(33.8+20.9)*0.7</f>
        <v>38.289999999999992</v>
      </c>
      <c r="J359" s="64"/>
      <c r="K359" s="350">
        <f>(33.8+20.9)*0.7</f>
        <v>38.289999999999992</v>
      </c>
      <c r="L359" s="196"/>
      <c r="M359" s="196"/>
      <c r="R359" s="249"/>
      <c r="T359" s="45"/>
      <c r="AC359" s="351"/>
    </row>
    <row r="360" spans="2:29" s="333" customFormat="1" outlineLevel="1">
      <c r="B360" s="362"/>
      <c r="E360" s="363" t="s">
        <v>2520</v>
      </c>
      <c r="F360" s="715" t="s">
        <v>2456</v>
      </c>
      <c r="G360" s="716">
        <f>(1.4+1.5)*2*(0.25*0.6)*12+0.35*0.45*2.3</f>
        <v>10.802249999999999</v>
      </c>
      <c r="H360" s="716">
        <f>(1.4+1.5)*2*(0.25*0.6)*12+0.35*0.45*2.3</f>
        <v>10.802249999999999</v>
      </c>
      <c r="I360" s="716">
        <f>(1.4+1.5)*2*(0.25*0.6)*12+0.35*0.45*2.3</f>
        <v>10.802249999999999</v>
      </c>
      <c r="J360" s="209">
        <v>-1</v>
      </c>
      <c r="K360" s="364">
        <f>K152*J360</f>
        <v>-8.26</v>
      </c>
      <c r="L360" s="210"/>
      <c r="M360" s="210"/>
      <c r="R360" s="365"/>
      <c r="T360" s="211"/>
      <c r="AC360" s="366"/>
    </row>
    <row r="361" spans="2:29" s="358" customFormat="1" outlineLevel="1">
      <c r="B361" s="353"/>
      <c r="C361" s="354"/>
      <c r="D361" s="354" t="s">
        <v>62</v>
      </c>
      <c r="E361" s="355">
        <v>596211110</v>
      </c>
      <c r="F361" s="727" t="s">
        <v>678</v>
      </c>
      <c r="G361" s="727"/>
      <c r="H361" s="727"/>
      <c r="I361" s="727"/>
      <c r="J361" s="215" t="s">
        <v>63</v>
      </c>
      <c r="K361" s="356">
        <f>SUM(K362:K363)</f>
        <v>4.83</v>
      </c>
      <c r="L361" s="728"/>
      <c r="M361" s="728"/>
      <c r="N361" s="729">
        <f>ROUND(L361*K361,2)</f>
        <v>0</v>
      </c>
      <c r="O361" s="729"/>
      <c r="P361" s="729"/>
      <c r="Q361" s="729"/>
      <c r="R361" s="357"/>
      <c r="T361" s="216"/>
      <c r="U361" s="359"/>
      <c r="V361" s="359"/>
      <c r="W361" s="359"/>
      <c r="X361" s="359"/>
      <c r="Y361" s="359"/>
      <c r="Z361" s="359"/>
      <c r="AA361" s="359"/>
      <c r="AB361" s="359"/>
      <c r="AC361" s="361"/>
    </row>
    <row r="362" spans="2:29" s="248" customFormat="1" outlineLevel="1">
      <c r="B362" s="247"/>
      <c r="E362" s="349" t="s">
        <v>674</v>
      </c>
      <c r="F362" s="717" t="s">
        <v>829</v>
      </c>
      <c r="G362" s="718">
        <f>13.8*0.7</f>
        <v>9.66</v>
      </c>
      <c r="H362" s="718">
        <f>13.8*0.7</f>
        <v>9.66</v>
      </c>
      <c r="I362" s="718">
        <f>13.8*0.7</f>
        <v>9.66</v>
      </c>
      <c r="J362" s="64"/>
      <c r="K362" s="350">
        <f>13.8*0.7</f>
        <v>9.66</v>
      </c>
      <c r="L362" s="196"/>
      <c r="M362" s="196"/>
      <c r="R362" s="249"/>
      <c r="T362" s="45"/>
      <c r="AC362" s="351"/>
    </row>
    <row r="363" spans="2:29" s="333" customFormat="1" outlineLevel="1">
      <c r="B363" s="362"/>
      <c r="E363" s="363" t="s">
        <v>2520</v>
      </c>
      <c r="F363" s="715" t="s">
        <v>2456</v>
      </c>
      <c r="G363" s="716">
        <f>(1.4+1.5)*2*(0.25*0.6)*12+0.35*0.45*2.3</f>
        <v>10.802249999999999</v>
      </c>
      <c r="H363" s="716">
        <f>(1.4+1.5)*2*(0.25*0.6)*12+0.35*0.45*2.3</f>
        <v>10.802249999999999</v>
      </c>
      <c r="I363" s="716">
        <f>(1.4+1.5)*2*(0.25*0.6)*12+0.35*0.45*2.3</f>
        <v>10.802249999999999</v>
      </c>
      <c r="J363" s="209">
        <v>-1</v>
      </c>
      <c r="K363" s="364">
        <f>K154*J363</f>
        <v>-4.83</v>
      </c>
      <c r="L363" s="210"/>
      <c r="M363" s="210"/>
      <c r="R363" s="365"/>
      <c r="T363" s="211"/>
      <c r="AC363" s="366"/>
    </row>
    <row r="364" spans="2:29" s="341" customFormat="1" ht="12.75">
      <c r="B364" s="340"/>
      <c r="C364" s="344"/>
      <c r="D364" s="344" t="s">
        <v>669</v>
      </c>
      <c r="E364" s="344"/>
      <c r="F364" s="344"/>
      <c r="G364" s="344"/>
      <c r="H364" s="344"/>
      <c r="I364" s="344"/>
      <c r="J364" s="61"/>
      <c r="K364" s="344"/>
      <c r="L364" s="72"/>
      <c r="M364" s="72"/>
      <c r="N364" s="734">
        <f>SUM(N365:Q390)</f>
        <v>0</v>
      </c>
      <c r="O364" s="734"/>
      <c r="P364" s="734"/>
      <c r="Q364" s="734"/>
      <c r="R364" s="342"/>
      <c r="T364" s="45">
        <f>SUM(N364:Q390)/2</f>
        <v>0</v>
      </c>
      <c r="U364" s="248"/>
      <c r="V364" s="248"/>
      <c r="W364" s="248"/>
      <c r="X364" s="248"/>
      <c r="Y364" s="248"/>
      <c r="Z364" s="248"/>
      <c r="AA364" s="248"/>
      <c r="AB364" s="248"/>
      <c r="AC364" s="343"/>
    </row>
    <row r="365" spans="2:29" ht="27" customHeight="1" outlineLevel="1">
      <c r="B365" s="237"/>
      <c r="C365" s="345"/>
      <c r="D365" s="345" t="s">
        <v>62</v>
      </c>
      <c r="E365" s="346">
        <v>978011191</v>
      </c>
      <c r="F365" s="719" t="s">
        <v>683</v>
      </c>
      <c r="G365" s="719"/>
      <c r="H365" s="719"/>
      <c r="I365" s="719"/>
      <c r="J365" s="63" t="s">
        <v>63</v>
      </c>
      <c r="K365" s="347">
        <f>SUM(K366:K366)</f>
        <v>18.07</v>
      </c>
      <c r="L365" s="726"/>
      <c r="M365" s="726"/>
      <c r="N365" s="720">
        <f>ROUND(L365*K365,2)</f>
        <v>0</v>
      </c>
      <c r="O365" s="720"/>
      <c r="P365" s="720"/>
      <c r="Q365" s="720"/>
      <c r="R365" s="238"/>
      <c r="T365" s="45"/>
      <c r="V365" s="248">
        <v>0.03</v>
      </c>
      <c r="W365" s="248">
        <f>V365*K365</f>
        <v>0.54210000000000003</v>
      </c>
    </row>
    <row r="366" spans="2:29" s="248" customFormat="1" outlineLevel="1">
      <c r="B366" s="247"/>
      <c r="E366" s="349" t="s">
        <v>685</v>
      </c>
      <c r="F366" s="717" t="s">
        <v>830</v>
      </c>
      <c r="G366" s="718">
        <f>6.86+11.21</f>
        <v>18.07</v>
      </c>
      <c r="H366" s="718">
        <f>6.86+11.21</f>
        <v>18.07</v>
      </c>
      <c r="I366" s="718">
        <f>6.86+11.21</f>
        <v>18.07</v>
      </c>
      <c r="J366" s="64"/>
      <c r="K366" s="350">
        <f>6.86+11.21</f>
        <v>18.07</v>
      </c>
      <c r="L366" s="196"/>
      <c r="M366" s="196"/>
      <c r="R366" s="249"/>
      <c r="T366" s="45"/>
      <c r="AC366" s="351"/>
    </row>
    <row r="367" spans="2:29" s="358" customFormat="1" ht="27" customHeight="1" outlineLevel="1">
      <c r="B367" s="353"/>
      <c r="C367" s="354"/>
      <c r="D367" s="354" t="s">
        <v>62</v>
      </c>
      <c r="E367" s="355">
        <v>978013191</v>
      </c>
      <c r="F367" s="727" t="s">
        <v>350</v>
      </c>
      <c r="G367" s="727"/>
      <c r="H367" s="727"/>
      <c r="I367" s="727"/>
      <c r="J367" s="215" t="s">
        <v>63</v>
      </c>
      <c r="K367" s="356">
        <f>SUM(K368:K370)</f>
        <v>335.74</v>
      </c>
      <c r="L367" s="728"/>
      <c r="M367" s="728"/>
      <c r="N367" s="729">
        <f>ROUND(L367*K367,2)</f>
        <v>0</v>
      </c>
      <c r="O367" s="729"/>
      <c r="P367" s="729"/>
      <c r="Q367" s="729"/>
      <c r="R367" s="357"/>
      <c r="T367" s="216"/>
      <c r="U367" s="359"/>
      <c r="V367" s="359">
        <v>0.03</v>
      </c>
      <c r="W367" s="359">
        <f>V367*K367</f>
        <v>10.0722</v>
      </c>
      <c r="X367" s="359"/>
      <c r="Y367" s="359"/>
      <c r="Z367" s="359"/>
      <c r="AA367" s="359"/>
      <c r="AB367" s="359"/>
      <c r="AC367" s="361"/>
    </row>
    <row r="368" spans="2:29" s="248" customFormat="1" outlineLevel="1">
      <c r="B368" s="247"/>
      <c r="E368" s="349" t="s">
        <v>684</v>
      </c>
      <c r="F368" s="717" t="s">
        <v>831</v>
      </c>
      <c r="G368" s="718" t="e">
        <f>(2.6+4.3+4.2+1.4)*2*F368</f>
        <v>#VALUE!</v>
      </c>
      <c r="H368" s="718" t="e">
        <f>(2.6+4.3+4.2+1.4)*2*G368</f>
        <v>#VALUE!</v>
      </c>
      <c r="I368" s="718" t="e">
        <f>(2.6+4.3+4.2+1.4)*2*H368</f>
        <v>#VALUE!</v>
      </c>
      <c r="J368" s="64">
        <v>2.1</v>
      </c>
      <c r="K368" s="350">
        <f>(2.6+4.3+4.2+1.4)*2*J368</f>
        <v>52.500000000000007</v>
      </c>
      <c r="L368" s="196"/>
      <c r="M368" s="196"/>
      <c r="R368" s="249"/>
      <c r="T368" s="45"/>
      <c r="AC368" s="351"/>
    </row>
    <row r="369" spans="2:29" s="248" customFormat="1" ht="42" customHeight="1" outlineLevel="1">
      <c r="B369" s="247"/>
      <c r="E369" s="349" t="s">
        <v>637</v>
      </c>
      <c r="F369" s="717" t="s">
        <v>832</v>
      </c>
      <c r="G369" s="718">
        <f>((6.66+3.62)*2+(4.57+6.66)*2+(4.9+3.7+1.3)*2+(5.9+3.7+4.7+5.9+6.1+6.6+6.3+3.2+5.6+5.4+4+2.5)*2)*2</f>
        <v>365.24</v>
      </c>
      <c r="H369" s="718">
        <f>((6.66+3.62)*2+(4.57+6.66)*2+(4.9+3.7+1.3)*2+(5.9+3.7+4.7+5.9+6.1+6.6+6.3+3.2+5.6+5.4+4+2.5)*2)*2</f>
        <v>365.24</v>
      </c>
      <c r="I369" s="718">
        <f>((6.66+3.62)*2+(4.57+6.66)*2+(4.9+3.7+1.3)*2+(5.9+3.7+4.7+5.9+6.1+6.6+6.3+3.2+5.6+5.4+4+2.5)*2)*2</f>
        <v>365.24</v>
      </c>
      <c r="J369" s="64">
        <v>2</v>
      </c>
      <c r="K369" s="350">
        <f>((6.66+3.62)*2+(4.57+6.66)*2+(4.9+3.7+1.3)*2+(5.9+3.7+4.7+5.9+6.1+6.6+6.3+3.2+5.6+5.4+4+2.5)*2)*J369</f>
        <v>365.24</v>
      </c>
      <c r="L369" s="196"/>
      <c r="M369" s="196"/>
      <c r="R369" s="249"/>
      <c r="T369" s="45"/>
      <c r="AC369" s="351"/>
    </row>
    <row r="370" spans="2:29" s="333" customFormat="1" outlineLevel="1">
      <c r="B370" s="362"/>
      <c r="E370" s="363" t="s">
        <v>2520</v>
      </c>
      <c r="F370" s="715" t="s">
        <v>2456</v>
      </c>
      <c r="G370" s="716">
        <f>(1.4+1.5)*2*(0.25*0.6)*12+0.35*0.45*2.3</f>
        <v>10.802249999999999</v>
      </c>
      <c r="H370" s="716">
        <f>(1.4+1.5)*2*(0.25*0.6)*12+0.35*0.45*2.3</f>
        <v>10.802249999999999</v>
      </c>
      <c r="I370" s="716">
        <f>(1.4+1.5)*2*(0.25*0.6)*12+0.35*0.45*2.3</f>
        <v>10.802249999999999</v>
      </c>
      <c r="J370" s="209">
        <v>-1</v>
      </c>
      <c r="K370" s="364">
        <f>K157*J370</f>
        <v>-82</v>
      </c>
      <c r="L370" s="210"/>
      <c r="M370" s="210"/>
      <c r="R370" s="365"/>
      <c r="T370" s="211"/>
      <c r="AC370" s="366"/>
    </row>
    <row r="371" spans="2:29" s="358" customFormat="1" ht="27" customHeight="1" outlineLevel="1">
      <c r="B371" s="353"/>
      <c r="C371" s="354"/>
      <c r="D371" s="354" t="s">
        <v>62</v>
      </c>
      <c r="E371" s="355">
        <v>978015391</v>
      </c>
      <c r="F371" s="727" t="s">
        <v>353</v>
      </c>
      <c r="G371" s="727"/>
      <c r="H371" s="727"/>
      <c r="I371" s="727"/>
      <c r="J371" s="215" t="s">
        <v>63</v>
      </c>
      <c r="K371" s="356">
        <f>SUM(K372:K373)</f>
        <v>162.19999999999999</v>
      </c>
      <c r="L371" s="728"/>
      <c r="M371" s="728"/>
      <c r="N371" s="729">
        <f>ROUND(L371*K371,2)</f>
        <v>0</v>
      </c>
      <c r="O371" s="729"/>
      <c r="P371" s="729"/>
      <c r="Q371" s="729"/>
      <c r="R371" s="357"/>
      <c r="T371" s="216"/>
      <c r="U371" s="359"/>
      <c r="V371" s="359">
        <v>0.04</v>
      </c>
      <c r="W371" s="359">
        <f>V371*K371</f>
        <v>6.4879999999999995</v>
      </c>
      <c r="AC371" s="361"/>
    </row>
    <row r="372" spans="2:29" s="248" customFormat="1" outlineLevel="1">
      <c r="B372" s="247"/>
      <c r="E372" s="349" t="s">
        <v>681</v>
      </c>
      <c r="F372" s="717" t="s">
        <v>833</v>
      </c>
      <c r="G372" s="718" t="e">
        <f>(20.2+8.2+32.7+19+12.5+7.2)*F372</f>
        <v>#VALUE!</v>
      </c>
      <c r="H372" s="718" t="e">
        <f>(20.2+8.2+32.7+19+12.5+7.2)*G372</f>
        <v>#VALUE!</v>
      </c>
      <c r="I372" s="718" t="e">
        <f>(20.2+8.2+32.7+19+12.5+7.2)*H372</f>
        <v>#VALUE!</v>
      </c>
      <c r="J372" s="64">
        <v>2</v>
      </c>
      <c r="K372" s="350">
        <f>(20.2+8.2+32.7+19+12.5+7.2)*J372</f>
        <v>199.6</v>
      </c>
      <c r="L372" s="196"/>
      <c r="M372" s="196"/>
      <c r="R372" s="249"/>
      <c r="T372" s="45"/>
      <c r="AC372" s="351"/>
    </row>
    <row r="373" spans="2:29" s="333" customFormat="1" outlineLevel="1">
      <c r="B373" s="362"/>
      <c r="E373" s="363" t="s">
        <v>2520</v>
      </c>
      <c r="F373" s="715" t="s">
        <v>2456</v>
      </c>
      <c r="G373" s="716">
        <f>(1.4+1.5)*2*(0.25*0.6)*12+0.35*0.45*2.3</f>
        <v>10.802249999999999</v>
      </c>
      <c r="H373" s="716">
        <f>(1.4+1.5)*2*(0.25*0.6)*12+0.35*0.45*2.3</f>
        <v>10.802249999999999</v>
      </c>
      <c r="I373" s="716">
        <f>(1.4+1.5)*2*(0.25*0.6)*12+0.35*0.45*2.3</f>
        <v>10.802249999999999</v>
      </c>
      <c r="J373" s="209">
        <v>-1</v>
      </c>
      <c r="K373" s="364">
        <f>K159*J373</f>
        <v>-37.400000000000006</v>
      </c>
      <c r="L373" s="210"/>
      <c r="M373" s="210"/>
      <c r="R373" s="365"/>
      <c r="T373" s="211"/>
      <c r="AC373" s="366"/>
    </row>
    <row r="374" spans="2:29" s="358" customFormat="1" outlineLevel="1">
      <c r="B374" s="353"/>
      <c r="C374" s="354"/>
      <c r="D374" s="354" t="s">
        <v>62</v>
      </c>
      <c r="E374" s="355">
        <v>978023411</v>
      </c>
      <c r="F374" s="727" t="s">
        <v>354</v>
      </c>
      <c r="G374" s="727"/>
      <c r="H374" s="727"/>
      <c r="I374" s="727"/>
      <c r="J374" s="215" t="s">
        <v>63</v>
      </c>
      <c r="K374" s="356">
        <f>SUM(K375:K379)</f>
        <v>574.04000000000008</v>
      </c>
      <c r="L374" s="728"/>
      <c r="M374" s="728"/>
      <c r="N374" s="729">
        <f>ROUND(L374*K374,2)</f>
        <v>0</v>
      </c>
      <c r="O374" s="729"/>
      <c r="P374" s="729"/>
      <c r="Q374" s="729"/>
      <c r="R374" s="357"/>
      <c r="T374" s="216"/>
      <c r="U374" s="359"/>
      <c r="V374" s="359">
        <v>1E-3</v>
      </c>
      <c r="W374" s="359">
        <f>V374*K374</f>
        <v>0.57404000000000011</v>
      </c>
      <c r="X374" s="359"/>
      <c r="Y374" s="359"/>
      <c r="Z374" s="359"/>
      <c r="AA374" s="359"/>
      <c r="AB374" s="359"/>
      <c r="AC374" s="361"/>
    </row>
    <row r="375" spans="2:29" s="248" customFormat="1" outlineLevel="1">
      <c r="B375" s="247"/>
      <c r="E375" s="349" t="s">
        <v>681</v>
      </c>
      <c r="F375" s="717" t="s">
        <v>187</v>
      </c>
      <c r="G375" s="718"/>
      <c r="H375" s="718"/>
      <c r="I375" s="718"/>
      <c r="J375" s="64"/>
      <c r="K375" s="350">
        <f>K371</f>
        <v>162.19999999999999</v>
      </c>
      <c r="L375" s="196"/>
      <c r="M375" s="196"/>
      <c r="R375" s="249"/>
      <c r="T375" s="45"/>
      <c r="AC375" s="351"/>
    </row>
    <row r="376" spans="2:29" s="248" customFormat="1" outlineLevel="1">
      <c r="B376" s="247"/>
      <c r="E376" s="349" t="s">
        <v>682</v>
      </c>
      <c r="F376" s="717" t="s">
        <v>834</v>
      </c>
      <c r="G376" s="718">
        <f>20.2*0.7+(8.2+32.7+19)*0.5+(12.5+7.2)*(1.1+2)/2</f>
        <v>74.625</v>
      </c>
      <c r="H376" s="718">
        <f>20.2*0.7+(8.2+32.7+19)*0.5+(12.5+7.2)*(1.1+2)/2</f>
        <v>74.625</v>
      </c>
      <c r="I376" s="718">
        <f>20.2*0.7+(8.2+32.7+19)*0.5+(12.5+7.2)*(1.1+2)/2</f>
        <v>74.625</v>
      </c>
      <c r="J376" s="64"/>
      <c r="K376" s="350">
        <f>20.2*0.7+(8.2+32.7+19)*0.5+(12.5+7.2)*(1.1+2)/2</f>
        <v>74.625</v>
      </c>
      <c r="L376" s="196"/>
      <c r="M376" s="196"/>
      <c r="R376" s="249"/>
      <c r="T376" s="45"/>
      <c r="AC376" s="351"/>
    </row>
    <row r="377" spans="2:29" s="248" customFormat="1" outlineLevel="1">
      <c r="B377" s="247"/>
      <c r="E377" s="349" t="s">
        <v>686</v>
      </c>
      <c r="F377" s="717" t="s">
        <v>187</v>
      </c>
      <c r="G377" s="718"/>
      <c r="H377" s="718"/>
      <c r="I377" s="718"/>
      <c r="J377" s="64"/>
      <c r="K377" s="350">
        <f>K367</f>
        <v>335.74</v>
      </c>
      <c r="L377" s="196"/>
      <c r="M377" s="196"/>
      <c r="R377" s="249"/>
      <c r="T377" s="45"/>
      <c r="AC377" s="351"/>
    </row>
    <row r="378" spans="2:29" s="248" customFormat="1" outlineLevel="1">
      <c r="B378" s="247"/>
      <c r="E378" s="349" t="s">
        <v>687</v>
      </c>
      <c r="F378" s="717" t="s">
        <v>187</v>
      </c>
      <c r="G378" s="718"/>
      <c r="H378" s="718"/>
      <c r="I378" s="718"/>
      <c r="J378" s="64"/>
      <c r="K378" s="350">
        <f>K365</f>
        <v>18.07</v>
      </c>
      <c r="L378" s="196"/>
      <c r="M378" s="196"/>
      <c r="R378" s="249"/>
      <c r="T378" s="45"/>
      <c r="AC378" s="351"/>
    </row>
    <row r="379" spans="2:29" s="333" customFormat="1" outlineLevel="1">
      <c r="B379" s="362"/>
      <c r="E379" s="363" t="s">
        <v>2520</v>
      </c>
      <c r="F379" s="715" t="s">
        <v>2456</v>
      </c>
      <c r="G379" s="716">
        <f>(1.4+1.5)*2*(0.25*0.6)*12+0.35*0.45*2.3</f>
        <v>10.802249999999999</v>
      </c>
      <c r="H379" s="716">
        <f>(1.4+1.5)*2*(0.25*0.6)*12+0.35*0.45*2.3</f>
        <v>10.802249999999999</v>
      </c>
      <c r="I379" s="716">
        <f>(1.4+1.5)*2*(0.25*0.6)*12+0.35*0.45*2.3</f>
        <v>10.802249999999999</v>
      </c>
      <c r="J379" s="209">
        <v>-1</v>
      </c>
      <c r="K379" s="364">
        <f>K163*J379</f>
        <v>-16.594999999999999</v>
      </c>
      <c r="L379" s="210"/>
      <c r="M379" s="210"/>
      <c r="R379" s="365"/>
      <c r="T379" s="211"/>
      <c r="AC379" s="366"/>
    </row>
    <row r="380" spans="2:29" s="358" customFormat="1" outlineLevel="1">
      <c r="B380" s="353"/>
      <c r="C380" s="354"/>
      <c r="D380" s="354" t="s">
        <v>62</v>
      </c>
      <c r="E380" s="355" t="s">
        <v>692</v>
      </c>
      <c r="F380" s="727" t="s">
        <v>693</v>
      </c>
      <c r="G380" s="727"/>
      <c r="H380" s="727"/>
      <c r="I380" s="727"/>
      <c r="J380" s="215" t="s">
        <v>68</v>
      </c>
      <c r="K380" s="356">
        <f>SUM(K381:K385)</f>
        <v>10.049999999999999</v>
      </c>
      <c r="L380" s="728"/>
      <c r="M380" s="728"/>
      <c r="N380" s="729">
        <f>ROUND(L380*K380,2)</f>
        <v>0</v>
      </c>
      <c r="O380" s="729"/>
      <c r="P380" s="729"/>
      <c r="Q380" s="729"/>
      <c r="R380" s="357"/>
      <c r="T380" s="216"/>
      <c r="U380" s="359"/>
      <c r="V380" s="359"/>
      <c r="W380" s="359"/>
      <c r="X380" s="359"/>
      <c r="Y380" s="359"/>
      <c r="Z380" s="359"/>
      <c r="AA380" s="359"/>
      <c r="AB380" s="359"/>
      <c r="AC380" s="361"/>
    </row>
    <row r="381" spans="2:29" s="248" customFormat="1" outlineLevel="1">
      <c r="B381" s="247"/>
      <c r="E381" s="349" t="s">
        <v>688</v>
      </c>
      <c r="F381" s="717" t="s">
        <v>835</v>
      </c>
      <c r="G381" s="718" t="e">
        <f>2*F381</f>
        <v>#VALUE!</v>
      </c>
      <c r="H381" s="718" t="e">
        <f>2*G381</f>
        <v>#VALUE!</v>
      </c>
      <c r="I381" s="718" t="e">
        <f>2*H381</f>
        <v>#VALUE!</v>
      </c>
      <c r="J381" s="64">
        <v>0.45</v>
      </c>
      <c r="K381" s="350">
        <f>2*J381</f>
        <v>0.9</v>
      </c>
      <c r="L381" s="196"/>
      <c r="M381" s="196"/>
      <c r="R381" s="249"/>
      <c r="T381" s="45"/>
      <c r="AC381" s="351"/>
    </row>
    <row r="382" spans="2:29" s="248" customFormat="1" outlineLevel="1">
      <c r="B382" s="247"/>
      <c r="E382" s="349" t="s">
        <v>688</v>
      </c>
      <c r="F382" s="717" t="s">
        <v>836</v>
      </c>
      <c r="G382" s="718" t="e">
        <f>3*F382</f>
        <v>#VALUE!</v>
      </c>
      <c r="H382" s="718" t="e">
        <f>3*G382</f>
        <v>#VALUE!</v>
      </c>
      <c r="I382" s="718" t="e">
        <f>3*H382</f>
        <v>#VALUE!</v>
      </c>
      <c r="J382" s="64">
        <v>0.6</v>
      </c>
      <c r="K382" s="350">
        <f>3*J382</f>
        <v>1.7999999999999998</v>
      </c>
      <c r="L382" s="196"/>
      <c r="M382" s="196"/>
      <c r="R382" s="249"/>
      <c r="T382" s="45"/>
      <c r="AC382" s="351"/>
    </row>
    <row r="383" spans="2:29" s="248" customFormat="1" outlineLevel="1">
      <c r="B383" s="247"/>
      <c r="E383" s="349" t="s">
        <v>688</v>
      </c>
      <c r="F383" s="717" t="s">
        <v>837</v>
      </c>
      <c r="G383" s="718" t="e">
        <f>5*F383</f>
        <v>#VALUE!</v>
      </c>
      <c r="H383" s="718" t="e">
        <f>5*G383</f>
        <v>#VALUE!</v>
      </c>
      <c r="I383" s="718" t="e">
        <f>5*H383</f>
        <v>#VALUE!</v>
      </c>
      <c r="J383" s="64">
        <v>0.75</v>
      </c>
      <c r="K383" s="350">
        <f>5*J383</f>
        <v>3.75</v>
      </c>
      <c r="L383" s="196"/>
      <c r="M383" s="196"/>
      <c r="R383" s="249"/>
      <c r="T383" s="45"/>
      <c r="AC383" s="351"/>
    </row>
    <row r="384" spans="2:29" s="248" customFormat="1" outlineLevel="1">
      <c r="B384" s="247"/>
      <c r="E384" s="349" t="s">
        <v>688</v>
      </c>
      <c r="F384" s="717" t="s">
        <v>838</v>
      </c>
      <c r="G384" s="718" t="e">
        <f>8*F384</f>
        <v>#VALUE!</v>
      </c>
      <c r="H384" s="718" t="e">
        <f>8*G384</f>
        <v>#VALUE!</v>
      </c>
      <c r="I384" s="718" t="e">
        <f>8*H384</f>
        <v>#VALUE!</v>
      </c>
      <c r="J384" s="64">
        <v>0.9</v>
      </c>
      <c r="K384" s="350">
        <f>8*J384</f>
        <v>7.2</v>
      </c>
      <c r="L384" s="196"/>
      <c r="M384" s="196"/>
      <c r="R384" s="249"/>
      <c r="T384" s="45"/>
      <c r="AC384" s="351"/>
    </row>
    <row r="385" spans="2:29" s="333" customFormat="1" outlineLevel="1">
      <c r="B385" s="362"/>
      <c r="E385" s="363" t="s">
        <v>2520</v>
      </c>
      <c r="F385" s="715" t="s">
        <v>2456</v>
      </c>
      <c r="G385" s="716">
        <f>(1.4+1.5)*2*(0.25*0.6)*12+0.35*0.45*2.3</f>
        <v>10.802249999999999</v>
      </c>
      <c r="H385" s="716">
        <f>(1.4+1.5)*2*(0.25*0.6)*12+0.35*0.45*2.3</f>
        <v>10.802249999999999</v>
      </c>
      <c r="I385" s="716">
        <f>(1.4+1.5)*2*(0.25*0.6)*12+0.35*0.45*2.3</f>
        <v>10.802249999999999</v>
      </c>
      <c r="J385" s="209">
        <v>-1</v>
      </c>
      <c r="K385" s="364">
        <f>K165*J385</f>
        <v>-3.6</v>
      </c>
      <c r="L385" s="210"/>
      <c r="M385" s="210"/>
      <c r="R385" s="365"/>
      <c r="T385" s="211"/>
      <c r="AC385" s="366"/>
    </row>
    <row r="386" spans="2:29" s="358" customFormat="1" outlineLevel="1">
      <c r="B386" s="353"/>
      <c r="C386" s="354"/>
      <c r="D386" s="354" t="s">
        <v>62</v>
      </c>
      <c r="E386" s="355" t="s">
        <v>689</v>
      </c>
      <c r="F386" s="727" t="s">
        <v>690</v>
      </c>
      <c r="G386" s="727"/>
      <c r="H386" s="727"/>
      <c r="I386" s="727"/>
      <c r="J386" s="215" t="s">
        <v>68</v>
      </c>
      <c r="K386" s="356">
        <f>SUM(K387:K388)</f>
        <v>4</v>
      </c>
      <c r="L386" s="728"/>
      <c r="M386" s="728"/>
      <c r="N386" s="729">
        <f>ROUND(L386*K386,2)</f>
        <v>0</v>
      </c>
      <c r="O386" s="729"/>
      <c r="P386" s="729"/>
      <c r="Q386" s="729"/>
      <c r="R386" s="357"/>
      <c r="T386" s="216"/>
      <c r="U386" s="359"/>
      <c r="V386" s="359">
        <f>0.15*0.15</f>
        <v>2.2499999999999999E-2</v>
      </c>
      <c r="W386" s="359">
        <f>V386*K386</f>
        <v>0.09</v>
      </c>
      <c r="X386" s="359"/>
      <c r="Y386" s="359"/>
      <c r="Z386" s="359"/>
      <c r="AA386" s="359"/>
      <c r="AB386" s="359"/>
      <c r="AC386" s="361"/>
    </row>
    <row r="387" spans="2:29" s="248" customFormat="1" ht="22.5" outlineLevel="1">
      <c r="B387" s="247"/>
      <c r="E387" s="349" t="s">
        <v>691</v>
      </c>
      <c r="F387" s="717" t="s">
        <v>839</v>
      </c>
      <c r="G387" s="718">
        <f>9*0.5</f>
        <v>4.5</v>
      </c>
      <c r="H387" s="718">
        <f>9*0.5</f>
        <v>4.5</v>
      </c>
      <c r="I387" s="718">
        <f>9*0.5</f>
        <v>4.5</v>
      </c>
      <c r="J387" s="64"/>
      <c r="K387" s="350">
        <f>9*0.5</f>
        <v>4.5</v>
      </c>
      <c r="L387" s="196"/>
      <c r="M387" s="196"/>
      <c r="R387" s="249"/>
      <c r="T387" s="45"/>
      <c r="AC387" s="351"/>
    </row>
    <row r="388" spans="2:29" s="333" customFormat="1" outlineLevel="1">
      <c r="B388" s="362"/>
      <c r="E388" s="363" t="s">
        <v>2520</v>
      </c>
      <c r="F388" s="715" t="s">
        <v>2456</v>
      </c>
      <c r="G388" s="716">
        <f>(1.4+1.5)*2*(0.25*0.6)*12+0.35*0.45*2.3</f>
        <v>10.802249999999999</v>
      </c>
      <c r="H388" s="716">
        <f>(1.4+1.5)*2*(0.25*0.6)*12+0.35*0.45*2.3</f>
        <v>10.802249999999999</v>
      </c>
      <c r="I388" s="716">
        <f>(1.4+1.5)*2*(0.25*0.6)*12+0.35*0.45*2.3</f>
        <v>10.802249999999999</v>
      </c>
      <c r="J388" s="209">
        <v>-1</v>
      </c>
      <c r="K388" s="364">
        <f>K168*J388</f>
        <v>-0.5</v>
      </c>
      <c r="L388" s="210"/>
      <c r="M388" s="210"/>
      <c r="R388" s="365"/>
      <c r="T388" s="211"/>
      <c r="AC388" s="366"/>
    </row>
    <row r="389" spans="2:29" s="358" customFormat="1" outlineLevel="1">
      <c r="B389" s="353"/>
      <c r="C389" s="354"/>
      <c r="D389" s="354"/>
      <c r="E389" s="355">
        <v>612135101</v>
      </c>
      <c r="F389" s="727" t="s">
        <v>772</v>
      </c>
      <c r="G389" s="727"/>
      <c r="H389" s="727"/>
      <c r="I389" s="727"/>
      <c r="J389" s="215" t="s">
        <v>63</v>
      </c>
      <c r="K389" s="356">
        <f>SUM(K390:K391)</f>
        <v>0.6</v>
      </c>
      <c r="L389" s="728"/>
      <c r="M389" s="728"/>
      <c r="N389" s="729">
        <f>ROUND(L389*K389,2)</f>
        <v>0</v>
      </c>
      <c r="O389" s="729"/>
      <c r="P389" s="729"/>
      <c r="Q389" s="729"/>
      <c r="R389" s="357"/>
      <c r="T389" s="216"/>
      <c r="U389" s="359"/>
      <c r="V389" s="359"/>
      <c r="W389" s="359"/>
      <c r="X389" s="359"/>
      <c r="Y389" s="359"/>
      <c r="Z389" s="359"/>
      <c r="AA389" s="359"/>
      <c r="AB389" s="359"/>
      <c r="AC389" s="361"/>
    </row>
    <row r="390" spans="2:29" s="248" customFormat="1" ht="22.5" outlineLevel="1">
      <c r="B390" s="247"/>
      <c r="E390" s="349" t="s">
        <v>691</v>
      </c>
      <c r="F390" s="717" t="s">
        <v>840</v>
      </c>
      <c r="G390" s="718" t="e">
        <f>9*0.5*F390</f>
        <v>#VALUE!</v>
      </c>
      <c r="H390" s="718" t="e">
        <f>9*0.5*G390</f>
        <v>#VALUE!</v>
      </c>
      <c r="I390" s="718" t="e">
        <f>9*0.5*H390</f>
        <v>#VALUE!</v>
      </c>
      <c r="J390" s="64">
        <v>0.15</v>
      </c>
      <c r="K390" s="350">
        <f>9*0.5*J390</f>
        <v>0.67499999999999993</v>
      </c>
      <c r="L390" s="196"/>
      <c r="M390" s="196"/>
      <c r="R390" s="249"/>
      <c r="T390" s="45"/>
      <c r="AC390" s="351"/>
    </row>
    <row r="391" spans="2:29" s="333" customFormat="1" outlineLevel="1">
      <c r="B391" s="362"/>
      <c r="E391" s="363" t="s">
        <v>2520</v>
      </c>
      <c r="F391" s="715" t="s">
        <v>2456</v>
      </c>
      <c r="G391" s="716">
        <f>(1.4+1.5)*2*(0.25*0.6)*12+0.35*0.45*2.3</f>
        <v>10.802249999999999</v>
      </c>
      <c r="H391" s="716">
        <f>(1.4+1.5)*2*(0.25*0.6)*12+0.35*0.45*2.3</f>
        <v>10.802249999999999</v>
      </c>
      <c r="I391" s="716">
        <f>(1.4+1.5)*2*(0.25*0.6)*12+0.35*0.45*2.3</f>
        <v>10.802249999999999</v>
      </c>
      <c r="J391" s="209">
        <v>-1</v>
      </c>
      <c r="K391" s="364">
        <f>K170*J391</f>
        <v>-7.4999999999999997E-2</v>
      </c>
      <c r="L391" s="210"/>
      <c r="M391" s="210"/>
      <c r="R391" s="365"/>
      <c r="T391" s="211"/>
      <c r="AC391" s="366"/>
    </row>
    <row r="392" spans="2:29" s="341" customFormat="1" ht="12.75">
      <c r="B392" s="340"/>
      <c r="C392" s="344"/>
      <c r="D392" s="344" t="s">
        <v>670</v>
      </c>
      <c r="E392" s="344"/>
      <c r="F392" s="344"/>
      <c r="G392" s="344"/>
      <c r="H392" s="344"/>
      <c r="I392" s="344"/>
      <c r="J392" s="61"/>
      <c r="K392" s="344"/>
      <c r="L392" s="72"/>
      <c r="M392" s="72"/>
      <c r="N392" s="734">
        <f>SUM(N393:Q589)</f>
        <v>0</v>
      </c>
      <c r="O392" s="734"/>
      <c r="P392" s="734"/>
      <c r="Q392" s="734"/>
      <c r="R392" s="342"/>
      <c r="T392" s="45">
        <f>SUM(N392:Q589)/2</f>
        <v>0</v>
      </c>
      <c r="U392" s="248"/>
      <c r="V392" s="248"/>
      <c r="W392" s="248"/>
      <c r="X392" s="248"/>
      <c r="Y392" s="248"/>
      <c r="Z392" s="248"/>
      <c r="AA392" s="248"/>
      <c r="AB392" s="248"/>
      <c r="AC392" s="343"/>
    </row>
    <row r="393" spans="2:29" outlineLevel="1">
      <c r="B393" s="237"/>
      <c r="C393" s="345"/>
      <c r="D393" s="345" t="s">
        <v>62</v>
      </c>
      <c r="E393" s="346">
        <v>985131311</v>
      </c>
      <c r="F393" s="719" t="s">
        <v>694</v>
      </c>
      <c r="G393" s="719"/>
      <c r="H393" s="719"/>
      <c r="I393" s="719"/>
      <c r="J393" s="63" t="s">
        <v>63</v>
      </c>
      <c r="K393" s="347">
        <f>K374</f>
        <v>574.04000000000008</v>
      </c>
      <c r="L393" s="726"/>
      <c r="M393" s="726"/>
      <c r="N393" s="720">
        <f>ROUND(L393*K393,2)</f>
        <v>0</v>
      </c>
      <c r="O393" s="720"/>
      <c r="P393" s="720"/>
      <c r="Q393" s="720"/>
      <c r="R393" s="238"/>
      <c r="T393" s="45">
        <f>N173</f>
        <v>0</v>
      </c>
    </row>
    <row r="394" spans="2:29" s="374" customFormat="1" outlineLevel="1">
      <c r="B394" s="370"/>
      <c r="C394" s="371"/>
      <c r="D394" s="371" t="s">
        <v>679</v>
      </c>
      <c r="E394" s="753" t="s">
        <v>680</v>
      </c>
      <c r="F394" s="754"/>
      <c r="G394" s="754"/>
      <c r="H394" s="754"/>
      <c r="I394" s="755"/>
      <c r="J394" s="145"/>
      <c r="K394" s="372">
        <f>SUM(K395:K396)</f>
        <v>20.149999999999999</v>
      </c>
      <c r="L394" s="756"/>
      <c r="M394" s="756"/>
      <c r="N394" s="757"/>
      <c r="O394" s="757"/>
      <c r="P394" s="757"/>
      <c r="Q394" s="757"/>
      <c r="R394" s="373"/>
      <c r="T394" s="144"/>
      <c r="U394" s="375"/>
      <c r="V394" s="375"/>
      <c r="W394" s="375"/>
      <c r="X394" s="375"/>
      <c r="Y394" s="375"/>
      <c r="Z394" s="375"/>
      <c r="AA394" s="375"/>
      <c r="AB394" s="375"/>
      <c r="AC394" s="376"/>
    </row>
    <row r="395" spans="2:29" s="378" customFormat="1" outlineLevel="1">
      <c r="B395" s="377"/>
      <c r="E395" s="379" t="s">
        <v>2274</v>
      </c>
      <c r="F395" s="748" t="s">
        <v>2275</v>
      </c>
      <c r="G395" s="749">
        <f>(12.3+7.6)*(1.1+2)/2</f>
        <v>30.844999999999999</v>
      </c>
      <c r="H395" s="749">
        <f>(12.3+7.6)*(1.1+2)/2</f>
        <v>30.844999999999999</v>
      </c>
      <c r="I395" s="749">
        <f>(12.3+7.6)*(1.1+2)/2</f>
        <v>30.844999999999999</v>
      </c>
      <c r="J395" s="195"/>
      <c r="K395" s="380">
        <f>(12.3+7.6)*(1.1+2)/2</f>
        <v>30.844999999999999</v>
      </c>
      <c r="L395" s="197"/>
      <c r="M395" s="197"/>
      <c r="R395" s="381"/>
      <c r="T395" s="194"/>
      <c r="AC395" s="382"/>
    </row>
    <row r="396" spans="2:29" s="333" customFormat="1" outlineLevel="1">
      <c r="B396" s="362"/>
      <c r="E396" s="363" t="s">
        <v>2520</v>
      </c>
      <c r="F396" s="715" t="s">
        <v>2456</v>
      </c>
      <c r="G396" s="716">
        <f>(1.4+1.5)*2*(0.25*0.6)*12+0.35*0.45*2.3</f>
        <v>10.802249999999999</v>
      </c>
      <c r="H396" s="716">
        <f>(1.4+1.5)*2*(0.25*0.6)*12+0.35*0.45*2.3</f>
        <v>10.802249999999999</v>
      </c>
      <c r="I396" s="716">
        <f>(1.4+1.5)*2*(0.25*0.6)*12+0.35*0.45*2.3</f>
        <v>10.802249999999999</v>
      </c>
      <c r="J396" s="209">
        <v>-1</v>
      </c>
      <c r="K396" s="364">
        <f>K174*J396</f>
        <v>-10.695</v>
      </c>
      <c r="L396" s="210"/>
      <c r="M396" s="210"/>
      <c r="R396" s="365"/>
      <c r="T396" s="211"/>
      <c r="AC396" s="366"/>
    </row>
    <row r="397" spans="2:29" outlineLevel="1">
      <c r="B397" s="237"/>
      <c r="C397" s="345"/>
      <c r="D397" s="345" t="s">
        <v>62</v>
      </c>
      <c r="E397" s="346">
        <v>985311112</v>
      </c>
      <c r="F397" s="719" t="s">
        <v>695</v>
      </c>
      <c r="G397" s="719"/>
      <c r="H397" s="719"/>
      <c r="I397" s="719"/>
      <c r="J397" s="63" t="s">
        <v>63</v>
      </c>
      <c r="K397" s="347">
        <f>K394</f>
        <v>20.149999999999999</v>
      </c>
      <c r="L397" s="726"/>
      <c r="M397" s="726"/>
      <c r="N397" s="720">
        <f>ROUND(L397*K397,2)</f>
        <v>0</v>
      </c>
      <c r="O397" s="720"/>
      <c r="P397" s="720"/>
      <c r="Q397" s="720"/>
      <c r="R397" s="238"/>
      <c r="T397" s="45"/>
    </row>
    <row r="398" spans="2:29" s="358" customFormat="1" ht="27" customHeight="1" outlineLevel="1">
      <c r="B398" s="353"/>
      <c r="C398" s="354"/>
      <c r="D398" s="354" t="s">
        <v>62</v>
      </c>
      <c r="E398" s="355">
        <v>711191201</v>
      </c>
      <c r="F398" s="727" t="s">
        <v>411</v>
      </c>
      <c r="G398" s="727"/>
      <c r="H398" s="727"/>
      <c r="I398" s="727"/>
      <c r="J398" s="215" t="s">
        <v>63</v>
      </c>
      <c r="K398" s="356">
        <f>SUM(K399:K400)</f>
        <v>10.399999999999999</v>
      </c>
      <c r="L398" s="728"/>
      <c r="M398" s="728"/>
      <c r="N398" s="729">
        <f>ROUND(L398*K398,2)</f>
        <v>0</v>
      </c>
      <c r="O398" s="729"/>
      <c r="P398" s="729"/>
      <c r="Q398" s="729"/>
      <c r="R398" s="357"/>
      <c r="T398" s="216"/>
      <c r="U398" s="359"/>
      <c r="AC398" s="361"/>
    </row>
    <row r="399" spans="2:29" s="248" customFormat="1" outlineLevel="1">
      <c r="B399" s="247"/>
      <c r="E399" s="349" t="s">
        <v>696</v>
      </c>
      <c r="F399" s="717" t="s">
        <v>841</v>
      </c>
      <c r="G399" s="718">
        <f>(12.3+7.6)*0.8</f>
        <v>15.92</v>
      </c>
      <c r="H399" s="718">
        <f>(12.3+7.6)*0.8</f>
        <v>15.92</v>
      </c>
      <c r="I399" s="718">
        <f>(12.3+7.6)*0.8</f>
        <v>15.92</v>
      </c>
      <c r="J399" s="64"/>
      <c r="K399" s="350">
        <f>(12.3+7.6)*0.8</f>
        <v>15.92</v>
      </c>
      <c r="L399" s="196"/>
      <c r="M399" s="196"/>
      <c r="R399" s="249"/>
      <c r="T399" s="45"/>
      <c r="AC399" s="351"/>
    </row>
    <row r="400" spans="2:29" s="333" customFormat="1" outlineLevel="1">
      <c r="B400" s="362"/>
      <c r="E400" s="363" t="s">
        <v>2520</v>
      </c>
      <c r="F400" s="715" t="s">
        <v>2456</v>
      </c>
      <c r="G400" s="716">
        <f>(1.4+1.5)*2*(0.25*0.6)*12+0.35*0.45*2.3</f>
        <v>10.802249999999999</v>
      </c>
      <c r="H400" s="716">
        <f>(1.4+1.5)*2*(0.25*0.6)*12+0.35*0.45*2.3</f>
        <v>10.802249999999999</v>
      </c>
      <c r="I400" s="716">
        <f>(1.4+1.5)*2*(0.25*0.6)*12+0.35*0.45*2.3</f>
        <v>10.802249999999999</v>
      </c>
      <c r="J400" s="209">
        <v>-1</v>
      </c>
      <c r="K400" s="364">
        <f>K177*J400</f>
        <v>-5.5200000000000005</v>
      </c>
      <c r="L400" s="210"/>
      <c r="M400" s="210"/>
      <c r="R400" s="365"/>
      <c r="T400" s="211"/>
      <c r="AC400" s="366"/>
    </row>
    <row r="401" spans="2:29" outlineLevel="1">
      <c r="B401" s="237"/>
      <c r="C401" s="345"/>
      <c r="D401" s="345" t="s">
        <v>62</v>
      </c>
      <c r="E401" s="346">
        <v>711192202</v>
      </c>
      <c r="F401" s="719" t="s">
        <v>410</v>
      </c>
      <c r="G401" s="719"/>
      <c r="H401" s="719"/>
      <c r="I401" s="719"/>
      <c r="J401" s="63" t="s">
        <v>63</v>
      </c>
      <c r="K401" s="347">
        <f>K394</f>
        <v>20.149999999999999</v>
      </c>
      <c r="L401" s="726"/>
      <c r="M401" s="726"/>
      <c r="N401" s="720">
        <f>ROUND(L401*K401,2)</f>
        <v>0</v>
      </c>
      <c r="O401" s="720"/>
      <c r="P401" s="720"/>
      <c r="Q401" s="720"/>
      <c r="R401" s="238"/>
      <c r="T401" s="45"/>
    </row>
    <row r="402" spans="2:29" s="358" customFormat="1" outlineLevel="1">
      <c r="B402" s="353"/>
      <c r="C402" s="354"/>
      <c r="D402" s="354" t="s">
        <v>62</v>
      </c>
      <c r="E402" s="355">
        <v>711199101</v>
      </c>
      <c r="F402" s="727" t="s">
        <v>697</v>
      </c>
      <c r="G402" s="727"/>
      <c r="H402" s="727"/>
      <c r="I402" s="727"/>
      <c r="J402" s="215" t="s">
        <v>68</v>
      </c>
      <c r="K402" s="356">
        <f>SUM(K403:K405)</f>
        <v>16.099999999999994</v>
      </c>
      <c r="L402" s="728"/>
      <c r="M402" s="728"/>
      <c r="N402" s="729">
        <f>ROUND(L402*K402,2)</f>
        <v>0</v>
      </c>
      <c r="O402" s="729"/>
      <c r="P402" s="729"/>
      <c r="Q402" s="729"/>
      <c r="R402" s="357"/>
      <c r="T402" s="216"/>
      <c r="U402" s="359"/>
      <c r="V402" s="359"/>
      <c r="W402" s="359"/>
      <c r="X402" s="359"/>
      <c r="Y402" s="359"/>
      <c r="Z402" s="359"/>
      <c r="AA402" s="359"/>
      <c r="AB402" s="359"/>
      <c r="AC402" s="361"/>
    </row>
    <row r="403" spans="2:29" s="248" customFormat="1" outlineLevel="1">
      <c r="B403" s="247"/>
      <c r="E403" s="349" t="s">
        <v>698</v>
      </c>
      <c r="F403" s="717" t="s">
        <v>842</v>
      </c>
      <c r="G403" s="718">
        <f>(12.3+7.6)</f>
        <v>19.899999999999999</v>
      </c>
      <c r="H403" s="718">
        <f>(12.3+7.6)</f>
        <v>19.899999999999999</v>
      </c>
      <c r="I403" s="718">
        <f>(12.3+7.6)</f>
        <v>19.899999999999999</v>
      </c>
      <c r="J403" s="64"/>
      <c r="K403" s="350">
        <f>(12.3+7.6)</f>
        <v>19.899999999999999</v>
      </c>
      <c r="L403" s="196"/>
      <c r="M403" s="196"/>
      <c r="R403" s="249"/>
      <c r="T403" s="45"/>
      <c r="AC403" s="351"/>
    </row>
    <row r="404" spans="2:29" s="248" customFormat="1" outlineLevel="1">
      <c r="B404" s="247"/>
      <c r="E404" s="349" t="s">
        <v>699</v>
      </c>
      <c r="F404" s="717" t="s">
        <v>843</v>
      </c>
      <c r="G404" s="718">
        <f>(1.1+2)/2*3</f>
        <v>4.6500000000000004</v>
      </c>
      <c r="H404" s="718">
        <f>(1.1+2)/2*3</f>
        <v>4.6500000000000004</v>
      </c>
      <c r="I404" s="718">
        <f>(1.1+2)/2*3</f>
        <v>4.6500000000000004</v>
      </c>
      <c r="J404" s="64"/>
      <c r="K404" s="350">
        <f>(1.1+2)/2*3</f>
        <v>4.6500000000000004</v>
      </c>
      <c r="L404" s="196"/>
      <c r="M404" s="196"/>
      <c r="R404" s="249"/>
      <c r="T404" s="45"/>
      <c r="AC404" s="351"/>
    </row>
    <row r="405" spans="2:29" s="333" customFormat="1" outlineLevel="1">
      <c r="B405" s="362"/>
      <c r="E405" s="363" t="s">
        <v>2520</v>
      </c>
      <c r="F405" s="715" t="s">
        <v>2456</v>
      </c>
      <c r="G405" s="716">
        <f>(1.4+1.5)*2*(0.25*0.6)*12+0.35*0.45*2.3</f>
        <v>10.802249999999999</v>
      </c>
      <c r="H405" s="716">
        <f>(1.4+1.5)*2*(0.25*0.6)*12+0.35*0.45*2.3</f>
        <v>10.802249999999999</v>
      </c>
      <c r="I405" s="716">
        <f>(1.4+1.5)*2*(0.25*0.6)*12+0.35*0.45*2.3</f>
        <v>10.802249999999999</v>
      </c>
      <c r="J405" s="209">
        <v>-1</v>
      </c>
      <c r="K405" s="364">
        <f>K180*J405</f>
        <v>-8.4500000000000011</v>
      </c>
      <c r="L405" s="210"/>
      <c r="M405" s="210"/>
      <c r="R405" s="365"/>
      <c r="T405" s="211"/>
      <c r="AC405" s="366"/>
    </row>
    <row r="406" spans="2:29" ht="11.25" customHeight="1" outlineLevel="1">
      <c r="B406" s="237"/>
      <c r="C406" s="383"/>
      <c r="D406" s="383" t="s">
        <v>65</v>
      </c>
      <c r="E406" s="384" t="s">
        <v>710</v>
      </c>
      <c r="F406" s="751" t="s">
        <v>711</v>
      </c>
      <c r="G406" s="751"/>
      <c r="H406" s="751"/>
      <c r="I406" s="751"/>
      <c r="J406" s="65" t="s">
        <v>412</v>
      </c>
      <c r="K406" s="385">
        <f>SUM(K407:K407)</f>
        <v>120.97799999999999</v>
      </c>
      <c r="L406" s="726"/>
      <c r="M406" s="726"/>
      <c r="N406" s="752">
        <f>ROUND(L406*K406,2)</f>
        <v>0</v>
      </c>
      <c r="O406" s="720"/>
      <c r="P406" s="720"/>
      <c r="Q406" s="720"/>
      <c r="R406" s="238"/>
      <c r="T406" s="45"/>
      <c r="V406" s="236"/>
      <c r="W406" s="236"/>
      <c r="X406" s="236"/>
      <c r="Y406" s="236"/>
      <c r="Z406" s="236"/>
      <c r="AA406" s="236"/>
      <c r="AB406" s="236"/>
    </row>
    <row r="407" spans="2:29" s="248" customFormat="1" outlineLevel="1">
      <c r="B407" s="247"/>
      <c r="E407" s="349" t="s">
        <v>700</v>
      </c>
      <c r="F407" s="717" t="s">
        <v>703</v>
      </c>
      <c r="G407" s="718"/>
      <c r="H407" s="718"/>
      <c r="I407" s="718"/>
      <c r="J407" s="64">
        <f>1.8*2*1.1</f>
        <v>3.9600000000000004</v>
      </c>
      <c r="K407" s="350">
        <f>(K398+K401)*J407</f>
        <v>120.97799999999999</v>
      </c>
      <c r="L407" s="196"/>
      <c r="M407" s="196"/>
      <c r="R407" s="249"/>
      <c r="T407" s="45"/>
      <c r="AC407" s="351"/>
    </row>
    <row r="408" spans="2:29" s="358" customFormat="1" ht="11.25" customHeight="1" outlineLevel="1">
      <c r="B408" s="353"/>
      <c r="C408" s="386"/>
      <c r="D408" s="386" t="s">
        <v>65</v>
      </c>
      <c r="E408" s="387" t="s">
        <v>701</v>
      </c>
      <c r="F408" s="750" t="s">
        <v>702</v>
      </c>
      <c r="G408" s="750"/>
      <c r="H408" s="750"/>
      <c r="I408" s="750"/>
      <c r="J408" s="219" t="s">
        <v>68</v>
      </c>
      <c r="K408" s="388">
        <f>SUM(K409:K412)</f>
        <v>17.709999999999994</v>
      </c>
      <c r="L408" s="728"/>
      <c r="M408" s="728"/>
      <c r="N408" s="758">
        <f>ROUND(L408*K408,2)</f>
        <v>0</v>
      </c>
      <c r="O408" s="729"/>
      <c r="P408" s="729"/>
      <c r="Q408" s="729"/>
      <c r="R408" s="357"/>
      <c r="T408" s="216"/>
      <c r="U408" s="359"/>
      <c r="AC408" s="361"/>
    </row>
    <row r="409" spans="2:29" s="248" customFormat="1" outlineLevel="1">
      <c r="B409" s="247"/>
      <c r="E409" s="349" t="s">
        <v>698</v>
      </c>
      <c r="F409" s="717" t="s">
        <v>842</v>
      </c>
      <c r="G409" s="718">
        <f>(12.3+7.6)</f>
        <v>19.899999999999999</v>
      </c>
      <c r="H409" s="718">
        <f>(12.3+7.6)</f>
        <v>19.899999999999999</v>
      </c>
      <c r="I409" s="718">
        <f>(12.3+7.6)</f>
        <v>19.899999999999999</v>
      </c>
      <c r="J409" s="64"/>
      <c r="K409" s="350">
        <f>(12.3+7.6)</f>
        <v>19.899999999999999</v>
      </c>
      <c r="L409" s="196"/>
      <c r="M409" s="196"/>
      <c r="R409" s="249"/>
      <c r="T409" s="45"/>
      <c r="AC409" s="351"/>
    </row>
    <row r="410" spans="2:29" s="248" customFormat="1" outlineLevel="1">
      <c r="B410" s="247"/>
      <c r="E410" s="349" t="s">
        <v>699</v>
      </c>
      <c r="F410" s="717" t="s">
        <v>843</v>
      </c>
      <c r="G410" s="718">
        <f>(1.1+2)/2*3</f>
        <v>4.6500000000000004</v>
      </c>
      <c r="H410" s="718">
        <f>(1.1+2)/2*3</f>
        <v>4.6500000000000004</v>
      </c>
      <c r="I410" s="718">
        <f>(1.1+2)/2*3</f>
        <v>4.6500000000000004</v>
      </c>
      <c r="J410" s="64"/>
      <c r="K410" s="350">
        <f>(1.1+2)/2*3</f>
        <v>4.6500000000000004</v>
      </c>
      <c r="L410" s="196"/>
      <c r="M410" s="196"/>
      <c r="R410" s="249"/>
      <c r="T410" s="45"/>
      <c r="AC410" s="351"/>
    </row>
    <row r="411" spans="2:29" s="248" customFormat="1" ht="22.5" outlineLevel="1">
      <c r="B411" s="247"/>
      <c r="E411" s="349" t="s">
        <v>704</v>
      </c>
      <c r="F411" s="717"/>
      <c r="G411" s="718"/>
      <c r="H411" s="718"/>
      <c r="I411" s="718"/>
      <c r="J411" s="141">
        <v>0.1</v>
      </c>
      <c r="K411" s="350">
        <f>SUM(K409:K410)*J411</f>
        <v>2.4550000000000001</v>
      </c>
      <c r="L411" s="196"/>
      <c r="M411" s="196"/>
      <c r="R411" s="249"/>
      <c r="T411" s="45"/>
      <c r="AC411" s="351"/>
    </row>
    <row r="412" spans="2:29" s="333" customFormat="1" outlineLevel="1">
      <c r="B412" s="362"/>
      <c r="E412" s="363" t="s">
        <v>2520</v>
      </c>
      <c r="F412" s="715" t="s">
        <v>2456</v>
      </c>
      <c r="G412" s="716">
        <f>(1.4+1.5)*2*(0.25*0.6)*12+0.35*0.45*2.3</f>
        <v>10.802249999999999</v>
      </c>
      <c r="H412" s="716">
        <f>(1.4+1.5)*2*(0.25*0.6)*12+0.35*0.45*2.3</f>
        <v>10.802249999999999</v>
      </c>
      <c r="I412" s="716">
        <f>(1.4+1.5)*2*(0.25*0.6)*12+0.35*0.45*2.3</f>
        <v>10.802249999999999</v>
      </c>
      <c r="J412" s="209">
        <v>-1</v>
      </c>
      <c r="K412" s="364">
        <f>K185*J412</f>
        <v>-9.2950000000000017</v>
      </c>
      <c r="L412" s="210"/>
      <c r="M412" s="210"/>
      <c r="R412" s="365"/>
      <c r="T412" s="211"/>
      <c r="AC412" s="366"/>
    </row>
    <row r="413" spans="2:29" outlineLevel="1">
      <c r="B413" s="237"/>
      <c r="C413" s="345"/>
      <c r="D413" s="345" t="s">
        <v>62</v>
      </c>
      <c r="E413" s="346" t="s">
        <v>705</v>
      </c>
      <c r="F413" s="719" t="s">
        <v>706</v>
      </c>
      <c r="G413" s="719"/>
      <c r="H413" s="719"/>
      <c r="I413" s="719"/>
      <c r="J413" s="63" t="s">
        <v>63</v>
      </c>
      <c r="K413" s="347">
        <f>K394</f>
        <v>20.149999999999999</v>
      </c>
      <c r="L413" s="726"/>
      <c r="M413" s="726"/>
      <c r="N413" s="720">
        <f>ROUND(L413*K413,2)</f>
        <v>0</v>
      </c>
      <c r="O413" s="720"/>
      <c r="P413" s="720"/>
      <c r="Q413" s="720"/>
      <c r="R413" s="238"/>
      <c r="T413" s="45"/>
    </row>
    <row r="414" spans="2:29" ht="11.25" customHeight="1" outlineLevel="1">
      <c r="B414" s="237"/>
      <c r="C414" s="383"/>
      <c r="D414" s="383" t="s">
        <v>65</v>
      </c>
      <c r="E414" s="384" t="s">
        <v>708</v>
      </c>
      <c r="F414" s="751" t="s">
        <v>709</v>
      </c>
      <c r="G414" s="751"/>
      <c r="H414" s="751"/>
      <c r="I414" s="751"/>
      <c r="J414" s="65" t="s">
        <v>63</v>
      </c>
      <c r="K414" s="385">
        <f>SUM(K415:K416)</f>
        <v>22.164999999999999</v>
      </c>
      <c r="L414" s="726"/>
      <c r="M414" s="726"/>
      <c r="N414" s="752">
        <f>ROUND(L414*K414,2)</f>
        <v>0</v>
      </c>
      <c r="O414" s="720"/>
      <c r="P414" s="720"/>
      <c r="Q414" s="720"/>
      <c r="R414" s="238"/>
      <c r="T414" s="45"/>
      <c r="V414" s="236"/>
      <c r="W414" s="236"/>
      <c r="X414" s="236"/>
      <c r="Y414" s="236"/>
      <c r="Z414" s="236"/>
      <c r="AA414" s="236"/>
      <c r="AB414" s="236"/>
    </row>
    <row r="415" spans="2:29" s="248" customFormat="1" outlineLevel="1">
      <c r="B415" s="247"/>
      <c r="E415" s="349" t="s">
        <v>707</v>
      </c>
      <c r="F415" s="717" t="s">
        <v>187</v>
      </c>
      <c r="G415" s="718"/>
      <c r="H415" s="718"/>
      <c r="I415" s="718"/>
      <c r="J415" s="64"/>
      <c r="K415" s="350">
        <f>K394</f>
        <v>20.149999999999999</v>
      </c>
      <c r="L415" s="196"/>
      <c r="M415" s="196"/>
      <c r="R415" s="249"/>
      <c r="T415" s="45"/>
      <c r="AC415" s="351"/>
    </row>
    <row r="416" spans="2:29" s="248" customFormat="1" ht="22.5" outlineLevel="1">
      <c r="B416" s="247"/>
      <c r="E416" s="349" t="s">
        <v>704</v>
      </c>
      <c r="F416" s="717"/>
      <c r="G416" s="718"/>
      <c r="H416" s="718"/>
      <c r="I416" s="718"/>
      <c r="J416" s="141">
        <v>0.1</v>
      </c>
      <c r="K416" s="350">
        <f>SUM(K415:K415)*J416</f>
        <v>2.0150000000000001</v>
      </c>
      <c r="L416" s="196"/>
      <c r="M416" s="196"/>
      <c r="R416" s="249"/>
      <c r="T416" s="45"/>
      <c r="AC416" s="351"/>
    </row>
    <row r="417" spans="2:29" s="358" customFormat="1" ht="27" customHeight="1" outlineLevel="1">
      <c r="B417" s="353"/>
      <c r="C417" s="354"/>
      <c r="D417" s="354" t="s">
        <v>62</v>
      </c>
      <c r="E417" s="355">
        <v>711161122</v>
      </c>
      <c r="F417" s="727" t="s">
        <v>714</v>
      </c>
      <c r="G417" s="727"/>
      <c r="H417" s="727"/>
      <c r="I417" s="727"/>
      <c r="J417" s="215" t="s">
        <v>63</v>
      </c>
      <c r="K417" s="356">
        <f>SUM(K418:K419)</f>
        <v>10.399999999999999</v>
      </c>
      <c r="L417" s="728"/>
      <c r="M417" s="728"/>
      <c r="N417" s="729">
        <f>ROUND(L417*K417,2)</f>
        <v>0</v>
      </c>
      <c r="O417" s="729"/>
      <c r="P417" s="729"/>
      <c r="Q417" s="729"/>
      <c r="R417" s="357"/>
      <c r="T417" s="216"/>
      <c r="U417" s="359"/>
      <c r="AC417" s="361"/>
    </row>
    <row r="418" spans="2:29" s="248" customFormat="1" outlineLevel="1">
      <c r="B418" s="247"/>
      <c r="E418" s="349" t="s">
        <v>696</v>
      </c>
      <c r="F418" s="717" t="s">
        <v>841</v>
      </c>
      <c r="G418" s="718">
        <f>(12.3+7.6)*0.8</f>
        <v>15.92</v>
      </c>
      <c r="H418" s="718">
        <f>(12.3+7.6)*0.8</f>
        <v>15.92</v>
      </c>
      <c r="I418" s="718">
        <f>(12.3+7.6)*0.8</f>
        <v>15.92</v>
      </c>
      <c r="J418" s="64"/>
      <c r="K418" s="350">
        <f>(12.3+7.6)*0.8</f>
        <v>15.92</v>
      </c>
      <c r="L418" s="196"/>
      <c r="M418" s="196"/>
      <c r="R418" s="249"/>
      <c r="T418" s="45"/>
      <c r="AC418" s="351"/>
    </row>
    <row r="419" spans="2:29" s="333" customFormat="1" outlineLevel="1">
      <c r="B419" s="362"/>
      <c r="E419" s="363" t="s">
        <v>2520</v>
      </c>
      <c r="F419" s="715" t="s">
        <v>2456</v>
      </c>
      <c r="G419" s="716">
        <f>(1.4+1.5)*2*(0.25*0.6)*12+0.35*0.45*2.3</f>
        <v>10.802249999999999</v>
      </c>
      <c r="H419" s="716">
        <f>(1.4+1.5)*2*(0.25*0.6)*12+0.35*0.45*2.3</f>
        <v>10.802249999999999</v>
      </c>
      <c r="I419" s="716">
        <f>(1.4+1.5)*2*(0.25*0.6)*12+0.35*0.45*2.3</f>
        <v>10.802249999999999</v>
      </c>
      <c r="J419" s="209">
        <v>-1</v>
      </c>
      <c r="K419" s="364">
        <f>K193*J419</f>
        <v>-5.5200000000000005</v>
      </c>
      <c r="L419" s="210"/>
      <c r="M419" s="210"/>
      <c r="R419" s="365"/>
      <c r="T419" s="211"/>
      <c r="AC419" s="366"/>
    </row>
    <row r="420" spans="2:29" outlineLevel="1">
      <c r="B420" s="237"/>
      <c r="C420" s="345"/>
      <c r="D420" s="345" t="s">
        <v>62</v>
      </c>
      <c r="E420" s="346">
        <v>711161222</v>
      </c>
      <c r="F420" s="719" t="s">
        <v>715</v>
      </c>
      <c r="G420" s="719"/>
      <c r="H420" s="719"/>
      <c r="I420" s="719"/>
      <c r="J420" s="63" t="s">
        <v>63</v>
      </c>
      <c r="K420" s="347">
        <f>K394</f>
        <v>20.149999999999999</v>
      </c>
      <c r="L420" s="726"/>
      <c r="M420" s="726"/>
      <c r="N420" s="720">
        <f>ROUND(L420*K420,2)</f>
        <v>0</v>
      </c>
      <c r="O420" s="720"/>
      <c r="P420" s="720"/>
      <c r="Q420" s="720"/>
      <c r="R420" s="238"/>
      <c r="T420" s="45"/>
    </row>
    <row r="421" spans="2:29" s="358" customFormat="1" outlineLevel="1">
      <c r="B421" s="353"/>
      <c r="C421" s="354"/>
      <c r="D421" s="354" t="s">
        <v>62</v>
      </c>
      <c r="E421" s="355" t="s">
        <v>716</v>
      </c>
      <c r="F421" s="727" t="s">
        <v>717</v>
      </c>
      <c r="G421" s="727"/>
      <c r="H421" s="727"/>
      <c r="I421" s="727"/>
      <c r="J421" s="215" t="s">
        <v>68</v>
      </c>
      <c r="K421" s="356">
        <f>SUM(K422:K423)</f>
        <v>12.999999999999998</v>
      </c>
      <c r="L421" s="728"/>
      <c r="M421" s="728"/>
      <c r="N421" s="729">
        <f>ROUND(L421*K421,2)</f>
        <v>0</v>
      </c>
      <c r="O421" s="729"/>
      <c r="P421" s="729"/>
      <c r="Q421" s="729"/>
      <c r="R421" s="357"/>
      <c r="T421" s="216"/>
      <c r="U421" s="359"/>
      <c r="V421" s="359"/>
      <c r="W421" s="359"/>
      <c r="X421" s="359"/>
      <c r="Y421" s="359"/>
      <c r="Z421" s="359"/>
      <c r="AA421" s="359"/>
      <c r="AB421" s="359"/>
      <c r="AC421" s="361"/>
    </row>
    <row r="422" spans="2:29" s="248" customFormat="1" outlineLevel="1">
      <c r="B422" s="247"/>
      <c r="E422" s="349" t="s">
        <v>698</v>
      </c>
      <c r="F422" s="717" t="s">
        <v>842</v>
      </c>
      <c r="G422" s="718">
        <f>(12.3+7.6)</f>
        <v>19.899999999999999</v>
      </c>
      <c r="H422" s="718">
        <f>(12.3+7.6)</f>
        <v>19.899999999999999</v>
      </c>
      <c r="I422" s="718">
        <f>(12.3+7.6)</f>
        <v>19.899999999999999</v>
      </c>
      <c r="J422" s="64"/>
      <c r="K422" s="350">
        <f>(12.3+7.6)</f>
        <v>19.899999999999999</v>
      </c>
      <c r="L422" s="196"/>
      <c r="M422" s="196"/>
      <c r="R422" s="249"/>
      <c r="T422" s="45"/>
      <c r="AC422" s="351"/>
    </row>
    <row r="423" spans="2:29" s="333" customFormat="1" outlineLevel="1">
      <c r="B423" s="362"/>
      <c r="E423" s="363" t="s">
        <v>2520</v>
      </c>
      <c r="F423" s="715" t="s">
        <v>2456</v>
      </c>
      <c r="G423" s="716">
        <f>(1.4+1.5)*2*(0.25*0.6)*12+0.35*0.45*2.3</f>
        <v>10.802249999999999</v>
      </c>
      <c r="H423" s="716">
        <f>(1.4+1.5)*2*(0.25*0.6)*12+0.35*0.45*2.3</f>
        <v>10.802249999999999</v>
      </c>
      <c r="I423" s="716">
        <f>(1.4+1.5)*2*(0.25*0.6)*12+0.35*0.45*2.3</f>
        <v>10.802249999999999</v>
      </c>
      <c r="J423" s="209">
        <v>-1</v>
      </c>
      <c r="K423" s="364">
        <f>K196*J423</f>
        <v>-6.9</v>
      </c>
      <c r="L423" s="210"/>
      <c r="M423" s="210"/>
      <c r="R423" s="365"/>
      <c r="T423" s="211"/>
      <c r="AC423" s="366"/>
    </row>
    <row r="424" spans="2:29" s="374" customFormat="1" outlineLevel="1">
      <c r="B424" s="370"/>
      <c r="C424" s="371"/>
      <c r="D424" s="371" t="s">
        <v>712</v>
      </c>
      <c r="E424" s="753" t="s">
        <v>713</v>
      </c>
      <c r="F424" s="754"/>
      <c r="G424" s="754"/>
      <c r="H424" s="754"/>
      <c r="I424" s="755"/>
      <c r="J424" s="145"/>
      <c r="K424" s="372">
        <f>SUM(K425:K426)</f>
        <v>20.78</v>
      </c>
      <c r="L424" s="756"/>
      <c r="M424" s="756"/>
      <c r="N424" s="757"/>
      <c r="O424" s="757"/>
      <c r="P424" s="757"/>
      <c r="Q424" s="757"/>
      <c r="R424" s="373"/>
      <c r="T424" s="144"/>
      <c r="U424" s="375"/>
      <c r="V424" s="375"/>
      <c r="W424" s="375"/>
      <c r="X424" s="375"/>
      <c r="Y424" s="375"/>
      <c r="Z424" s="375"/>
      <c r="AA424" s="375"/>
      <c r="AB424" s="375"/>
      <c r="AC424" s="376"/>
    </row>
    <row r="425" spans="2:29" s="378" customFormat="1" outlineLevel="1">
      <c r="B425" s="377"/>
      <c r="E425" s="379" t="s">
        <v>2276</v>
      </c>
      <c r="F425" s="748" t="s">
        <v>2277</v>
      </c>
      <c r="G425" s="749">
        <f>2.9*0.6+(32.5+7.7+19.2)*0.4</f>
        <v>25.500000000000004</v>
      </c>
      <c r="H425" s="749">
        <f>2.9*0.6+(32.5+7.7+19.2)*0.4</f>
        <v>25.500000000000004</v>
      </c>
      <c r="I425" s="749">
        <f>2.9*0.6+(32.5+7.7+19.2)*0.4</f>
        <v>25.500000000000004</v>
      </c>
      <c r="J425" s="195"/>
      <c r="K425" s="380">
        <f>2.9*0.6+(32.5+7.7+19.2)*0.4</f>
        <v>25.500000000000004</v>
      </c>
      <c r="L425" s="197"/>
      <c r="M425" s="197"/>
      <c r="R425" s="381"/>
      <c r="T425" s="194"/>
      <c r="AC425" s="382"/>
    </row>
    <row r="426" spans="2:29" s="333" customFormat="1" outlineLevel="1">
      <c r="B426" s="362"/>
      <c r="E426" s="363" t="s">
        <v>2520</v>
      </c>
      <c r="F426" s="715" t="s">
        <v>2456</v>
      </c>
      <c r="G426" s="716">
        <f>(1.4+1.5)*2*(0.25*0.6)*12+0.35*0.45*2.3</f>
        <v>10.802249999999999</v>
      </c>
      <c r="H426" s="716">
        <f>(1.4+1.5)*2*(0.25*0.6)*12+0.35*0.45*2.3</f>
        <v>10.802249999999999</v>
      </c>
      <c r="I426" s="716">
        <f>(1.4+1.5)*2*(0.25*0.6)*12+0.35*0.45*2.3</f>
        <v>10.802249999999999</v>
      </c>
      <c r="J426" s="209">
        <v>-1</v>
      </c>
      <c r="K426" s="364">
        <f>K198*J426</f>
        <v>-4.7200000000000006</v>
      </c>
      <c r="L426" s="210"/>
      <c r="M426" s="210"/>
      <c r="R426" s="365"/>
      <c r="T426" s="211"/>
      <c r="AC426" s="366"/>
    </row>
    <row r="427" spans="2:29" outlineLevel="1">
      <c r="B427" s="237"/>
      <c r="C427" s="345"/>
      <c r="D427" s="345" t="s">
        <v>62</v>
      </c>
      <c r="E427" s="346">
        <v>985311112</v>
      </c>
      <c r="F427" s="719" t="s">
        <v>695</v>
      </c>
      <c r="G427" s="719"/>
      <c r="H427" s="719"/>
      <c r="I427" s="719"/>
      <c r="J427" s="63" t="s">
        <v>63</v>
      </c>
      <c r="K427" s="347">
        <f>K424</f>
        <v>20.78</v>
      </c>
      <c r="L427" s="726"/>
      <c r="M427" s="726"/>
      <c r="N427" s="720">
        <f>ROUND(L427*K427,2)</f>
        <v>0</v>
      </c>
      <c r="O427" s="720"/>
      <c r="P427" s="720"/>
      <c r="Q427" s="720"/>
      <c r="R427" s="238"/>
      <c r="T427" s="45"/>
    </row>
    <row r="428" spans="2:29" s="358" customFormat="1" ht="27" customHeight="1" outlineLevel="1">
      <c r="B428" s="353"/>
      <c r="C428" s="354"/>
      <c r="D428" s="354" t="s">
        <v>62</v>
      </c>
      <c r="E428" s="355">
        <v>711191201</v>
      </c>
      <c r="F428" s="727" t="s">
        <v>411</v>
      </c>
      <c r="G428" s="727"/>
      <c r="H428" s="727"/>
      <c r="I428" s="727"/>
      <c r="J428" s="215" t="s">
        <v>63</v>
      </c>
      <c r="K428" s="356">
        <f>SUM(K429:K430)</f>
        <v>40.400000000000006</v>
      </c>
      <c r="L428" s="728"/>
      <c r="M428" s="728"/>
      <c r="N428" s="729">
        <f>ROUND(L428*K428,2)</f>
        <v>0</v>
      </c>
      <c r="O428" s="729"/>
      <c r="P428" s="729"/>
      <c r="Q428" s="729"/>
      <c r="R428" s="357"/>
      <c r="T428" s="216"/>
      <c r="U428" s="359"/>
      <c r="AC428" s="361"/>
    </row>
    <row r="429" spans="2:29" s="248" customFormat="1" outlineLevel="1">
      <c r="B429" s="247"/>
      <c r="E429" s="349" t="s">
        <v>696</v>
      </c>
      <c r="F429" s="717" t="s">
        <v>844</v>
      </c>
      <c r="G429" s="718">
        <f>(2.9+32.5+7.7+19.2)*0.8</f>
        <v>49.84</v>
      </c>
      <c r="H429" s="718">
        <f>(2.9+32.5+7.7+19.2)*0.8</f>
        <v>49.84</v>
      </c>
      <c r="I429" s="718">
        <f>(2.9+32.5+7.7+19.2)*0.8</f>
        <v>49.84</v>
      </c>
      <c r="J429" s="64"/>
      <c r="K429" s="350">
        <f>(2.9+32.5+7.7+19.2)*0.8</f>
        <v>49.84</v>
      </c>
      <c r="L429" s="196"/>
      <c r="M429" s="196"/>
      <c r="R429" s="249"/>
      <c r="T429" s="45"/>
      <c r="AC429" s="351"/>
    </row>
    <row r="430" spans="2:29" s="333" customFormat="1" outlineLevel="1">
      <c r="B430" s="362"/>
      <c r="E430" s="363" t="s">
        <v>2520</v>
      </c>
      <c r="F430" s="715" t="s">
        <v>2456</v>
      </c>
      <c r="G430" s="716">
        <f>(1.4+1.5)*2*(0.25*0.6)*12+0.35*0.45*2.3</f>
        <v>10.802249999999999</v>
      </c>
      <c r="H430" s="716">
        <f>(1.4+1.5)*2*(0.25*0.6)*12+0.35*0.45*2.3</f>
        <v>10.802249999999999</v>
      </c>
      <c r="I430" s="716">
        <f>(1.4+1.5)*2*(0.25*0.6)*12+0.35*0.45*2.3</f>
        <v>10.802249999999999</v>
      </c>
      <c r="J430" s="209">
        <v>-1</v>
      </c>
      <c r="K430" s="364">
        <f>K201*J430</f>
        <v>-9.4400000000000013</v>
      </c>
      <c r="L430" s="210"/>
      <c r="M430" s="210"/>
      <c r="R430" s="365"/>
      <c r="T430" s="211"/>
      <c r="AC430" s="366"/>
    </row>
    <row r="431" spans="2:29" outlineLevel="1">
      <c r="B431" s="237"/>
      <c r="C431" s="345"/>
      <c r="D431" s="345" t="s">
        <v>62</v>
      </c>
      <c r="E431" s="346">
        <v>711192202</v>
      </c>
      <c r="F431" s="719" t="s">
        <v>410</v>
      </c>
      <c r="G431" s="719"/>
      <c r="H431" s="719"/>
      <c r="I431" s="719"/>
      <c r="J431" s="63" t="s">
        <v>63</v>
      </c>
      <c r="K431" s="347">
        <f>K424</f>
        <v>20.78</v>
      </c>
      <c r="L431" s="726"/>
      <c r="M431" s="726"/>
      <c r="N431" s="720">
        <f>ROUND(L431*K431,2)</f>
        <v>0</v>
      </c>
      <c r="O431" s="720"/>
      <c r="P431" s="720"/>
      <c r="Q431" s="720"/>
      <c r="R431" s="238"/>
      <c r="T431" s="45"/>
    </row>
    <row r="432" spans="2:29" s="358" customFormat="1" outlineLevel="1">
      <c r="B432" s="353"/>
      <c r="C432" s="354"/>
      <c r="D432" s="354" t="s">
        <v>62</v>
      </c>
      <c r="E432" s="355">
        <v>711199101</v>
      </c>
      <c r="F432" s="727" t="s">
        <v>697</v>
      </c>
      <c r="G432" s="727"/>
      <c r="H432" s="727"/>
      <c r="I432" s="727"/>
      <c r="J432" s="215" t="s">
        <v>68</v>
      </c>
      <c r="K432" s="356">
        <f>SUM(K433:K435)</f>
        <v>53.6</v>
      </c>
      <c r="L432" s="728"/>
      <c r="M432" s="728"/>
      <c r="N432" s="729">
        <f>ROUND(L432*K432,2)</f>
        <v>0</v>
      </c>
      <c r="O432" s="729"/>
      <c r="P432" s="729"/>
      <c r="Q432" s="729"/>
      <c r="R432" s="357"/>
      <c r="T432" s="216"/>
      <c r="U432" s="359"/>
      <c r="V432" s="359"/>
      <c r="W432" s="359"/>
      <c r="X432" s="359"/>
      <c r="Y432" s="359"/>
      <c r="Z432" s="359"/>
      <c r="AA432" s="359"/>
      <c r="AB432" s="359"/>
      <c r="AC432" s="361"/>
    </row>
    <row r="433" spans="2:29" s="248" customFormat="1" outlineLevel="1">
      <c r="B433" s="247"/>
      <c r="E433" s="349" t="s">
        <v>698</v>
      </c>
      <c r="F433" s="717" t="s">
        <v>845</v>
      </c>
      <c r="G433" s="718">
        <f>(2.9+32.5+7.7+19.2)</f>
        <v>62.3</v>
      </c>
      <c r="H433" s="718">
        <f>(2.9+32.5+7.7+19.2)</f>
        <v>62.3</v>
      </c>
      <c r="I433" s="718">
        <f>(2.9+32.5+7.7+19.2)</f>
        <v>62.3</v>
      </c>
      <c r="J433" s="64"/>
      <c r="K433" s="350">
        <f>(2.9+32.5+7.7+19.2)</f>
        <v>62.3</v>
      </c>
      <c r="L433" s="196"/>
      <c r="M433" s="196"/>
      <c r="R433" s="249"/>
      <c r="T433" s="45"/>
      <c r="AC433" s="351"/>
    </row>
    <row r="434" spans="2:29" s="248" customFormat="1" ht="10.5" customHeight="1" outlineLevel="1">
      <c r="B434" s="247"/>
      <c r="E434" s="349" t="s">
        <v>699</v>
      </c>
      <c r="F434" s="717" t="s">
        <v>843</v>
      </c>
      <c r="G434" s="718">
        <f>(1.1+2)/2*3</f>
        <v>4.6500000000000004</v>
      </c>
      <c r="H434" s="718">
        <f>(1.1+2)/2*3</f>
        <v>4.6500000000000004</v>
      </c>
      <c r="I434" s="718">
        <f>(1.1+2)/2*3</f>
        <v>4.6500000000000004</v>
      </c>
      <c r="J434" s="64"/>
      <c r="K434" s="350">
        <f>(1.1+2)/2*3</f>
        <v>4.6500000000000004</v>
      </c>
      <c r="L434" s="196"/>
      <c r="M434" s="196"/>
      <c r="R434" s="249"/>
      <c r="T434" s="45"/>
      <c r="AC434" s="351"/>
    </row>
    <row r="435" spans="2:29" s="333" customFormat="1" outlineLevel="1">
      <c r="B435" s="362"/>
      <c r="E435" s="363" t="s">
        <v>2520</v>
      </c>
      <c r="F435" s="715" t="s">
        <v>2456</v>
      </c>
      <c r="G435" s="716">
        <f>(1.4+1.5)*2*(0.25*0.6)*12+0.35*0.45*2.3</f>
        <v>10.802249999999999</v>
      </c>
      <c r="H435" s="716">
        <f>(1.4+1.5)*2*(0.25*0.6)*12+0.35*0.45*2.3</f>
        <v>10.802249999999999</v>
      </c>
      <c r="I435" s="716">
        <f>(1.4+1.5)*2*(0.25*0.6)*12+0.35*0.45*2.3</f>
        <v>10.802249999999999</v>
      </c>
      <c r="J435" s="209">
        <v>-1</v>
      </c>
      <c r="K435" s="364">
        <f>K204*J435</f>
        <v>-13.350000000000001</v>
      </c>
      <c r="L435" s="210"/>
      <c r="M435" s="210"/>
      <c r="R435" s="365"/>
      <c r="T435" s="211"/>
      <c r="AC435" s="366"/>
    </row>
    <row r="436" spans="2:29" ht="11.25" customHeight="1" outlineLevel="1">
      <c r="B436" s="237"/>
      <c r="C436" s="383"/>
      <c r="D436" s="383" t="s">
        <v>69</v>
      </c>
      <c r="E436" s="384" t="s">
        <v>718</v>
      </c>
      <c r="F436" s="751" t="s">
        <v>719</v>
      </c>
      <c r="G436" s="751"/>
      <c r="H436" s="751"/>
      <c r="I436" s="751"/>
      <c r="J436" s="65" t="s">
        <v>412</v>
      </c>
      <c r="K436" s="385">
        <f>SUM(K437:K437)</f>
        <v>201.89400000000003</v>
      </c>
      <c r="L436" s="726"/>
      <c r="M436" s="726"/>
      <c r="N436" s="752">
        <f>ROUND(L436*K436,2)</f>
        <v>0</v>
      </c>
      <c r="O436" s="720"/>
      <c r="P436" s="720"/>
      <c r="Q436" s="720"/>
      <c r="R436" s="238"/>
      <c r="T436" s="45"/>
      <c r="V436" s="236"/>
      <c r="W436" s="236"/>
      <c r="X436" s="236"/>
      <c r="Y436" s="236"/>
      <c r="Z436" s="236"/>
      <c r="AA436" s="236"/>
      <c r="AB436" s="236"/>
    </row>
    <row r="437" spans="2:29" s="248" customFormat="1" outlineLevel="1">
      <c r="B437" s="247"/>
      <c r="E437" s="349" t="s">
        <v>700</v>
      </c>
      <c r="F437" s="717"/>
      <c r="G437" s="718"/>
      <c r="H437" s="718"/>
      <c r="I437" s="718"/>
      <c r="J437" s="64">
        <f>3*1.1</f>
        <v>3.3000000000000003</v>
      </c>
      <c r="K437" s="350">
        <f>(K428+K431)*J437</f>
        <v>201.89400000000003</v>
      </c>
      <c r="L437" s="196"/>
      <c r="M437" s="196"/>
      <c r="R437" s="249"/>
      <c r="T437" s="45"/>
      <c r="AC437" s="351"/>
    </row>
    <row r="438" spans="2:29" s="358" customFormat="1" ht="11.25" customHeight="1" outlineLevel="1">
      <c r="B438" s="353"/>
      <c r="C438" s="386"/>
      <c r="D438" s="386" t="s">
        <v>65</v>
      </c>
      <c r="E438" s="387" t="s">
        <v>701</v>
      </c>
      <c r="F438" s="750" t="s">
        <v>702</v>
      </c>
      <c r="G438" s="750"/>
      <c r="H438" s="750"/>
      <c r="I438" s="750"/>
      <c r="J438" s="219" t="s">
        <v>68</v>
      </c>
      <c r="K438" s="388">
        <f>SUM(K439:K442)</f>
        <v>58.629999999999995</v>
      </c>
      <c r="L438" s="728"/>
      <c r="M438" s="728"/>
      <c r="N438" s="758">
        <f>ROUND(L438*K438,2)</f>
        <v>0</v>
      </c>
      <c r="O438" s="729"/>
      <c r="P438" s="729"/>
      <c r="Q438" s="729"/>
      <c r="R438" s="357"/>
      <c r="T438" s="216"/>
      <c r="U438" s="359"/>
      <c r="AC438" s="361"/>
    </row>
    <row r="439" spans="2:29" s="248" customFormat="1" outlineLevel="1">
      <c r="B439" s="247"/>
      <c r="E439" s="349" t="s">
        <v>698</v>
      </c>
      <c r="F439" s="717" t="s">
        <v>845</v>
      </c>
      <c r="G439" s="718">
        <f>(2.9+32.5+7.7+19.2)</f>
        <v>62.3</v>
      </c>
      <c r="H439" s="718">
        <f>(2.9+32.5+7.7+19.2)</f>
        <v>62.3</v>
      </c>
      <c r="I439" s="718">
        <f>(2.9+32.5+7.7+19.2)</f>
        <v>62.3</v>
      </c>
      <c r="J439" s="64"/>
      <c r="K439" s="350">
        <f>(2.9+32.5+7.7+19.2)</f>
        <v>62.3</v>
      </c>
      <c r="L439" s="196"/>
      <c r="M439" s="196"/>
      <c r="R439" s="249"/>
      <c r="T439" s="45"/>
      <c r="AC439" s="351"/>
    </row>
    <row r="440" spans="2:29" s="248" customFormat="1" outlineLevel="1">
      <c r="B440" s="247"/>
      <c r="E440" s="349" t="s">
        <v>699</v>
      </c>
      <c r="F440" s="717" t="s">
        <v>846</v>
      </c>
      <c r="G440" s="718">
        <f>8*0.4</f>
        <v>3.2</v>
      </c>
      <c r="H440" s="718">
        <f>8*0.4</f>
        <v>3.2</v>
      </c>
      <c r="I440" s="718">
        <f>8*0.4</f>
        <v>3.2</v>
      </c>
      <c r="J440" s="64"/>
      <c r="K440" s="350">
        <f>8*0.4</f>
        <v>3.2</v>
      </c>
      <c r="L440" s="196"/>
      <c r="M440" s="196"/>
      <c r="R440" s="249"/>
      <c r="T440" s="45"/>
      <c r="AC440" s="351"/>
    </row>
    <row r="441" spans="2:29" s="248" customFormat="1" ht="22.5" outlineLevel="1">
      <c r="B441" s="247"/>
      <c r="E441" s="349" t="s">
        <v>704</v>
      </c>
      <c r="F441" s="717"/>
      <c r="G441" s="718"/>
      <c r="H441" s="718"/>
      <c r="I441" s="718"/>
      <c r="J441" s="141">
        <v>0.1</v>
      </c>
      <c r="K441" s="350">
        <f>SUM(K439:K440)*J441</f>
        <v>6.5500000000000007</v>
      </c>
      <c r="L441" s="196"/>
      <c r="M441" s="196"/>
      <c r="R441" s="249"/>
      <c r="T441" s="45"/>
      <c r="AC441" s="351"/>
    </row>
    <row r="442" spans="2:29" s="333" customFormat="1" outlineLevel="1">
      <c r="B442" s="362"/>
      <c r="E442" s="363" t="s">
        <v>2520</v>
      </c>
      <c r="F442" s="715" t="s">
        <v>2456</v>
      </c>
      <c r="G442" s="716">
        <f>(1.4+1.5)*2*(0.25*0.6)*12+0.35*0.45*2.3</f>
        <v>10.802249999999999</v>
      </c>
      <c r="H442" s="716">
        <f>(1.4+1.5)*2*(0.25*0.6)*12+0.35*0.45*2.3</f>
        <v>10.802249999999999</v>
      </c>
      <c r="I442" s="716">
        <f>(1.4+1.5)*2*(0.25*0.6)*12+0.35*0.45*2.3</f>
        <v>10.802249999999999</v>
      </c>
      <c r="J442" s="209">
        <v>-1</v>
      </c>
      <c r="K442" s="364">
        <f>K209*J442</f>
        <v>-13.420000000000002</v>
      </c>
      <c r="L442" s="210"/>
      <c r="M442" s="210"/>
      <c r="R442" s="365"/>
      <c r="T442" s="211"/>
      <c r="AC442" s="366"/>
    </row>
    <row r="443" spans="2:29" s="358" customFormat="1" ht="27" customHeight="1" outlineLevel="1">
      <c r="B443" s="353"/>
      <c r="C443" s="354"/>
      <c r="D443" s="354" t="s">
        <v>62</v>
      </c>
      <c r="E443" s="355">
        <v>711161122</v>
      </c>
      <c r="F443" s="727" t="s">
        <v>714</v>
      </c>
      <c r="G443" s="727"/>
      <c r="H443" s="727"/>
      <c r="I443" s="727"/>
      <c r="J443" s="215" t="s">
        <v>63</v>
      </c>
      <c r="K443" s="356">
        <f>SUM(K444:K445)</f>
        <v>40.400000000000006</v>
      </c>
      <c r="L443" s="728"/>
      <c r="M443" s="728"/>
      <c r="N443" s="729">
        <f>ROUND(L443*K443,2)</f>
        <v>0</v>
      </c>
      <c r="O443" s="729"/>
      <c r="P443" s="729"/>
      <c r="Q443" s="729"/>
      <c r="R443" s="357"/>
      <c r="T443" s="216"/>
      <c r="U443" s="359"/>
      <c r="AC443" s="361"/>
    </row>
    <row r="444" spans="2:29" s="248" customFormat="1" outlineLevel="1">
      <c r="B444" s="247"/>
      <c r="E444" s="349" t="s">
        <v>696</v>
      </c>
      <c r="F444" s="717" t="s">
        <v>844</v>
      </c>
      <c r="G444" s="718">
        <f>(2.9+32.5+7.7+19.2)*0.8</f>
        <v>49.84</v>
      </c>
      <c r="H444" s="718">
        <f>(2.9+32.5+7.7+19.2)*0.8</f>
        <v>49.84</v>
      </c>
      <c r="I444" s="718">
        <f>(2.9+32.5+7.7+19.2)*0.8</f>
        <v>49.84</v>
      </c>
      <c r="J444" s="64"/>
      <c r="K444" s="350">
        <f>(2.9+32.5+7.7+19.2)*0.8</f>
        <v>49.84</v>
      </c>
      <c r="L444" s="196"/>
      <c r="M444" s="196"/>
      <c r="R444" s="249"/>
      <c r="T444" s="45"/>
      <c r="AC444" s="351"/>
    </row>
    <row r="445" spans="2:29" s="333" customFormat="1" outlineLevel="1">
      <c r="B445" s="362"/>
      <c r="E445" s="363" t="s">
        <v>2520</v>
      </c>
      <c r="F445" s="715" t="s">
        <v>2456</v>
      </c>
      <c r="G445" s="716">
        <f>(1.4+1.5)*2*(0.25*0.6)*12+0.35*0.45*2.3</f>
        <v>10.802249999999999</v>
      </c>
      <c r="H445" s="716">
        <f>(1.4+1.5)*2*(0.25*0.6)*12+0.35*0.45*2.3</f>
        <v>10.802249999999999</v>
      </c>
      <c r="I445" s="716">
        <f>(1.4+1.5)*2*(0.25*0.6)*12+0.35*0.45*2.3</f>
        <v>10.802249999999999</v>
      </c>
      <c r="J445" s="209">
        <v>-1</v>
      </c>
      <c r="K445" s="364">
        <f>K213*J445</f>
        <v>-9.4400000000000013</v>
      </c>
      <c r="L445" s="210"/>
      <c r="M445" s="210"/>
      <c r="R445" s="365"/>
      <c r="T445" s="211"/>
      <c r="AC445" s="366"/>
    </row>
    <row r="446" spans="2:29" outlineLevel="1">
      <c r="B446" s="237"/>
      <c r="C446" s="345"/>
      <c r="D446" s="345" t="s">
        <v>62</v>
      </c>
      <c r="E446" s="346">
        <v>711161222</v>
      </c>
      <c r="F446" s="719" t="s">
        <v>715</v>
      </c>
      <c r="G446" s="719"/>
      <c r="H446" s="719"/>
      <c r="I446" s="719"/>
      <c r="J446" s="63" t="s">
        <v>63</v>
      </c>
      <c r="K446" s="347">
        <f>K424</f>
        <v>20.78</v>
      </c>
      <c r="L446" s="726"/>
      <c r="M446" s="726"/>
      <c r="N446" s="720">
        <f>ROUND(L446*K446,2)</f>
        <v>0</v>
      </c>
      <c r="O446" s="720"/>
      <c r="P446" s="720"/>
      <c r="Q446" s="720"/>
      <c r="R446" s="238"/>
      <c r="T446" s="45"/>
    </row>
    <row r="447" spans="2:29" s="358" customFormat="1" outlineLevel="1">
      <c r="B447" s="353"/>
      <c r="C447" s="354"/>
      <c r="D447" s="354" t="s">
        <v>62</v>
      </c>
      <c r="E447" s="355" t="s">
        <v>716</v>
      </c>
      <c r="F447" s="727" t="s">
        <v>717</v>
      </c>
      <c r="G447" s="727"/>
      <c r="H447" s="727"/>
      <c r="I447" s="727"/>
      <c r="J447" s="215" t="s">
        <v>68</v>
      </c>
      <c r="K447" s="356">
        <f>SUM(K448:K449)</f>
        <v>8.0999999999999979</v>
      </c>
      <c r="L447" s="728"/>
      <c r="M447" s="728"/>
      <c r="N447" s="729">
        <f>ROUND(L447*K447,2)</f>
        <v>0</v>
      </c>
      <c r="O447" s="729"/>
      <c r="P447" s="729"/>
      <c r="Q447" s="729"/>
      <c r="R447" s="357"/>
      <c r="T447" s="216"/>
      <c r="U447" s="359"/>
      <c r="V447" s="359"/>
      <c r="W447" s="359"/>
      <c r="X447" s="359"/>
      <c r="Y447" s="359"/>
      <c r="Z447" s="359"/>
      <c r="AA447" s="359"/>
      <c r="AB447" s="359"/>
      <c r="AC447" s="361"/>
    </row>
    <row r="448" spans="2:29" s="248" customFormat="1" outlineLevel="1">
      <c r="B448" s="247"/>
      <c r="E448" s="349" t="s">
        <v>698</v>
      </c>
      <c r="F448" s="717" t="s">
        <v>842</v>
      </c>
      <c r="G448" s="718">
        <f>(12.3+7.6)</f>
        <v>19.899999999999999</v>
      </c>
      <c r="H448" s="718">
        <f>(12.3+7.6)</f>
        <v>19.899999999999999</v>
      </c>
      <c r="I448" s="718">
        <f>(12.3+7.6)</f>
        <v>19.899999999999999</v>
      </c>
      <c r="J448" s="64"/>
      <c r="K448" s="350">
        <f>(12.3+7.6)</f>
        <v>19.899999999999999</v>
      </c>
      <c r="L448" s="196"/>
      <c r="M448" s="196"/>
      <c r="R448" s="249"/>
      <c r="T448" s="45"/>
      <c r="AC448" s="351"/>
    </row>
    <row r="449" spans="2:29" s="333" customFormat="1" outlineLevel="1">
      <c r="B449" s="362"/>
      <c r="E449" s="363" t="s">
        <v>2520</v>
      </c>
      <c r="F449" s="715" t="s">
        <v>2456</v>
      </c>
      <c r="G449" s="716">
        <f>(1.4+1.5)*2*(0.25*0.6)*12+0.35*0.45*2.3</f>
        <v>10.802249999999999</v>
      </c>
      <c r="H449" s="716">
        <f>(1.4+1.5)*2*(0.25*0.6)*12+0.35*0.45*2.3</f>
        <v>10.802249999999999</v>
      </c>
      <c r="I449" s="716">
        <f>(1.4+1.5)*2*(0.25*0.6)*12+0.35*0.45*2.3</f>
        <v>10.802249999999999</v>
      </c>
      <c r="J449" s="209">
        <v>-1</v>
      </c>
      <c r="K449" s="364">
        <f>K216*J449</f>
        <v>-11.8</v>
      </c>
      <c r="L449" s="210"/>
      <c r="M449" s="210"/>
      <c r="R449" s="365"/>
      <c r="T449" s="211"/>
      <c r="AC449" s="366"/>
    </row>
    <row r="450" spans="2:29" s="374" customFormat="1" outlineLevel="1">
      <c r="B450" s="370"/>
      <c r="C450" s="371"/>
      <c r="D450" s="371" t="s">
        <v>721</v>
      </c>
      <c r="E450" s="753" t="s">
        <v>720</v>
      </c>
      <c r="F450" s="754"/>
      <c r="G450" s="754"/>
      <c r="H450" s="754"/>
      <c r="I450" s="755"/>
      <c r="J450" s="145"/>
      <c r="K450" s="372">
        <f>SUM(K451:K452)</f>
        <v>50.800000000000004</v>
      </c>
      <c r="L450" s="756"/>
      <c r="M450" s="756"/>
      <c r="N450" s="757"/>
      <c r="O450" s="757"/>
      <c r="P450" s="757"/>
      <c r="Q450" s="757"/>
      <c r="R450" s="373"/>
      <c r="T450" s="144"/>
      <c r="U450" s="375"/>
      <c r="V450" s="375"/>
      <c r="W450" s="375"/>
      <c r="X450" s="375"/>
      <c r="Y450" s="375"/>
      <c r="Z450" s="375"/>
      <c r="AA450" s="375"/>
      <c r="AB450" s="375"/>
      <c r="AC450" s="376"/>
    </row>
    <row r="451" spans="2:29" s="378" customFormat="1" outlineLevel="1">
      <c r="B451" s="377"/>
      <c r="E451" s="379" t="s">
        <v>2278</v>
      </c>
      <c r="F451" s="748" t="s">
        <v>2279</v>
      </c>
      <c r="G451" s="749">
        <f>(12.3+7.6+2.9+32.5+7.7+19.2)*0.8</f>
        <v>65.760000000000005</v>
      </c>
      <c r="H451" s="749">
        <f>(12.3+7.6+2.9+32.5+7.7+19.2)*0.8</f>
        <v>65.760000000000005</v>
      </c>
      <c r="I451" s="749">
        <f>(12.3+7.6+2.9+32.5+7.7+19.2)*0.8</f>
        <v>65.760000000000005</v>
      </c>
      <c r="J451" s="195"/>
      <c r="K451" s="380">
        <f>(12.3+7.6+2.9+32.5+7.7+19.2)*0.8</f>
        <v>65.760000000000005</v>
      </c>
      <c r="L451" s="197"/>
      <c r="M451" s="197"/>
      <c r="R451" s="381"/>
      <c r="T451" s="194"/>
      <c r="AC451" s="382"/>
    </row>
    <row r="452" spans="2:29" s="333" customFormat="1" outlineLevel="1">
      <c r="B452" s="362"/>
      <c r="E452" s="363" t="s">
        <v>2520</v>
      </c>
      <c r="F452" s="715" t="s">
        <v>2456</v>
      </c>
      <c r="G452" s="716">
        <f>(1.4+1.5)*2*(0.25*0.6)*12+0.35*0.45*2.3</f>
        <v>10.802249999999999</v>
      </c>
      <c r="H452" s="716">
        <f>(1.4+1.5)*2*(0.25*0.6)*12+0.35*0.45*2.3</f>
        <v>10.802249999999999</v>
      </c>
      <c r="I452" s="716">
        <f>(1.4+1.5)*2*(0.25*0.6)*12+0.35*0.45*2.3</f>
        <v>10.802249999999999</v>
      </c>
      <c r="J452" s="209">
        <v>-1</v>
      </c>
      <c r="K452" s="364">
        <f>K218*J452</f>
        <v>-14.960000000000003</v>
      </c>
      <c r="L452" s="210"/>
      <c r="M452" s="210"/>
      <c r="R452" s="365"/>
      <c r="T452" s="211"/>
      <c r="AC452" s="366"/>
    </row>
    <row r="453" spans="2:29" outlineLevel="1">
      <c r="B453" s="237"/>
      <c r="C453" s="345"/>
      <c r="D453" s="345" t="s">
        <v>62</v>
      </c>
      <c r="E453" s="346">
        <v>783803140</v>
      </c>
      <c r="F453" s="719" t="s">
        <v>722</v>
      </c>
      <c r="G453" s="719"/>
      <c r="H453" s="719"/>
      <c r="I453" s="719"/>
      <c r="J453" s="63" t="s">
        <v>63</v>
      </c>
      <c r="K453" s="347">
        <f>K450</f>
        <v>50.800000000000004</v>
      </c>
      <c r="L453" s="726"/>
      <c r="M453" s="726"/>
      <c r="N453" s="720">
        <f>ROUND(L453*K453,2)</f>
        <v>0</v>
      </c>
      <c r="O453" s="720"/>
      <c r="P453" s="720"/>
      <c r="Q453" s="720"/>
      <c r="R453" s="238"/>
      <c r="T453" s="45"/>
    </row>
    <row r="454" spans="2:29" ht="11.25" customHeight="1" outlineLevel="1">
      <c r="B454" s="237"/>
      <c r="C454" s="383"/>
      <c r="D454" s="383" t="s">
        <v>69</v>
      </c>
      <c r="E454" s="384" t="s">
        <v>723</v>
      </c>
      <c r="F454" s="751" t="s">
        <v>724</v>
      </c>
      <c r="G454" s="751"/>
      <c r="H454" s="751"/>
      <c r="I454" s="751"/>
      <c r="J454" s="65" t="s">
        <v>725</v>
      </c>
      <c r="K454" s="385">
        <f>K453*0.3*2</f>
        <v>30.48</v>
      </c>
      <c r="L454" s="726"/>
      <c r="M454" s="726"/>
      <c r="N454" s="752">
        <f>ROUND(L454*K454,2)</f>
        <v>0</v>
      </c>
      <c r="O454" s="720"/>
      <c r="P454" s="720"/>
      <c r="Q454" s="720"/>
      <c r="R454" s="238"/>
      <c r="T454" s="45"/>
      <c r="V454" s="236"/>
      <c r="W454" s="236"/>
      <c r="X454" s="236"/>
      <c r="Y454" s="236"/>
      <c r="Z454" s="236"/>
      <c r="AA454" s="236"/>
      <c r="AB454" s="236"/>
    </row>
    <row r="455" spans="2:29" outlineLevel="1">
      <c r="B455" s="237"/>
      <c r="C455" s="345"/>
      <c r="D455" s="345" t="s">
        <v>62</v>
      </c>
      <c r="E455" s="346">
        <v>985311112</v>
      </c>
      <c r="F455" s="719" t="s">
        <v>695</v>
      </c>
      <c r="G455" s="719"/>
      <c r="H455" s="719"/>
      <c r="I455" s="719"/>
      <c r="J455" s="63" t="s">
        <v>63</v>
      </c>
      <c r="K455" s="347">
        <f>K450</f>
        <v>50.800000000000004</v>
      </c>
      <c r="L455" s="726"/>
      <c r="M455" s="726"/>
      <c r="N455" s="720">
        <f>ROUND(L455*K455,2)</f>
        <v>0</v>
      </c>
      <c r="O455" s="720"/>
      <c r="P455" s="720"/>
      <c r="Q455" s="720"/>
      <c r="R455" s="238"/>
      <c r="T455" s="45"/>
    </row>
    <row r="456" spans="2:29" outlineLevel="1">
      <c r="B456" s="237"/>
      <c r="C456" s="345"/>
      <c r="D456" s="345" t="s">
        <v>62</v>
      </c>
      <c r="E456" s="346">
        <v>711192202</v>
      </c>
      <c r="F456" s="719" t="s">
        <v>410</v>
      </c>
      <c r="G456" s="719"/>
      <c r="H456" s="719"/>
      <c r="I456" s="719"/>
      <c r="J456" s="63" t="s">
        <v>63</v>
      </c>
      <c r="K456" s="347">
        <f>K450</f>
        <v>50.800000000000004</v>
      </c>
      <c r="L456" s="726"/>
      <c r="M456" s="726"/>
      <c r="N456" s="720">
        <f>ROUND(L456*K456,2)</f>
        <v>0</v>
      </c>
      <c r="O456" s="720"/>
      <c r="P456" s="720"/>
      <c r="Q456" s="720"/>
      <c r="R456" s="238"/>
      <c r="T456" s="45"/>
    </row>
    <row r="457" spans="2:29" s="358" customFormat="1" outlineLevel="1">
      <c r="B457" s="353"/>
      <c r="C457" s="354"/>
      <c r="D457" s="354" t="s">
        <v>62</v>
      </c>
      <c r="E457" s="355">
        <v>711199101</v>
      </c>
      <c r="F457" s="727" t="s">
        <v>697</v>
      </c>
      <c r="G457" s="727"/>
      <c r="H457" s="727"/>
      <c r="I457" s="727"/>
      <c r="J457" s="215" t="s">
        <v>68</v>
      </c>
      <c r="K457" s="356">
        <f>SUM(K458:K459)</f>
        <v>16.8</v>
      </c>
      <c r="L457" s="728"/>
      <c r="M457" s="728"/>
      <c r="N457" s="729">
        <f>ROUND(L457*K457,2)</f>
        <v>0</v>
      </c>
      <c r="O457" s="729"/>
      <c r="P457" s="729"/>
      <c r="Q457" s="729"/>
      <c r="R457" s="357"/>
      <c r="T457" s="216"/>
      <c r="U457" s="359"/>
      <c r="V457" s="359"/>
      <c r="W457" s="359"/>
      <c r="X457" s="359"/>
      <c r="Y457" s="359"/>
      <c r="Z457" s="359"/>
      <c r="AA457" s="359"/>
      <c r="AB457" s="359"/>
      <c r="AC457" s="361"/>
    </row>
    <row r="458" spans="2:29" s="248" customFormat="1" outlineLevel="1">
      <c r="B458" s="247"/>
      <c r="E458" s="349" t="s">
        <v>699</v>
      </c>
      <c r="F458" s="717" t="s">
        <v>847</v>
      </c>
      <c r="G458" s="718">
        <f>25*0.8</f>
        <v>20</v>
      </c>
      <c r="H458" s="718">
        <f>25*0.8</f>
        <v>20</v>
      </c>
      <c r="I458" s="718">
        <f>25*0.8</f>
        <v>20</v>
      </c>
      <c r="J458" s="64"/>
      <c r="K458" s="350">
        <f>25*0.8</f>
        <v>20</v>
      </c>
      <c r="L458" s="196"/>
      <c r="M458" s="196"/>
      <c r="R458" s="249"/>
      <c r="T458" s="45"/>
      <c r="AC458" s="351"/>
    </row>
    <row r="459" spans="2:29" s="333" customFormat="1" outlineLevel="1">
      <c r="B459" s="362"/>
      <c r="E459" s="363" t="s">
        <v>2520</v>
      </c>
      <c r="F459" s="715" t="s">
        <v>2456</v>
      </c>
      <c r="G459" s="716">
        <f>(1.4+1.5)*2*(0.25*0.6)*12+0.35*0.45*2.3</f>
        <v>10.802249999999999</v>
      </c>
      <c r="H459" s="716">
        <f>(1.4+1.5)*2*(0.25*0.6)*12+0.35*0.45*2.3</f>
        <v>10.802249999999999</v>
      </c>
      <c r="I459" s="716">
        <f>(1.4+1.5)*2*(0.25*0.6)*12+0.35*0.45*2.3</f>
        <v>10.802249999999999</v>
      </c>
      <c r="J459" s="209">
        <v>-1</v>
      </c>
      <c r="K459" s="364">
        <f>K224*J459</f>
        <v>-3.2</v>
      </c>
      <c r="L459" s="210"/>
      <c r="M459" s="210"/>
      <c r="R459" s="365"/>
      <c r="T459" s="211"/>
      <c r="AC459" s="366"/>
    </row>
    <row r="460" spans="2:29" ht="11.25" customHeight="1" outlineLevel="1">
      <c r="B460" s="237"/>
      <c r="C460" s="383"/>
      <c r="D460" s="383" t="s">
        <v>69</v>
      </c>
      <c r="E460" s="384" t="s">
        <v>718</v>
      </c>
      <c r="F460" s="751" t="s">
        <v>719</v>
      </c>
      <c r="G460" s="751"/>
      <c r="H460" s="751"/>
      <c r="I460" s="751"/>
      <c r="J460" s="65" t="s">
        <v>412</v>
      </c>
      <c r="K460" s="385">
        <f>SUM(K461:K461)</f>
        <v>201.16800000000003</v>
      </c>
      <c r="L460" s="726"/>
      <c r="M460" s="726"/>
      <c r="N460" s="752">
        <f>ROUND(L460*K460,2)</f>
        <v>0</v>
      </c>
      <c r="O460" s="720"/>
      <c r="P460" s="720"/>
      <c r="Q460" s="720"/>
      <c r="R460" s="238"/>
      <c r="T460" s="45"/>
      <c r="V460" s="236"/>
      <c r="W460" s="236"/>
      <c r="X460" s="236"/>
      <c r="Y460" s="236"/>
      <c r="Z460" s="236"/>
      <c r="AA460" s="236"/>
      <c r="AB460" s="236"/>
    </row>
    <row r="461" spans="2:29" s="248" customFormat="1" outlineLevel="1">
      <c r="B461" s="247"/>
      <c r="E461" s="349" t="s">
        <v>700</v>
      </c>
      <c r="F461" s="717" t="s">
        <v>703</v>
      </c>
      <c r="G461" s="718"/>
      <c r="H461" s="718"/>
      <c r="I461" s="718"/>
      <c r="J461" s="64">
        <f>1.8*2*1.1</f>
        <v>3.9600000000000004</v>
      </c>
      <c r="K461" s="350">
        <f>(K456)*J461</f>
        <v>201.16800000000003</v>
      </c>
      <c r="L461" s="196"/>
      <c r="M461" s="196"/>
      <c r="R461" s="249"/>
      <c r="T461" s="45"/>
      <c r="AC461" s="351"/>
    </row>
    <row r="462" spans="2:29" s="358" customFormat="1" ht="11.25" customHeight="1" outlineLevel="1">
      <c r="B462" s="353"/>
      <c r="C462" s="386"/>
      <c r="D462" s="386" t="s">
        <v>65</v>
      </c>
      <c r="E462" s="387" t="s">
        <v>701</v>
      </c>
      <c r="F462" s="750" t="s">
        <v>702</v>
      </c>
      <c r="G462" s="750"/>
      <c r="H462" s="750"/>
      <c r="I462" s="750"/>
      <c r="J462" s="219" t="s">
        <v>68</v>
      </c>
      <c r="K462" s="388">
        <f>SUM(K463:K465)</f>
        <v>18.48</v>
      </c>
      <c r="L462" s="728"/>
      <c r="M462" s="728"/>
      <c r="N462" s="758">
        <f>ROUND(L462*K462,2)</f>
        <v>0</v>
      </c>
      <c r="O462" s="729"/>
      <c r="P462" s="729"/>
      <c r="Q462" s="729"/>
      <c r="R462" s="357"/>
      <c r="T462" s="216"/>
      <c r="U462" s="359"/>
      <c r="AC462" s="361"/>
    </row>
    <row r="463" spans="2:29" s="248" customFormat="1" outlineLevel="1">
      <c r="B463" s="247"/>
      <c r="E463" s="349" t="s">
        <v>699</v>
      </c>
      <c r="F463" s="717" t="s">
        <v>847</v>
      </c>
      <c r="G463" s="718">
        <f>25*0.8</f>
        <v>20</v>
      </c>
      <c r="H463" s="718">
        <f>25*0.8</f>
        <v>20</v>
      </c>
      <c r="I463" s="718">
        <f>25*0.8</f>
        <v>20</v>
      </c>
      <c r="J463" s="64"/>
      <c r="K463" s="350">
        <f>25*0.8</f>
        <v>20</v>
      </c>
      <c r="L463" s="196"/>
      <c r="M463" s="196"/>
      <c r="R463" s="249"/>
      <c r="T463" s="45"/>
      <c r="AC463" s="351"/>
    </row>
    <row r="464" spans="2:29" s="248" customFormat="1" ht="22.5" outlineLevel="1">
      <c r="B464" s="247"/>
      <c r="E464" s="349" t="s">
        <v>704</v>
      </c>
      <c r="F464" s="717"/>
      <c r="G464" s="718"/>
      <c r="H464" s="718"/>
      <c r="I464" s="718"/>
      <c r="J464" s="141">
        <v>0.1</v>
      </c>
      <c r="K464" s="350">
        <f>SUM(K463:K463)*J464</f>
        <v>2</v>
      </c>
      <c r="L464" s="196"/>
      <c r="M464" s="196"/>
      <c r="R464" s="249"/>
      <c r="T464" s="45"/>
      <c r="AC464" s="351"/>
    </row>
    <row r="465" spans="2:29" s="333" customFormat="1" outlineLevel="1">
      <c r="B465" s="362"/>
      <c r="E465" s="363" t="s">
        <v>2520</v>
      </c>
      <c r="F465" s="715" t="s">
        <v>2456</v>
      </c>
      <c r="G465" s="716">
        <f>(1.4+1.5)*2*(0.25*0.6)*12+0.35*0.45*2.3</f>
        <v>10.802249999999999</v>
      </c>
      <c r="H465" s="716">
        <f>(1.4+1.5)*2*(0.25*0.6)*12+0.35*0.45*2.3</f>
        <v>10.802249999999999</v>
      </c>
      <c r="I465" s="716">
        <f>(1.4+1.5)*2*(0.25*0.6)*12+0.35*0.45*2.3</f>
        <v>10.802249999999999</v>
      </c>
      <c r="J465" s="209">
        <v>-1</v>
      </c>
      <c r="K465" s="364">
        <f>K228*J465</f>
        <v>-3.5200000000000005</v>
      </c>
      <c r="L465" s="210"/>
      <c r="M465" s="210"/>
      <c r="R465" s="365"/>
      <c r="T465" s="211"/>
      <c r="AC465" s="366"/>
    </row>
    <row r="466" spans="2:29" outlineLevel="1">
      <c r="B466" s="237"/>
      <c r="C466" s="345"/>
      <c r="D466" s="345" t="s">
        <v>62</v>
      </c>
      <c r="E466" s="346">
        <v>622326121</v>
      </c>
      <c r="F466" s="719" t="s">
        <v>402</v>
      </c>
      <c r="G466" s="719"/>
      <c r="H466" s="719"/>
      <c r="I466" s="719"/>
      <c r="J466" s="63" t="s">
        <v>63</v>
      </c>
      <c r="K466" s="347">
        <f>K450</f>
        <v>50.800000000000004</v>
      </c>
      <c r="L466" s="726"/>
      <c r="M466" s="726"/>
      <c r="N466" s="720">
        <f>ROUND(L466*K466,2)</f>
        <v>0</v>
      </c>
      <c r="O466" s="720"/>
      <c r="P466" s="720"/>
      <c r="Q466" s="720"/>
      <c r="R466" s="238"/>
      <c r="T466" s="45"/>
      <c r="V466" s="236"/>
      <c r="W466" s="236"/>
      <c r="X466" s="236"/>
      <c r="Y466" s="236"/>
      <c r="Z466" s="236"/>
      <c r="AA466" s="236"/>
      <c r="AB466" s="236"/>
    </row>
    <row r="467" spans="2:29" ht="27" customHeight="1" outlineLevel="1">
      <c r="B467" s="237"/>
      <c r="C467" s="345"/>
      <c r="D467" s="345" t="s">
        <v>62</v>
      </c>
      <c r="E467" s="346">
        <v>622326191</v>
      </c>
      <c r="F467" s="719" t="s">
        <v>728</v>
      </c>
      <c r="G467" s="719"/>
      <c r="H467" s="719"/>
      <c r="I467" s="719"/>
      <c r="J467" s="63" t="s">
        <v>63</v>
      </c>
      <c r="K467" s="347">
        <f>SUM(K468)</f>
        <v>50.800000000000004</v>
      </c>
      <c r="L467" s="726"/>
      <c r="M467" s="726"/>
      <c r="N467" s="720">
        <f>ROUND(L467*K467,2)</f>
        <v>0</v>
      </c>
      <c r="O467" s="720"/>
      <c r="P467" s="720"/>
      <c r="Q467" s="720"/>
      <c r="R467" s="238"/>
      <c r="T467" s="45"/>
      <c r="V467" s="236"/>
      <c r="W467" s="236"/>
      <c r="X467" s="236"/>
      <c r="Y467" s="236"/>
      <c r="Z467" s="236"/>
      <c r="AA467" s="236"/>
      <c r="AB467" s="236"/>
    </row>
    <row r="468" spans="2:29" s="248" customFormat="1" outlineLevel="1">
      <c r="B468" s="247"/>
      <c r="E468" s="349" t="s">
        <v>730</v>
      </c>
      <c r="F468" s="717" t="s">
        <v>187</v>
      </c>
      <c r="G468" s="718"/>
      <c r="H468" s="718"/>
      <c r="I468" s="718"/>
      <c r="J468" s="64">
        <v>1</v>
      </c>
      <c r="K468" s="350">
        <f>K466*J468</f>
        <v>50.800000000000004</v>
      </c>
      <c r="L468" s="196"/>
      <c r="M468" s="196"/>
      <c r="R468" s="249"/>
      <c r="T468" s="45"/>
      <c r="AC468" s="351"/>
    </row>
    <row r="469" spans="2:29" outlineLevel="1">
      <c r="B469" s="237"/>
      <c r="C469" s="345"/>
      <c r="D469" s="345" t="s">
        <v>62</v>
      </c>
      <c r="E469" s="346">
        <v>622142002</v>
      </c>
      <c r="F469" s="719" t="s">
        <v>726</v>
      </c>
      <c r="G469" s="719"/>
      <c r="H469" s="719"/>
      <c r="I469" s="719"/>
      <c r="J469" s="63" t="s">
        <v>63</v>
      </c>
      <c r="K469" s="347">
        <f>K466</f>
        <v>50.800000000000004</v>
      </c>
      <c r="L469" s="726"/>
      <c r="M469" s="726"/>
      <c r="N469" s="720">
        <f>ROUND(L469*K469,2)</f>
        <v>0</v>
      </c>
      <c r="O469" s="720"/>
      <c r="P469" s="720"/>
      <c r="Q469" s="720"/>
      <c r="R469" s="238"/>
      <c r="T469" s="45"/>
    </row>
    <row r="470" spans="2:29" outlineLevel="1">
      <c r="B470" s="237"/>
      <c r="C470" s="345"/>
      <c r="D470" s="345" t="s">
        <v>62</v>
      </c>
      <c r="E470" s="346">
        <v>783826615</v>
      </c>
      <c r="F470" s="719" t="s">
        <v>408</v>
      </c>
      <c r="G470" s="719"/>
      <c r="H470" s="719"/>
      <c r="I470" s="719"/>
      <c r="J470" s="63" t="s">
        <v>63</v>
      </c>
      <c r="K470" s="347">
        <f>K469</f>
        <v>50.800000000000004</v>
      </c>
      <c r="L470" s="726"/>
      <c r="M470" s="726"/>
      <c r="N470" s="720">
        <f>ROUND(L470*K470,2)</f>
        <v>0</v>
      </c>
      <c r="O470" s="720"/>
      <c r="P470" s="720"/>
      <c r="Q470" s="720"/>
      <c r="R470" s="238"/>
      <c r="T470" s="45"/>
    </row>
    <row r="471" spans="2:29" s="374" customFormat="1" outlineLevel="1">
      <c r="B471" s="370"/>
      <c r="C471" s="371"/>
      <c r="D471" s="371" t="s">
        <v>727</v>
      </c>
      <c r="E471" s="753" t="s">
        <v>1947</v>
      </c>
      <c r="F471" s="754"/>
      <c r="G471" s="754"/>
      <c r="H471" s="754"/>
      <c r="I471" s="755"/>
      <c r="J471" s="145"/>
      <c r="K471" s="372">
        <f>SUM(K472:K473)</f>
        <v>76.2</v>
      </c>
      <c r="L471" s="756"/>
      <c r="M471" s="756"/>
      <c r="N471" s="757"/>
      <c r="O471" s="757"/>
      <c r="P471" s="757"/>
      <c r="Q471" s="757"/>
      <c r="R471" s="373"/>
      <c r="T471" s="144"/>
      <c r="U471" s="375"/>
      <c r="V471" s="375"/>
      <c r="W471" s="375"/>
      <c r="X471" s="375"/>
      <c r="Y471" s="375"/>
      <c r="Z471" s="375"/>
      <c r="AA471" s="375"/>
      <c r="AB471" s="375"/>
      <c r="AC471" s="376"/>
    </row>
    <row r="472" spans="2:29" s="378" customFormat="1" outlineLevel="1">
      <c r="B472" s="377"/>
      <c r="E472" s="379" t="s">
        <v>2280</v>
      </c>
      <c r="F472" s="748" t="s">
        <v>2281</v>
      </c>
      <c r="G472" s="749">
        <f>(12.3+7.6+2.9+32.5+7.7+19.2)*(2-0.8)</f>
        <v>98.64</v>
      </c>
      <c r="H472" s="749">
        <f>(12.3+7.6+2.9+32.5+7.7+19.2)*(2-0.8)</f>
        <v>98.64</v>
      </c>
      <c r="I472" s="749">
        <f>(12.3+7.6+2.9+32.5+7.7+19.2)*(2-0.8)</f>
        <v>98.64</v>
      </c>
      <c r="J472" s="195"/>
      <c r="K472" s="380">
        <f>(12.3+7.6+2.9+32.5+7.7+19.2)*(2-0.8)</f>
        <v>98.64</v>
      </c>
      <c r="L472" s="197"/>
      <c r="M472" s="197"/>
      <c r="R472" s="381"/>
      <c r="T472" s="194"/>
      <c r="AC472" s="382"/>
    </row>
    <row r="473" spans="2:29" s="333" customFormat="1" outlineLevel="1">
      <c r="B473" s="362"/>
      <c r="E473" s="363" t="s">
        <v>2520</v>
      </c>
      <c r="F473" s="715" t="s">
        <v>2456</v>
      </c>
      <c r="G473" s="716">
        <f>(1.4+1.5)*2*(0.25*0.6)*12+0.35*0.45*2.3</f>
        <v>10.802249999999999</v>
      </c>
      <c r="H473" s="716">
        <f>(1.4+1.5)*2*(0.25*0.6)*12+0.35*0.45*2.3</f>
        <v>10.802249999999999</v>
      </c>
      <c r="I473" s="716">
        <f>(1.4+1.5)*2*(0.25*0.6)*12+0.35*0.45*2.3</f>
        <v>10.802249999999999</v>
      </c>
      <c r="J473" s="209">
        <v>-1</v>
      </c>
      <c r="K473" s="364">
        <f>K236*J473</f>
        <v>-22.44</v>
      </c>
      <c r="L473" s="210"/>
      <c r="M473" s="210"/>
      <c r="R473" s="365"/>
      <c r="T473" s="211"/>
      <c r="AC473" s="366"/>
    </row>
    <row r="474" spans="2:29" outlineLevel="1">
      <c r="B474" s="237"/>
      <c r="C474" s="345"/>
      <c r="D474" s="345" t="s">
        <v>62</v>
      </c>
      <c r="E474" s="346">
        <v>783803140</v>
      </c>
      <c r="F474" s="719" t="s">
        <v>722</v>
      </c>
      <c r="G474" s="719"/>
      <c r="H474" s="719"/>
      <c r="I474" s="719"/>
      <c r="J474" s="63" t="s">
        <v>63</v>
      </c>
      <c r="K474" s="347">
        <f>K471</f>
        <v>76.2</v>
      </c>
      <c r="L474" s="726"/>
      <c r="M474" s="726"/>
      <c r="N474" s="720">
        <f>ROUND(L474*K474,2)</f>
        <v>0</v>
      </c>
      <c r="O474" s="720"/>
      <c r="P474" s="720"/>
      <c r="Q474" s="720"/>
      <c r="R474" s="238"/>
      <c r="T474" s="45"/>
    </row>
    <row r="475" spans="2:29" ht="11.25" customHeight="1" outlineLevel="1">
      <c r="B475" s="237"/>
      <c r="C475" s="383"/>
      <c r="D475" s="383" t="s">
        <v>69</v>
      </c>
      <c r="E475" s="384" t="s">
        <v>723</v>
      </c>
      <c r="F475" s="751" t="s">
        <v>724</v>
      </c>
      <c r="G475" s="751"/>
      <c r="H475" s="751"/>
      <c r="I475" s="751"/>
      <c r="J475" s="65" t="s">
        <v>725</v>
      </c>
      <c r="K475" s="385">
        <f>K474*0.3*2</f>
        <v>45.72</v>
      </c>
      <c r="L475" s="726"/>
      <c r="M475" s="726"/>
      <c r="N475" s="752">
        <f>ROUND(L475*K475,2)</f>
        <v>0</v>
      </c>
      <c r="O475" s="720"/>
      <c r="P475" s="720"/>
      <c r="Q475" s="720"/>
      <c r="R475" s="238"/>
      <c r="T475" s="45"/>
      <c r="V475" s="236"/>
      <c r="W475" s="236"/>
      <c r="X475" s="236"/>
      <c r="Y475" s="236"/>
      <c r="Z475" s="236"/>
      <c r="AA475" s="236"/>
      <c r="AB475" s="236"/>
    </row>
    <row r="476" spans="2:29" ht="11.25" customHeight="1" outlineLevel="1">
      <c r="B476" s="237"/>
      <c r="C476" s="345"/>
      <c r="D476" s="345" t="s">
        <v>62</v>
      </c>
      <c r="E476" s="346">
        <v>985311112</v>
      </c>
      <c r="F476" s="719" t="s">
        <v>695</v>
      </c>
      <c r="G476" s="719"/>
      <c r="H476" s="719"/>
      <c r="I476" s="719"/>
      <c r="J476" s="63" t="s">
        <v>63</v>
      </c>
      <c r="K476" s="347">
        <f>K471</f>
        <v>76.2</v>
      </c>
      <c r="L476" s="726"/>
      <c r="M476" s="726"/>
      <c r="N476" s="720">
        <f>ROUND(L476*K476,2)</f>
        <v>0</v>
      </c>
      <c r="O476" s="720"/>
      <c r="P476" s="720"/>
      <c r="Q476" s="720"/>
      <c r="R476" s="238"/>
      <c r="T476" s="45"/>
    </row>
    <row r="477" spans="2:29" s="358" customFormat="1" outlineLevel="1">
      <c r="B477" s="353"/>
      <c r="C477" s="354"/>
      <c r="D477" s="354" t="s">
        <v>62</v>
      </c>
      <c r="E477" s="355">
        <v>711192202</v>
      </c>
      <c r="F477" s="727" t="s">
        <v>410</v>
      </c>
      <c r="G477" s="727"/>
      <c r="H477" s="727"/>
      <c r="I477" s="727"/>
      <c r="J477" s="215" t="s">
        <v>63</v>
      </c>
      <c r="K477" s="356">
        <f>SUM(K478:K479)</f>
        <v>12.699999999999998</v>
      </c>
      <c r="L477" s="728"/>
      <c r="M477" s="728"/>
      <c r="N477" s="729">
        <f>ROUND(L477*K477,2)</f>
        <v>0</v>
      </c>
      <c r="O477" s="729"/>
      <c r="P477" s="729"/>
      <c r="Q477" s="729"/>
      <c r="R477" s="357"/>
      <c r="T477" s="216"/>
      <c r="U477" s="359"/>
      <c r="V477" s="359"/>
      <c r="W477" s="359"/>
      <c r="X477" s="359"/>
      <c r="Y477" s="359"/>
      <c r="Z477" s="359"/>
      <c r="AA477" s="359"/>
      <c r="AB477" s="359"/>
      <c r="AC477" s="361"/>
    </row>
    <row r="478" spans="2:29" s="248" customFormat="1" ht="22.5" outlineLevel="1">
      <c r="B478" s="247"/>
      <c r="E478" s="349" t="s">
        <v>1948</v>
      </c>
      <c r="F478" s="717" t="s">
        <v>1949</v>
      </c>
      <c r="G478" s="718">
        <f>(12.3+7.6+2.9+32.5+7.7+19.2)*(1-0.8)</f>
        <v>16.439999999999998</v>
      </c>
      <c r="H478" s="718">
        <f>(12.3+7.6+2.9+32.5+7.7+19.2)*(1-0.8)</f>
        <v>16.439999999999998</v>
      </c>
      <c r="I478" s="718">
        <f>(12.3+7.6+2.9+32.5+7.7+19.2)*(1-0.8)</f>
        <v>16.439999999999998</v>
      </c>
      <c r="J478" s="64"/>
      <c r="K478" s="350">
        <f>(12.3+7.6+2.9+32.5+7.7+19.2)*(1-0.8)</f>
        <v>16.439999999999998</v>
      </c>
      <c r="L478" s="196"/>
      <c r="M478" s="196"/>
      <c r="R478" s="249"/>
      <c r="T478" s="45"/>
      <c r="AC478" s="351"/>
    </row>
    <row r="479" spans="2:29" s="333" customFormat="1" outlineLevel="1">
      <c r="B479" s="362"/>
      <c r="E479" s="363" t="s">
        <v>2520</v>
      </c>
      <c r="F479" s="715" t="s">
        <v>2456</v>
      </c>
      <c r="G479" s="716">
        <f>(1.4+1.5)*2*(0.25*0.6)*12+0.35*0.45*2.3</f>
        <v>10.802249999999999</v>
      </c>
      <c r="H479" s="716">
        <f>(1.4+1.5)*2*(0.25*0.6)*12+0.35*0.45*2.3</f>
        <v>10.802249999999999</v>
      </c>
      <c r="I479" s="716">
        <f>(1.4+1.5)*2*(0.25*0.6)*12+0.35*0.45*2.3</f>
        <v>10.802249999999999</v>
      </c>
      <c r="J479" s="209">
        <v>-1</v>
      </c>
      <c r="K479" s="364">
        <f>K241*J479</f>
        <v>-3.7399999999999998</v>
      </c>
      <c r="L479" s="210"/>
      <c r="M479" s="210"/>
      <c r="R479" s="365"/>
      <c r="T479" s="211"/>
      <c r="AC479" s="366"/>
    </row>
    <row r="480" spans="2:29" s="358" customFormat="1" outlineLevel="1">
      <c r="B480" s="353"/>
      <c r="C480" s="354"/>
      <c r="D480" s="354" t="s">
        <v>62</v>
      </c>
      <c r="E480" s="355">
        <v>711199101</v>
      </c>
      <c r="F480" s="727" t="s">
        <v>697</v>
      </c>
      <c r="G480" s="727"/>
      <c r="H480" s="727"/>
      <c r="I480" s="727"/>
      <c r="J480" s="215" t="s">
        <v>68</v>
      </c>
      <c r="K480" s="356">
        <f>SUM(K481:K482)</f>
        <v>4.2</v>
      </c>
      <c r="L480" s="728"/>
      <c r="M480" s="728"/>
      <c r="N480" s="729">
        <f>ROUND(L480*K480,2)</f>
        <v>0</v>
      </c>
      <c r="O480" s="729"/>
      <c r="P480" s="729"/>
      <c r="Q480" s="729"/>
      <c r="R480" s="357"/>
      <c r="T480" s="216"/>
      <c r="U480" s="359"/>
      <c r="V480" s="359"/>
      <c r="W480" s="359"/>
      <c r="X480" s="359"/>
      <c r="Y480" s="359"/>
      <c r="Z480" s="359"/>
      <c r="AA480" s="359"/>
      <c r="AB480" s="359"/>
      <c r="AC480" s="361"/>
    </row>
    <row r="481" spans="2:29" s="248" customFormat="1" outlineLevel="1">
      <c r="B481" s="247"/>
      <c r="E481" s="349" t="s">
        <v>699</v>
      </c>
      <c r="F481" s="717" t="s">
        <v>847</v>
      </c>
      <c r="G481" s="718">
        <f>25*1.2</f>
        <v>30</v>
      </c>
      <c r="H481" s="718">
        <f>25*1.2</f>
        <v>30</v>
      </c>
      <c r="I481" s="718">
        <f>25*1.2</f>
        <v>30</v>
      </c>
      <c r="J481" s="64"/>
      <c r="K481" s="350">
        <f>25*0.2</f>
        <v>5</v>
      </c>
      <c r="L481" s="196"/>
      <c r="M481" s="196"/>
      <c r="R481" s="249"/>
      <c r="T481" s="45"/>
      <c r="AC481" s="351"/>
    </row>
    <row r="482" spans="2:29" s="333" customFormat="1" outlineLevel="1">
      <c r="B482" s="362"/>
      <c r="E482" s="363" t="s">
        <v>2520</v>
      </c>
      <c r="F482" s="715" t="s">
        <v>2456</v>
      </c>
      <c r="G482" s="716">
        <f>(1.4+1.5)*2*(0.25*0.6)*12+0.35*0.45*2.3</f>
        <v>10.802249999999999</v>
      </c>
      <c r="H482" s="716">
        <f>(1.4+1.5)*2*(0.25*0.6)*12+0.35*0.45*2.3</f>
        <v>10.802249999999999</v>
      </c>
      <c r="I482" s="716">
        <f>(1.4+1.5)*2*(0.25*0.6)*12+0.35*0.45*2.3</f>
        <v>10.802249999999999</v>
      </c>
      <c r="J482" s="209">
        <v>-1</v>
      </c>
      <c r="K482" s="364">
        <f>K243*J482</f>
        <v>-0.8</v>
      </c>
      <c r="L482" s="210"/>
      <c r="M482" s="210"/>
      <c r="R482" s="365"/>
      <c r="T482" s="211"/>
      <c r="AC482" s="366"/>
    </row>
    <row r="483" spans="2:29" ht="11.25" customHeight="1" outlineLevel="1">
      <c r="B483" s="237"/>
      <c r="C483" s="383"/>
      <c r="D483" s="383" t="s">
        <v>69</v>
      </c>
      <c r="E483" s="384" t="s">
        <v>718</v>
      </c>
      <c r="F483" s="751" t="s">
        <v>719</v>
      </c>
      <c r="G483" s="751"/>
      <c r="H483" s="751"/>
      <c r="I483" s="751"/>
      <c r="J483" s="65" t="s">
        <v>412</v>
      </c>
      <c r="K483" s="385">
        <f>SUM(K484:K484)</f>
        <v>50.291999999999994</v>
      </c>
      <c r="L483" s="726"/>
      <c r="M483" s="726"/>
      <c r="N483" s="752">
        <f>ROUND(L483*K483,2)</f>
        <v>0</v>
      </c>
      <c r="O483" s="720"/>
      <c r="P483" s="720"/>
      <c r="Q483" s="720"/>
      <c r="R483" s="238"/>
      <c r="T483" s="45"/>
      <c r="V483" s="236"/>
      <c r="W483" s="236"/>
      <c r="X483" s="236"/>
      <c r="Y483" s="236"/>
      <c r="Z483" s="236"/>
      <c r="AA483" s="236"/>
      <c r="AB483" s="236"/>
    </row>
    <row r="484" spans="2:29" s="248" customFormat="1" outlineLevel="1">
      <c r="B484" s="247"/>
      <c r="E484" s="349" t="s">
        <v>700</v>
      </c>
      <c r="F484" s="717" t="s">
        <v>703</v>
      </c>
      <c r="G484" s="718"/>
      <c r="H484" s="718"/>
      <c r="I484" s="718"/>
      <c r="J484" s="64">
        <f>1.8*2*1.1</f>
        <v>3.9600000000000004</v>
      </c>
      <c r="K484" s="350">
        <f>(K477)*J484</f>
        <v>50.291999999999994</v>
      </c>
      <c r="L484" s="196"/>
      <c r="M484" s="196"/>
      <c r="R484" s="249"/>
      <c r="T484" s="45"/>
      <c r="AC484" s="351"/>
    </row>
    <row r="485" spans="2:29" s="358" customFormat="1" ht="11.25" customHeight="1" outlineLevel="1">
      <c r="B485" s="353"/>
      <c r="C485" s="386"/>
      <c r="D485" s="386" t="s">
        <v>65</v>
      </c>
      <c r="E485" s="387" t="s">
        <v>701</v>
      </c>
      <c r="F485" s="750" t="s">
        <v>702</v>
      </c>
      <c r="G485" s="750"/>
      <c r="H485" s="750"/>
      <c r="I485" s="750"/>
      <c r="J485" s="219" t="s">
        <v>68</v>
      </c>
      <c r="K485" s="388">
        <f>SUM(K486:K488)</f>
        <v>4.62</v>
      </c>
      <c r="L485" s="728"/>
      <c r="M485" s="728"/>
      <c r="N485" s="758">
        <f>ROUND(L485*K485,2)</f>
        <v>0</v>
      </c>
      <c r="O485" s="729"/>
      <c r="P485" s="729"/>
      <c r="Q485" s="729"/>
      <c r="R485" s="357"/>
      <c r="T485" s="216"/>
      <c r="U485" s="359"/>
      <c r="AC485" s="361"/>
    </row>
    <row r="486" spans="2:29" s="248" customFormat="1" outlineLevel="1">
      <c r="B486" s="247"/>
      <c r="E486" s="349" t="s">
        <v>699</v>
      </c>
      <c r="F486" s="717" t="s">
        <v>847</v>
      </c>
      <c r="G486" s="718">
        <f>25*1.2</f>
        <v>30</v>
      </c>
      <c r="H486" s="718">
        <f>25*1.2</f>
        <v>30</v>
      </c>
      <c r="I486" s="718">
        <f>25*1.2</f>
        <v>30</v>
      </c>
      <c r="J486" s="64"/>
      <c r="K486" s="350">
        <f>K481</f>
        <v>5</v>
      </c>
      <c r="L486" s="196"/>
      <c r="M486" s="196"/>
      <c r="R486" s="249"/>
      <c r="T486" s="45"/>
      <c r="AC486" s="351"/>
    </row>
    <row r="487" spans="2:29" s="248" customFormat="1" ht="22.5" outlineLevel="1">
      <c r="B487" s="247"/>
      <c r="E487" s="349" t="s">
        <v>704</v>
      </c>
      <c r="F487" s="717"/>
      <c r="G487" s="718"/>
      <c r="H487" s="718"/>
      <c r="I487" s="718"/>
      <c r="J487" s="141">
        <v>0.1</v>
      </c>
      <c r="K487" s="350">
        <f>SUM(K486:K486)*J487</f>
        <v>0.5</v>
      </c>
      <c r="L487" s="196"/>
      <c r="M487" s="196"/>
      <c r="R487" s="249"/>
      <c r="T487" s="45"/>
      <c r="AC487" s="351"/>
    </row>
    <row r="488" spans="2:29" s="333" customFormat="1" outlineLevel="1">
      <c r="B488" s="362"/>
      <c r="E488" s="363" t="s">
        <v>2520</v>
      </c>
      <c r="F488" s="715" t="s">
        <v>2456</v>
      </c>
      <c r="G488" s="716">
        <f>(1.4+1.5)*2*(0.25*0.6)*12+0.35*0.45*2.3</f>
        <v>10.802249999999999</v>
      </c>
      <c r="H488" s="716">
        <f>(1.4+1.5)*2*(0.25*0.6)*12+0.35*0.45*2.3</f>
        <v>10.802249999999999</v>
      </c>
      <c r="I488" s="716">
        <f>(1.4+1.5)*2*(0.25*0.6)*12+0.35*0.45*2.3</f>
        <v>10.802249999999999</v>
      </c>
      <c r="J488" s="209">
        <v>-1</v>
      </c>
      <c r="K488" s="364">
        <f>K247*J488</f>
        <v>-0.88000000000000012</v>
      </c>
      <c r="L488" s="210"/>
      <c r="M488" s="210"/>
      <c r="R488" s="365"/>
      <c r="T488" s="211"/>
      <c r="AC488" s="366"/>
    </row>
    <row r="489" spans="2:29" outlineLevel="1">
      <c r="B489" s="237"/>
      <c r="C489" s="345"/>
      <c r="D489" s="345" t="s">
        <v>62</v>
      </c>
      <c r="E489" s="346">
        <v>622327121</v>
      </c>
      <c r="F489" s="719" t="s">
        <v>729</v>
      </c>
      <c r="G489" s="719"/>
      <c r="H489" s="719"/>
      <c r="I489" s="719"/>
      <c r="J489" s="63" t="s">
        <v>63</v>
      </c>
      <c r="K489" s="347">
        <f>K471</f>
        <v>76.2</v>
      </c>
      <c r="L489" s="726"/>
      <c r="M489" s="726"/>
      <c r="N489" s="720">
        <f>ROUND(L489*K489,2)</f>
        <v>0</v>
      </c>
      <c r="O489" s="720"/>
      <c r="P489" s="720"/>
      <c r="Q489" s="720"/>
      <c r="R489" s="238"/>
      <c r="T489" s="45"/>
      <c r="V489" s="236"/>
      <c r="W489" s="236"/>
      <c r="X489" s="236"/>
      <c r="Y489" s="236"/>
      <c r="Z489" s="236"/>
      <c r="AA489" s="236"/>
      <c r="AB489" s="236"/>
    </row>
    <row r="490" spans="2:29" ht="27" customHeight="1" outlineLevel="1">
      <c r="B490" s="237"/>
      <c r="C490" s="345"/>
      <c r="D490" s="345" t="s">
        <v>62</v>
      </c>
      <c r="E490" s="346">
        <v>622327191</v>
      </c>
      <c r="F490" s="719" t="s">
        <v>731</v>
      </c>
      <c r="G490" s="719"/>
      <c r="H490" s="719"/>
      <c r="I490" s="719"/>
      <c r="J490" s="63" t="s">
        <v>63</v>
      </c>
      <c r="K490" s="347">
        <f>SUM(K491)</f>
        <v>152.4</v>
      </c>
      <c r="L490" s="726"/>
      <c r="M490" s="726"/>
      <c r="N490" s="720">
        <f>ROUND(L490*K490,2)</f>
        <v>0</v>
      </c>
      <c r="O490" s="720"/>
      <c r="P490" s="720"/>
      <c r="Q490" s="720"/>
      <c r="R490" s="238"/>
      <c r="T490" s="45"/>
      <c r="V490" s="236"/>
      <c r="W490" s="236"/>
      <c r="X490" s="236"/>
      <c r="Y490" s="236"/>
      <c r="Z490" s="236"/>
      <c r="AA490" s="236"/>
      <c r="AB490" s="236"/>
    </row>
    <row r="491" spans="2:29" s="248" customFormat="1" outlineLevel="1">
      <c r="B491" s="247"/>
      <c r="E491" s="349" t="s">
        <v>730</v>
      </c>
      <c r="F491" s="717" t="s">
        <v>187</v>
      </c>
      <c r="G491" s="718" t="e">
        <f>G489*F491</f>
        <v>#VALUE!</v>
      </c>
      <c r="H491" s="718" t="e">
        <f>H489*G491</f>
        <v>#VALUE!</v>
      </c>
      <c r="I491" s="718" t="e">
        <f>I489*H491</f>
        <v>#VALUE!</v>
      </c>
      <c r="J491" s="64">
        <v>2</v>
      </c>
      <c r="K491" s="350">
        <f>K489*J491</f>
        <v>152.4</v>
      </c>
      <c r="L491" s="196"/>
      <c r="M491" s="196"/>
      <c r="R491" s="249"/>
      <c r="T491" s="45"/>
      <c r="AC491" s="351"/>
    </row>
    <row r="492" spans="2:29" outlineLevel="1">
      <c r="B492" s="237"/>
      <c r="C492" s="345"/>
      <c r="D492" s="345" t="s">
        <v>62</v>
      </c>
      <c r="E492" s="346">
        <v>622142002</v>
      </c>
      <c r="F492" s="719" t="s">
        <v>726</v>
      </c>
      <c r="G492" s="719"/>
      <c r="H492" s="719"/>
      <c r="I492" s="719"/>
      <c r="J492" s="63" t="s">
        <v>63</v>
      </c>
      <c r="K492" s="347">
        <f>K489</f>
        <v>76.2</v>
      </c>
      <c r="L492" s="726"/>
      <c r="M492" s="726"/>
      <c r="N492" s="720">
        <f>ROUND(L492*K492,2)</f>
        <v>0</v>
      </c>
      <c r="O492" s="720"/>
      <c r="P492" s="720"/>
      <c r="Q492" s="720"/>
      <c r="R492" s="238"/>
      <c r="T492" s="45"/>
    </row>
    <row r="493" spans="2:29" outlineLevel="1">
      <c r="B493" s="237"/>
      <c r="C493" s="345"/>
      <c r="D493" s="345" t="s">
        <v>62</v>
      </c>
      <c r="E493" s="346">
        <v>783826615</v>
      </c>
      <c r="F493" s="719" t="s">
        <v>408</v>
      </c>
      <c r="G493" s="719"/>
      <c r="H493" s="719"/>
      <c r="I493" s="719"/>
      <c r="J493" s="63" t="s">
        <v>63</v>
      </c>
      <c r="K493" s="347">
        <f>K492</f>
        <v>76.2</v>
      </c>
      <c r="L493" s="726"/>
      <c r="M493" s="726"/>
      <c r="N493" s="720">
        <f>ROUND(L493*K493,2)</f>
        <v>0</v>
      </c>
      <c r="O493" s="720"/>
      <c r="P493" s="720"/>
      <c r="Q493" s="720"/>
      <c r="R493" s="238"/>
      <c r="T493" s="45"/>
    </row>
    <row r="494" spans="2:29" s="374" customFormat="1" outlineLevel="1">
      <c r="B494" s="370"/>
      <c r="C494" s="371"/>
      <c r="D494" s="371" t="s">
        <v>732</v>
      </c>
      <c r="E494" s="753" t="s">
        <v>733</v>
      </c>
      <c r="F494" s="754"/>
      <c r="G494" s="754"/>
      <c r="H494" s="754"/>
      <c r="I494" s="755"/>
      <c r="J494" s="145"/>
      <c r="K494" s="372">
        <f>SUM(K495:K496)</f>
        <v>185.14000000000004</v>
      </c>
      <c r="L494" s="756"/>
      <c r="M494" s="756"/>
      <c r="N494" s="757"/>
      <c r="O494" s="757"/>
      <c r="P494" s="757"/>
      <c r="Q494" s="757"/>
      <c r="R494" s="373"/>
      <c r="T494" s="144"/>
      <c r="U494" s="375"/>
      <c r="V494" s="375"/>
      <c r="W494" s="375"/>
      <c r="X494" s="375"/>
      <c r="Y494" s="375"/>
      <c r="Z494" s="375"/>
      <c r="AA494" s="375"/>
      <c r="AB494" s="375"/>
      <c r="AC494" s="376"/>
    </row>
    <row r="495" spans="2:29" s="378" customFormat="1" ht="33" customHeight="1" outlineLevel="1">
      <c r="B495" s="377"/>
      <c r="E495" s="379" t="s">
        <v>2282</v>
      </c>
      <c r="F495" s="748" t="s">
        <v>2293</v>
      </c>
      <c r="G495" s="749" t="e">
        <f>((6.66+3.62)*2+(4.57+6.66)*2+(4.9+3.7+1.3)*2+(5.9+3.7+4.7+5.9+6.1+6.6+6.3+3.2+5.6+5.4+4+2.5)*2+1.6*4)*2-G523-G529</f>
        <v>#VALUE!</v>
      </c>
      <c r="H495" s="749" t="e">
        <f>((6.66+3.62)*2+(4.57+6.66)*2+(4.9+3.7+1.3)*2+(5.9+3.7+4.7+5.9+6.1+6.6+6.3+3.2+5.6+5.4+4+2.5)*2+1.6*4)*2-H523-H529</f>
        <v>#VALUE!</v>
      </c>
      <c r="I495" s="749" t="e">
        <f>((6.66+3.62)*2+(4.57+6.66)*2+(4.9+3.7+1.3)*2+(5.9+3.7+4.7+5.9+6.1+6.6+6.3+3.2+5.6+5.4+4+2.5)*2+1.6*4)*2-I523-I529</f>
        <v>#VALUE!</v>
      </c>
      <c r="J495" s="195"/>
      <c r="K495" s="380">
        <f>((6.66+3.62)*2+(4.57+6.66)*2+(4.9+3.7+1.3)*2+(5.9+3.7+4.7+5.9+6.1+6.6+6.3+3.2+5.6+5.4+4+2.5)*2+1.6*4)*2-K523-K527</f>
        <v>279.94000000000005</v>
      </c>
      <c r="L495" s="197"/>
      <c r="M495" s="197"/>
      <c r="R495" s="381"/>
      <c r="T495" s="194"/>
      <c r="AC495" s="382"/>
    </row>
    <row r="496" spans="2:29" s="333" customFormat="1" outlineLevel="1">
      <c r="B496" s="362"/>
      <c r="E496" s="363" t="s">
        <v>2520</v>
      </c>
      <c r="F496" s="715" t="s">
        <v>2456</v>
      </c>
      <c r="G496" s="716">
        <f>(1.4+1.5)*2*(0.25*0.6)*12+0.35*0.45*2.3</f>
        <v>10.802249999999999</v>
      </c>
      <c r="H496" s="716">
        <f>(1.4+1.5)*2*(0.25*0.6)*12+0.35*0.45*2.3</f>
        <v>10.802249999999999</v>
      </c>
      <c r="I496" s="716">
        <f>(1.4+1.5)*2*(0.25*0.6)*12+0.35*0.45*2.3</f>
        <v>10.802249999999999</v>
      </c>
      <c r="J496" s="209">
        <v>-1</v>
      </c>
      <c r="K496" s="364">
        <f>K255*J496</f>
        <v>-94.8</v>
      </c>
      <c r="L496" s="210"/>
      <c r="M496" s="210"/>
      <c r="R496" s="365"/>
      <c r="T496" s="211"/>
      <c r="AC496" s="366"/>
    </row>
    <row r="497" spans="2:29" outlineLevel="1">
      <c r="B497" s="237"/>
      <c r="C497" s="345"/>
      <c r="D497" s="345" t="s">
        <v>62</v>
      </c>
      <c r="E497" s="346">
        <v>783803140</v>
      </c>
      <c r="F497" s="719" t="s">
        <v>722</v>
      </c>
      <c r="G497" s="719"/>
      <c r="H497" s="719"/>
      <c r="I497" s="719"/>
      <c r="J497" s="63" t="s">
        <v>63</v>
      </c>
      <c r="K497" s="347">
        <f>K494</f>
        <v>185.14000000000004</v>
      </c>
      <c r="L497" s="726"/>
      <c r="M497" s="726"/>
      <c r="N497" s="720">
        <f>ROUND(L497*K497,2)</f>
        <v>0</v>
      </c>
      <c r="O497" s="720"/>
      <c r="P497" s="720"/>
      <c r="Q497" s="720"/>
      <c r="R497" s="238"/>
      <c r="T497" s="45"/>
    </row>
    <row r="498" spans="2:29" ht="11.25" customHeight="1" outlineLevel="1">
      <c r="B498" s="237"/>
      <c r="C498" s="383"/>
      <c r="D498" s="383" t="s">
        <v>69</v>
      </c>
      <c r="E498" s="384" t="s">
        <v>723</v>
      </c>
      <c r="F498" s="751" t="s">
        <v>724</v>
      </c>
      <c r="G498" s="751"/>
      <c r="H498" s="751"/>
      <c r="I498" s="751"/>
      <c r="J498" s="65" t="s">
        <v>725</v>
      </c>
      <c r="K498" s="385">
        <f>K497*0.3*2</f>
        <v>111.08400000000002</v>
      </c>
      <c r="L498" s="726"/>
      <c r="M498" s="726"/>
      <c r="N498" s="752">
        <f>ROUND(L498*K498,2)</f>
        <v>0</v>
      </c>
      <c r="O498" s="720"/>
      <c r="P498" s="720"/>
      <c r="Q498" s="720"/>
      <c r="R498" s="238"/>
      <c r="T498" s="45"/>
      <c r="V498" s="236"/>
      <c r="W498" s="236"/>
      <c r="X498" s="236"/>
      <c r="Y498" s="236"/>
      <c r="Z498" s="236"/>
      <c r="AA498" s="236"/>
      <c r="AB498" s="236"/>
    </row>
    <row r="499" spans="2:29" outlineLevel="1">
      <c r="B499" s="237"/>
      <c r="C499" s="345"/>
      <c r="D499" s="345" t="s">
        <v>62</v>
      </c>
      <c r="E499" s="346">
        <v>985311112</v>
      </c>
      <c r="F499" s="719" t="s">
        <v>695</v>
      </c>
      <c r="G499" s="719"/>
      <c r="H499" s="719"/>
      <c r="I499" s="719"/>
      <c r="J499" s="63" t="s">
        <v>63</v>
      </c>
      <c r="K499" s="347">
        <f>K494</f>
        <v>185.14000000000004</v>
      </c>
      <c r="L499" s="726"/>
      <c r="M499" s="726"/>
      <c r="N499" s="720">
        <f>ROUND(L499*K499,2)</f>
        <v>0</v>
      </c>
      <c r="O499" s="720"/>
      <c r="P499" s="720"/>
      <c r="Q499" s="720"/>
      <c r="R499" s="238"/>
      <c r="T499" s="45"/>
    </row>
    <row r="500" spans="2:29" s="358" customFormat="1" outlineLevel="1">
      <c r="B500" s="353"/>
      <c r="C500" s="354"/>
      <c r="D500" s="354" t="s">
        <v>62</v>
      </c>
      <c r="E500" s="355">
        <v>711192202</v>
      </c>
      <c r="F500" s="727" t="s">
        <v>410</v>
      </c>
      <c r="G500" s="727"/>
      <c r="H500" s="727"/>
      <c r="I500" s="727"/>
      <c r="J500" s="215" t="s">
        <v>63</v>
      </c>
      <c r="K500" s="356">
        <f>SUM(K501:K504)</f>
        <v>73.117999999999995</v>
      </c>
      <c r="L500" s="728"/>
      <c r="M500" s="728"/>
      <c r="N500" s="729">
        <f>ROUND(L500*K500,2)</f>
        <v>0</v>
      </c>
      <c r="O500" s="729"/>
      <c r="P500" s="729"/>
      <c r="Q500" s="729"/>
      <c r="R500" s="357"/>
      <c r="T500" s="216"/>
      <c r="U500" s="359"/>
      <c r="V500" s="359"/>
      <c r="W500" s="359"/>
      <c r="X500" s="359"/>
      <c r="Y500" s="359"/>
      <c r="Z500" s="359"/>
      <c r="AA500" s="359"/>
      <c r="AB500" s="359"/>
      <c r="AC500" s="361"/>
    </row>
    <row r="501" spans="2:29" s="248" customFormat="1" ht="38.25" customHeight="1" outlineLevel="1">
      <c r="B501" s="247"/>
      <c r="E501" s="349" t="s">
        <v>1950</v>
      </c>
      <c r="F501" s="717" t="s">
        <v>1961</v>
      </c>
      <c r="G501" s="718">
        <f>((6.66+3.62)*2+(4.57+6.66)*2+(4.9+3.7+1.3)*2+(5.9+3.7+4.7+5.9+6.1+6.6+6.3+3.2+5.6+5.4+4+2.5)*2)*0.5</f>
        <v>91.31</v>
      </c>
      <c r="H501" s="718">
        <f>((6.66+3.62)*2+(4.57+6.66)*2+(4.9+3.7+1.3)*2+(5.9+3.7+4.7+5.9+6.1+6.6+6.3+3.2+5.6+5.4+4+2.5)*2)*0.5</f>
        <v>91.31</v>
      </c>
      <c r="I501" s="718">
        <f>((6.66+3.62)*2+(4.57+6.66)*2+(4.9+3.7+1.3)*2+(5.9+3.7+4.7+5.9+6.1+6.6+6.3+3.2+5.6+5.4+4+2.5)*2)*0.5</f>
        <v>91.31</v>
      </c>
      <c r="J501" s="64"/>
      <c r="K501" s="350">
        <f>((6.66+3.62)*2+(4.57+6.66)*2+(4.9+3.7+1.3)*2+(5.9+3.7+4.7+5.9+6.1+6.6+6.3+3.2+5.6+5.4+4+2.5)*2+1.6*4)*0.7</f>
        <v>132.31399999999999</v>
      </c>
      <c r="L501" s="196"/>
      <c r="M501" s="196"/>
      <c r="R501" s="249"/>
      <c r="T501" s="45"/>
      <c r="AC501" s="305"/>
    </row>
    <row r="502" spans="2:29" s="248" customFormat="1" outlineLevel="1">
      <c r="B502" s="247"/>
      <c r="E502" s="349" t="s">
        <v>1951</v>
      </c>
      <c r="F502" s="717" t="s">
        <v>187</v>
      </c>
      <c r="G502" s="718">
        <f t="shared" ref="G502:I503" si="2">(12.3+7.6+2.9+32.5+7.7+19.2)*(1-0.8)</f>
        <v>16.439999999999998</v>
      </c>
      <c r="H502" s="718">
        <f t="shared" si="2"/>
        <v>16.439999999999998</v>
      </c>
      <c r="I502" s="718">
        <f t="shared" si="2"/>
        <v>16.439999999999998</v>
      </c>
      <c r="J502" s="64">
        <v>-1</v>
      </c>
      <c r="K502" s="350">
        <f>K522/J523*0.7*J502</f>
        <v>-17.5</v>
      </c>
      <c r="L502" s="196"/>
      <c r="M502" s="196"/>
      <c r="R502" s="249"/>
      <c r="T502" s="45"/>
      <c r="AC502" s="351"/>
    </row>
    <row r="503" spans="2:29" s="248" customFormat="1" outlineLevel="1">
      <c r="B503" s="247"/>
      <c r="E503" s="349" t="s">
        <v>1952</v>
      </c>
      <c r="F503" s="717" t="s">
        <v>187</v>
      </c>
      <c r="G503" s="718">
        <f t="shared" si="2"/>
        <v>16.439999999999998</v>
      </c>
      <c r="H503" s="718">
        <f t="shared" si="2"/>
        <v>16.439999999999998</v>
      </c>
      <c r="I503" s="718">
        <f t="shared" si="2"/>
        <v>16.439999999999998</v>
      </c>
      <c r="J503" s="64">
        <v>-1</v>
      </c>
      <c r="K503" s="350">
        <f>K527/2*0.57*J503</f>
        <v>-12.995999999999997</v>
      </c>
      <c r="L503" s="196"/>
      <c r="M503" s="196"/>
      <c r="R503" s="249"/>
      <c r="T503" s="45"/>
      <c r="AC503" s="351"/>
    </row>
    <row r="504" spans="2:29" s="333" customFormat="1" outlineLevel="1">
      <c r="B504" s="362"/>
      <c r="E504" s="363" t="s">
        <v>2520</v>
      </c>
      <c r="F504" s="715" t="s">
        <v>2456</v>
      </c>
      <c r="G504" s="716">
        <f>(1.4+1.5)*2*(0.25*0.6)*12+0.35*0.45*2.3</f>
        <v>10.802249999999999</v>
      </c>
      <c r="H504" s="716">
        <f>(1.4+1.5)*2*(0.25*0.6)*12+0.35*0.45*2.3</f>
        <v>10.802249999999999</v>
      </c>
      <c r="I504" s="716">
        <f>(1.4+1.5)*2*(0.25*0.6)*12+0.35*0.45*2.3</f>
        <v>10.802249999999999</v>
      </c>
      <c r="J504" s="209">
        <v>-1</v>
      </c>
      <c r="K504" s="364">
        <f>K260*J504</f>
        <v>-28.7</v>
      </c>
      <c r="L504" s="210"/>
      <c r="M504" s="210"/>
      <c r="R504" s="365"/>
      <c r="T504" s="211"/>
      <c r="AC504" s="366"/>
    </row>
    <row r="505" spans="2:29" s="358" customFormat="1" outlineLevel="1">
      <c r="B505" s="353"/>
      <c r="C505" s="354"/>
      <c r="D505" s="354" t="s">
        <v>62</v>
      </c>
      <c r="E505" s="355">
        <v>711199101</v>
      </c>
      <c r="F505" s="727" t="s">
        <v>697</v>
      </c>
      <c r="G505" s="727"/>
      <c r="H505" s="727"/>
      <c r="I505" s="727"/>
      <c r="J505" s="215" t="s">
        <v>68</v>
      </c>
      <c r="K505" s="356">
        <f>SUM(K506:K507)</f>
        <v>140</v>
      </c>
      <c r="L505" s="728"/>
      <c r="M505" s="728"/>
      <c r="N505" s="729">
        <f>ROUND(L505*K505,2)</f>
        <v>0</v>
      </c>
      <c r="O505" s="729"/>
      <c r="P505" s="729"/>
      <c r="Q505" s="729"/>
      <c r="R505" s="357"/>
      <c r="T505" s="216"/>
      <c r="U505" s="359"/>
      <c r="V505" s="359"/>
      <c r="W505" s="359"/>
      <c r="X505" s="359"/>
      <c r="Y505" s="359"/>
      <c r="Z505" s="359"/>
      <c r="AA505" s="359"/>
      <c r="AB505" s="359"/>
      <c r="AC505" s="361"/>
    </row>
    <row r="506" spans="2:29" s="248" customFormat="1" outlineLevel="1">
      <c r="B506" s="247"/>
      <c r="E506" s="349" t="s">
        <v>699</v>
      </c>
      <c r="F506" s="717" t="s">
        <v>848</v>
      </c>
      <c r="G506" s="718">
        <f>98*2</f>
        <v>196</v>
      </c>
      <c r="H506" s="718">
        <f>98*2</f>
        <v>196</v>
      </c>
      <c r="I506" s="718">
        <f>98*2</f>
        <v>196</v>
      </c>
      <c r="J506" s="64"/>
      <c r="K506" s="350">
        <f>98*2+4*2</f>
        <v>204</v>
      </c>
      <c r="L506" s="196"/>
      <c r="M506" s="196"/>
      <c r="R506" s="249"/>
      <c r="T506" s="45"/>
      <c r="AC506" s="351"/>
    </row>
    <row r="507" spans="2:29" s="333" customFormat="1" outlineLevel="1">
      <c r="B507" s="362"/>
      <c r="E507" s="363" t="s">
        <v>2520</v>
      </c>
      <c r="F507" s="715" t="s">
        <v>2456</v>
      </c>
      <c r="G507" s="716">
        <f>(1.4+1.5)*2*(0.25*0.6)*12+0.35*0.45*2.3</f>
        <v>10.802249999999999</v>
      </c>
      <c r="H507" s="716">
        <f>(1.4+1.5)*2*(0.25*0.6)*12+0.35*0.45*2.3</f>
        <v>10.802249999999999</v>
      </c>
      <c r="I507" s="716">
        <f>(1.4+1.5)*2*(0.25*0.6)*12+0.35*0.45*2.3</f>
        <v>10.802249999999999</v>
      </c>
      <c r="J507" s="209">
        <v>-1</v>
      </c>
      <c r="K507" s="364">
        <f>K262*J507</f>
        <v>-64</v>
      </c>
      <c r="L507" s="210"/>
      <c r="M507" s="210"/>
      <c r="R507" s="365"/>
      <c r="T507" s="211"/>
      <c r="AC507" s="366"/>
    </row>
    <row r="508" spans="2:29" ht="11.25" customHeight="1" outlineLevel="1">
      <c r="B508" s="237"/>
      <c r="C508" s="383"/>
      <c r="D508" s="383" t="s">
        <v>69</v>
      </c>
      <c r="E508" s="384" t="s">
        <v>718</v>
      </c>
      <c r="F508" s="751" t="s">
        <v>719</v>
      </c>
      <c r="G508" s="751"/>
      <c r="H508" s="751"/>
      <c r="I508" s="751"/>
      <c r="J508" s="65" t="s">
        <v>412</v>
      </c>
      <c r="K508" s="385">
        <f>SUM(K509:K509)</f>
        <v>289.54728</v>
      </c>
      <c r="L508" s="726"/>
      <c r="M508" s="726"/>
      <c r="N508" s="752">
        <f>ROUND(L508*K508,2)</f>
        <v>0</v>
      </c>
      <c r="O508" s="720"/>
      <c r="P508" s="720"/>
      <c r="Q508" s="720"/>
      <c r="R508" s="238"/>
      <c r="T508" s="45"/>
      <c r="V508" s="236"/>
      <c r="W508" s="236"/>
      <c r="X508" s="236"/>
      <c r="Y508" s="236"/>
      <c r="Z508" s="236"/>
      <c r="AA508" s="236"/>
      <c r="AB508" s="236"/>
    </row>
    <row r="509" spans="2:29" s="248" customFormat="1" outlineLevel="1">
      <c r="B509" s="247"/>
      <c r="E509" s="349" t="s">
        <v>700</v>
      </c>
      <c r="F509" s="717" t="s">
        <v>703</v>
      </c>
      <c r="G509" s="718"/>
      <c r="H509" s="718"/>
      <c r="I509" s="718"/>
      <c r="J509" s="64">
        <f>1.8*2*1.1</f>
        <v>3.9600000000000004</v>
      </c>
      <c r="K509" s="350">
        <f>(K500)*J509</f>
        <v>289.54728</v>
      </c>
      <c r="L509" s="196"/>
      <c r="M509" s="196"/>
      <c r="R509" s="249"/>
      <c r="T509" s="45"/>
      <c r="AC509" s="351"/>
    </row>
    <row r="510" spans="2:29" ht="11.25" customHeight="1" outlineLevel="1">
      <c r="B510" s="237"/>
      <c r="C510" s="383"/>
      <c r="D510" s="383" t="s">
        <v>65</v>
      </c>
      <c r="E510" s="384" t="s">
        <v>701</v>
      </c>
      <c r="F510" s="751" t="s">
        <v>702</v>
      </c>
      <c r="G510" s="751"/>
      <c r="H510" s="751"/>
      <c r="I510" s="751"/>
      <c r="J510" s="65" t="s">
        <v>68</v>
      </c>
      <c r="K510" s="385">
        <f>SUM(K511:K512)</f>
        <v>154</v>
      </c>
      <c r="L510" s="726"/>
      <c r="M510" s="726"/>
      <c r="N510" s="752">
        <f>ROUND(L510*K510,2)</f>
        <v>0</v>
      </c>
      <c r="O510" s="720"/>
      <c r="P510" s="720"/>
      <c r="Q510" s="720"/>
      <c r="R510" s="238"/>
      <c r="T510" s="45"/>
      <c r="V510" s="236"/>
      <c r="W510" s="236"/>
      <c r="X510" s="236"/>
      <c r="Y510" s="236"/>
      <c r="Z510" s="236"/>
      <c r="AA510" s="236"/>
      <c r="AB510" s="236"/>
    </row>
    <row r="511" spans="2:29" s="248" customFormat="1" outlineLevel="1">
      <c r="B511" s="247"/>
      <c r="E511" s="349" t="s">
        <v>699</v>
      </c>
      <c r="F511" s="717" t="s">
        <v>187</v>
      </c>
      <c r="G511" s="718">
        <f>G506</f>
        <v>196</v>
      </c>
      <c r="H511" s="718">
        <f>H506</f>
        <v>196</v>
      </c>
      <c r="I511" s="718">
        <f>I506</f>
        <v>196</v>
      </c>
      <c r="J511" s="64"/>
      <c r="K511" s="350">
        <f>K505</f>
        <v>140</v>
      </c>
      <c r="L511" s="196"/>
      <c r="M511" s="196"/>
      <c r="R511" s="249"/>
      <c r="T511" s="45"/>
      <c r="AC511" s="351"/>
    </row>
    <row r="512" spans="2:29" s="248" customFormat="1" ht="22.5" outlineLevel="1">
      <c r="B512" s="247"/>
      <c r="E512" s="349" t="s">
        <v>704</v>
      </c>
      <c r="F512" s="717"/>
      <c r="G512" s="718"/>
      <c r="H512" s="718"/>
      <c r="I512" s="718"/>
      <c r="J512" s="141">
        <v>0.1</v>
      </c>
      <c r="K512" s="350">
        <f>SUM(K511:K511)*J512</f>
        <v>14</v>
      </c>
      <c r="L512" s="196"/>
      <c r="M512" s="196"/>
      <c r="R512" s="249"/>
      <c r="T512" s="45"/>
      <c r="AC512" s="351"/>
    </row>
    <row r="513" spans="2:29" outlineLevel="1">
      <c r="B513" s="237"/>
      <c r="C513" s="345"/>
      <c r="D513" s="345" t="s">
        <v>62</v>
      </c>
      <c r="E513" s="346">
        <v>612327121</v>
      </c>
      <c r="F513" s="719" t="s">
        <v>740</v>
      </c>
      <c r="G513" s="719"/>
      <c r="H513" s="719"/>
      <c r="I513" s="719"/>
      <c r="J513" s="63" t="s">
        <v>63</v>
      </c>
      <c r="K513" s="347">
        <f>K494</f>
        <v>185.14000000000004</v>
      </c>
      <c r="L513" s="726"/>
      <c r="M513" s="726"/>
      <c r="N513" s="720">
        <f>ROUND(L513*K513,2)</f>
        <v>0</v>
      </c>
      <c r="O513" s="720"/>
      <c r="P513" s="720"/>
      <c r="Q513" s="720"/>
      <c r="R513" s="238"/>
      <c r="T513" s="45"/>
      <c r="V513" s="236"/>
      <c r="W513" s="236"/>
      <c r="X513" s="236"/>
      <c r="Y513" s="236"/>
      <c r="Z513" s="236"/>
      <c r="AA513" s="236"/>
      <c r="AB513" s="236"/>
    </row>
    <row r="514" spans="2:29" ht="27" customHeight="1" outlineLevel="1">
      <c r="B514" s="237"/>
      <c r="C514" s="345"/>
      <c r="D514" s="345" t="s">
        <v>62</v>
      </c>
      <c r="E514" s="346">
        <v>612327191</v>
      </c>
      <c r="F514" s="719" t="s">
        <v>741</v>
      </c>
      <c r="G514" s="719"/>
      <c r="H514" s="719"/>
      <c r="I514" s="719"/>
      <c r="J514" s="63" t="s">
        <v>63</v>
      </c>
      <c r="K514" s="347">
        <f>SUM(K515)</f>
        <v>185.14000000000004</v>
      </c>
      <c r="L514" s="726"/>
      <c r="M514" s="726"/>
      <c r="N514" s="720">
        <f>ROUND(L514*K514,2)</f>
        <v>0</v>
      </c>
      <c r="O514" s="720"/>
      <c r="P514" s="720"/>
      <c r="Q514" s="720"/>
      <c r="R514" s="238"/>
      <c r="T514" s="45"/>
      <c r="V514" s="236"/>
      <c r="W514" s="236"/>
      <c r="X514" s="236"/>
      <c r="Y514" s="236"/>
      <c r="Z514" s="236"/>
      <c r="AA514" s="236"/>
      <c r="AB514" s="236"/>
    </row>
    <row r="515" spans="2:29" s="248" customFormat="1" outlineLevel="1">
      <c r="B515" s="247"/>
      <c r="E515" s="349" t="s">
        <v>730</v>
      </c>
      <c r="F515" s="717" t="s">
        <v>187</v>
      </c>
      <c r="G515" s="718"/>
      <c r="H515" s="718"/>
      <c r="I515" s="718"/>
      <c r="J515" s="64">
        <v>1</v>
      </c>
      <c r="K515" s="350">
        <f>K513*J515</f>
        <v>185.14000000000004</v>
      </c>
      <c r="L515" s="196"/>
      <c r="M515" s="196"/>
      <c r="R515" s="249"/>
      <c r="T515" s="45"/>
      <c r="AC515" s="351"/>
    </row>
    <row r="516" spans="2:29" outlineLevel="1">
      <c r="B516" s="237"/>
      <c r="C516" s="345"/>
      <c r="D516" s="345" t="s">
        <v>62</v>
      </c>
      <c r="E516" s="346">
        <v>622142002</v>
      </c>
      <c r="F516" s="719" t="s">
        <v>726</v>
      </c>
      <c r="G516" s="719"/>
      <c r="H516" s="719"/>
      <c r="I516" s="719"/>
      <c r="J516" s="63" t="s">
        <v>63</v>
      </c>
      <c r="K516" s="347">
        <f>K513</f>
        <v>185.14000000000004</v>
      </c>
      <c r="L516" s="726"/>
      <c r="M516" s="726"/>
      <c r="N516" s="720">
        <f>ROUND(L516*K516,2)</f>
        <v>0</v>
      </c>
      <c r="O516" s="720"/>
      <c r="P516" s="720"/>
      <c r="Q516" s="720"/>
      <c r="R516" s="238"/>
      <c r="T516" s="45"/>
    </row>
    <row r="517" spans="2:29" outlineLevel="1">
      <c r="B517" s="237"/>
      <c r="C517" s="345"/>
      <c r="D517" s="345" t="s">
        <v>62</v>
      </c>
      <c r="E517" s="346">
        <v>612328131</v>
      </c>
      <c r="F517" s="719" t="s">
        <v>742</v>
      </c>
      <c r="G517" s="719"/>
      <c r="H517" s="719"/>
      <c r="I517" s="719"/>
      <c r="J517" s="63" t="s">
        <v>63</v>
      </c>
      <c r="K517" s="347">
        <f>K516</f>
        <v>185.14000000000004</v>
      </c>
      <c r="L517" s="726"/>
      <c r="M517" s="726"/>
      <c r="N517" s="720">
        <f>ROUND(L517*K517,2)</f>
        <v>0</v>
      </c>
      <c r="O517" s="720"/>
      <c r="P517" s="720"/>
      <c r="Q517" s="720"/>
      <c r="R517" s="238"/>
      <c r="T517" s="45"/>
    </row>
    <row r="518" spans="2:29" s="374" customFormat="1" outlineLevel="1">
      <c r="B518" s="370"/>
      <c r="C518" s="371"/>
      <c r="D518" s="371" t="s">
        <v>734</v>
      </c>
      <c r="E518" s="753" t="s">
        <v>735</v>
      </c>
      <c r="F518" s="754"/>
      <c r="G518" s="754"/>
      <c r="H518" s="754"/>
      <c r="I518" s="755"/>
      <c r="J518" s="145"/>
      <c r="K518" s="372">
        <f>6.86+11.21+(2.6+4.3+4.2+1.4)*2*2.1</f>
        <v>70.570000000000007</v>
      </c>
      <c r="L518" s="756"/>
      <c r="M518" s="756"/>
      <c r="N518" s="757"/>
      <c r="O518" s="757"/>
      <c r="P518" s="757"/>
      <c r="Q518" s="757"/>
      <c r="R518" s="373"/>
      <c r="T518" s="144"/>
      <c r="U518" s="375"/>
      <c r="V518" s="375"/>
      <c r="W518" s="375"/>
      <c r="X518" s="375"/>
      <c r="Y518" s="375"/>
      <c r="Z518" s="375"/>
      <c r="AA518" s="375"/>
      <c r="AB518" s="375"/>
      <c r="AC518" s="376"/>
    </row>
    <row r="519" spans="2:29" s="378" customFormat="1" outlineLevel="1">
      <c r="B519" s="377"/>
      <c r="E519" s="379" t="s">
        <v>2283</v>
      </c>
      <c r="F519" s="748" t="s">
        <v>2284</v>
      </c>
      <c r="G519" s="749">
        <f>6.86+11.21+(2.6+4.3+4.2+1.4)*2*2.1</f>
        <v>70.570000000000007</v>
      </c>
      <c r="H519" s="749">
        <f>6.86+11.21+(2.6+4.3+4.2+1.4)*2*2.1</f>
        <v>70.570000000000007</v>
      </c>
      <c r="I519" s="749">
        <f>6.86+11.21+(2.6+4.3+4.2+1.4)*2*2.1</f>
        <v>70.570000000000007</v>
      </c>
      <c r="J519" s="195"/>
      <c r="K519" s="380">
        <f>6.86+11.21+(2.6+4.3+4.2+1.4)*2*2.1</f>
        <v>70.570000000000007</v>
      </c>
      <c r="L519" s="197"/>
      <c r="M519" s="197"/>
      <c r="R519" s="381"/>
      <c r="T519" s="194"/>
      <c r="AC519" s="382"/>
    </row>
    <row r="520" spans="2:29" outlineLevel="1">
      <c r="B520" s="237"/>
      <c r="C520" s="345"/>
      <c r="D520" s="345" t="s">
        <v>62</v>
      </c>
      <c r="E520" s="346">
        <v>611631001</v>
      </c>
      <c r="F520" s="719" t="s">
        <v>399</v>
      </c>
      <c r="G520" s="719"/>
      <c r="H520" s="719"/>
      <c r="I520" s="719"/>
      <c r="J520" s="63" t="s">
        <v>63</v>
      </c>
      <c r="K520" s="347">
        <f>SUM(K521)</f>
        <v>18.07</v>
      </c>
      <c r="L520" s="726"/>
      <c r="M520" s="726"/>
      <c r="N520" s="720">
        <f>ROUND(L520*K520,2)</f>
        <v>0</v>
      </c>
      <c r="O520" s="720"/>
      <c r="P520" s="720"/>
      <c r="Q520" s="720"/>
      <c r="R520" s="238"/>
      <c r="T520" s="45"/>
    </row>
    <row r="521" spans="2:29" s="248" customFormat="1" outlineLevel="1">
      <c r="B521" s="247"/>
      <c r="E521" s="349" t="s">
        <v>685</v>
      </c>
      <c r="F521" s="717" t="s">
        <v>830</v>
      </c>
      <c r="G521" s="718">
        <f>6.86+11.21</f>
        <v>18.07</v>
      </c>
      <c r="H521" s="718">
        <f>6.86+11.21</f>
        <v>18.07</v>
      </c>
      <c r="I521" s="718">
        <f>6.86+11.21</f>
        <v>18.07</v>
      </c>
      <c r="J521" s="64"/>
      <c r="K521" s="350">
        <f>6.86+11.21</f>
        <v>18.07</v>
      </c>
      <c r="L521" s="196"/>
      <c r="M521" s="196"/>
      <c r="R521" s="249"/>
      <c r="T521" s="45"/>
      <c r="AC521" s="351"/>
    </row>
    <row r="522" spans="2:29" outlineLevel="1">
      <c r="B522" s="237"/>
      <c r="C522" s="345"/>
      <c r="D522" s="345" t="s">
        <v>62</v>
      </c>
      <c r="E522" s="346">
        <v>612631001</v>
      </c>
      <c r="F522" s="719" t="s">
        <v>400</v>
      </c>
      <c r="G522" s="719"/>
      <c r="H522" s="719"/>
      <c r="I522" s="719"/>
      <c r="J522" s="63" t="s">
        <v>63</v>
      </c>
      <c r="K522" s="347">
        <f>SUM(K523)</f>
        <v>52.500000000000007</v>
      </c>
      <c r="L522" s="726"/>
      <c r="M522" s="726"/>
      <c r="N522" s="720">
        <f>ROUND(L522*K522,2)</f>
        <v>0</v>
      </c>
      <c r="O522" s="720"/>
      <c r="P522" s="720"/>
      <c r="Q522" s="720"/>
      <c r="R522" s="238"/>
      <c r="T522" s="45"/>
    </row>
    <row r="523" spans="2:29" s="248" customFormat="1" outlineLevel="1">
      <c r="B523" s="247"/>
      <c r="E523" s="349" t="s">
        <v>684</v>
      </c>
      <c r="F523" s="717" t="s">
        <v>831</v>
      </c>
      <c r="G523" s="718" t="e">
        <f>(2.6+4.3+4.2+1.4)*2*F523</f>
        <v>#VALUE!</v>
      </c>
      <c r="H523" s="718" t="e">
        <f>(2.6+4.3+4.2+1.4)*2*G523</f>
        <v>#VALUE!</v>
      </c>
      <c r="I523" s="718" t="e">
        <f>(2.6+4.3+4.2+1.4)*2*H523</f>
        <v>#VALUE!</v>
      </c>
      <c r="J523" s="64">
        <v>2.1</v>
      </c>
      <c r="K523" s="350">
        <f>(2.6+4.3+4.2+1.4)*2*J523</f>
        <v>52.500000000000007</v>
      </c>
      <c r="L523" s="196"/>
      <c r="M523" s="196"/>
      <c r="R523" s="249"/>
      <c r="T523" s="45"/>
      <c r="AC523" s="351"/>
    </row>
    <row r="524" spans="2:29" outlineLevel="1">
      <c r="B524" s="237"/>
      <c r="C524" s="345"/>
      <c r="D524" s="345" t="s">
        <v>62</v>
      </c>
      <c r="E524" s="346">
        <v>783807500</v>
      </c>
      <c r="F524" s="719" t="s">
        <v>736</v>
      </c>
      <c r="G524" s="719"/>
      <c r="H524" s="719"/>
      <c r="I524" s="719"/>
      <c r="J524" s="63" t="s">
        <v>63</v>
      </c>
      <c r="K524" s="347">
        <f>K518</f>
        <v>70.570000000000007</v>
      </c>
      <c r="L524" s="726"/>
      <c r="M524" s="726"/>
      <c r="N524" s="720">
        <f>ROUND(L524*K524,2)</f>
        <v>0</v>
      </c>
      <c r="O524" s="720"/>
      <c r="P524" s="720"/>
      <c r="Q524" s="720"/>
      <c r="R524" s="238"/>
      <c r="T524" s="45"/>
    </row>
    <row r="525" spans="2:29" ht="11.25" customHeight="1" outlineLevel="1">
      <c r="B525" s="237"/>
      <c r="C525" s="383"/>
      <c r="D525" s="383" t="s">
        <v>65</v>
      </c>
      <c r="E525" s="384" t="s">
        <v>738</v>
      </c>
      <c r="F525" s="751" t="s">
        <v>739</v>
      </c>
      <c r="G525" s="751"/>
      <c r="H525" s="751"/>
      <c r="I525" s="751"/>
      <c r="J525" s="65" t="s">
        <v>412</v>
      </c>
      <c r="K525" s="385">
        <f>SUM(K526:K526)</f>
        <v>21.171000000000003</v>
      </c>
      <c r="L525" s="726"/>
      <c r="M525" s="726"/>
      <c r="N525" s="752">
        <f>ROUND(L525*K525,2)</f>
        <v>0</v>
      </c>
      <c r="O525" s="720"/>
      <c r="P525" s="720"/>
      <c r="Q525" s="720"/>
      <c r="R525" s="238"/>
      <c r="T525" s="45"/>
      <c r="V525" s="236"/>
      <c r="W525" s="236"/>
      <c r="X525" s="236"/>
      <c r="Y525" s="236"/>
      <c r="Z525" s="236"/>
      <c r="AA525" s="236"/>
      <c r="AB525" s="236"/>
    </row>
    <row r="526" spans="2:29" s="248" customFormat="1" outlineLevel="1">
      <c r="B526" s="247"/>
      <c r="E526" s="349" t="s">
        <v>737</v>
      </c>
      <c r="F526" s="717" t="s">
        <v>187</v>
      </c>
      <c r="G526" s="718"/>
      <c r="H526" s="718"/>
      <c r="I526" s="718"/>
      <c r="J526" s="64">
        <v>0.3</v>
      </c>
      <c r="K526" s="350">
        <f>K524*J526</f>
        <v>21.171000000000003</v>
      </c>
      <c r="L526" s="196"/>
      <c r="M526" s="196"/>
      <c r="R526" s="249"/>
      <c r="T526" s="45"/>
      <c r="AC526" s="351"/>
    </row>
    <row r="527" spans="2:29" s="374" customFormat="1" outlineLevel="1">
      <c r="B527" s="370"/>
      <c r="C527" s="371"/>
      <c r="D527" s="371" t="s">
        <v>743</v>
      </c>
      <c r="E527" s="753" t="s">
        <v>1953</v>
      </c>
      <c r="F527" s="754"/>
      <c r="G527" s="754"/>
      <c r="H527" s="754"/>
      <c r="I527" s="755"/>
      <c r="J527" s="145"/>
      <c r="K527" s="372">
        <f>(6.7+1.6+6.7+3.7+4.1)*2</f>
        <v>45.599999999999994</v>
      </c>
      <c r="L527" s="756"/>
      <c r="M527" s="756"/>
      <c r="N527" s="757"/>
      <c r="O527" s="757"/>
      <c r="P527" s="757"/>
      <c r="Q527" s="757"/>
      <c r="R527" s="373"/>
      <c r="T527" s="144"/>
      <c r="U527" s="375"/>
      <c r="V527" s="375"/>
      <c r="W527" s="375"/>
      <c r="X527" s="375"/>
      <c r="Y527" s="375"/>
      <c r="Z527" s="375"/>
      <c r="AA527" s="375"/>
      <c r="AB527" s="375"/>
      <c r="AC527" s="376"/>
    </row>
    <row r="528" spans="2:29" s="378" customFormat="1" outlineLevel="1">
      <c r="B528" s="377"/>
      <c r="E528" s="379" t="s">
        <v>2285</v>
      </c>
      <c r="F528" s="748" t="s">
        <v>2286</v>
      </c>
      <c r="G528" s="749">
        <f>(6.7+1.6+6.7+3.7+4.1)*2</f>
        <v>45.599999999999994</v>
      </c>
      <c r="H528" s="749">
        <f>(6.7+1.6+6.7+3.7+4.1)*2</f>
        <v>45.599999999999994</v>
      </c>
      <c r="I528" s="749">
        <f>(6.7+1.6+6.7+3.7+4.1)*2</f>
        <v>45.599999999999994</v>
      </c>
      <c r="J528" s="195"/>
      <c r="K528" s="380">
        <f>(6.7+1.6+6.7+3.7+4.1)*2</f>
        <v>45.599999999999994</v>
      </c>
      <c r="L528" s="197"/>
      <c r="M528" s="197"/>
      <c r="R528" s="381"/>
      <c r="T528" s="194"/>
      <c r="AC528" s="382"/>
    </row>
    <row r="529" spans="2:29" outlineLevel="1">
      <c r="B529" s="237"/>
      <c r="C529" s="345"/>
      <c r="D529" s="345" t="s">
        <v>62</v>
      </c>
      <c r="E529" s="346">
        <v>783803140</v>
      </c>
      <c r="F529" s="719" t="s">
        <v>722</v>
      </c>
      <c r="G529" s="719"/>
      <c r="H529" s="719"/>
      <c r="I529" s="719"/>
      <c r="J529" s="63" t="s">
        <v>63</v>
      </c>
      <c r="K529" s="347">
        <f>K527</f>
        <v>45.599999999999994</v>
      </c>
      <c r="L529" s="726"/>
      <c r="M529" s="726"/>
      <c r="N529" s="720">
        <f>ROUND(L529*K529,2)</f>
        <v>0</v>
      </c>
      <c r="O529" s="720"/>
      <c r="P529" s="720"/>
      <c r="Q529" s="720"/>
      <c r="R529" s="238"/>
      <c r="T529" s="45"/>
    </row>
    <row r="530" spans="2:29" ht="11.25" customHeight="1" outlineLevel="1">
      <c r="B530" s="237"/>
      <c r="C530" s="383"/>
      <c r="D530" s="383" t="s">
        <v>69</v>
      </c>
      <c r="E530" s="384" t="s">
        <v>723</v>
      </c>
      <c r="F530" s="751" t="s">
        <v>724</v>
      </c>
      <c r="G530" s="751"/>
      <c r="H530" s="751"/>
      <c r="I530" s="751"/>
      <c r="J530" s="65" t="s">
        <v>725</v>
      </c>
      <c r="K530" s="385">
        <f>K529*0.3*2</f>
        <v>27.359999999999996</v>
      </c>
      <c r="L530" s="726"/>
      <c r="M530" s="726"/>
      <c r="N530" s="752">
        <f>ROUND(L530*K530,2)</f>
        <v>0</v>
      </c>
      <c r="O530" s="720"/>
      <c r="P530" s="720"/>
      <c r="Q530" s="720"/>
      <c r="R530" s="238"/>
      <c r="T530" s="45"/>
      <c r="V530" s="236"/>
      <c r="W530" s="236"/>
      <c r="X530" s="236"/>
      <c r="Y530" s="236"/>
      <c r="Z530" s="236"/>
      <c r="AA530" s="236"/>
      <c r="AB530" s="236"/>
    </row>
    <row r="531" spans="2:29" ht="11.25" customHeight="1" outlineLevel="1">
      <c r="B531" s="237"/>
      <c r="C531" s="345"/>
      <c r="D531" s="345" t="s">
        <v>62</v>
      </c>
      <c r="E531" s="346">
        <v>985311112</v>
      </c>
      <c r="F531" s="719" t="s">
        <v>695</v>
      </c>
      <c r="G531" s="719"/>
      <c r="H531" s="719"/>
      <c r="I531" s="719"/>
      <c r="J531" s="63" t="s">
        <v>63</v>
      </c>
      <c r="K531" s="347">
        <f>K527</f>
        <v>45.599999999999994</v>
      </c>
      <c r="L531" s="726"/>
      <c r="M531" s="726"/>
      <c r="N531" s="720">
        <f>ROUND(L531*K531,2)</f>
        <v>0</v>
      </c>
      <c r="O531" s="720"/>
      <c r="P531" s="720"/>
      <c r="Q531" s="720"/>
      <c r="R531" s="238"/>
      <c r="T531" s="45"/>
    </row>
    <row r="532" spans="2:29" outlineLevel="1">
      <c r="B532" s="237"/>
      <c r="C532" s="345"/>
      <c r="D532" s="345" t="s">
        <v>62</v>
      </c>
      <c r="E532" s="346">
        <v>711192202</v>
      </c>
      <c r="F532" s="719" t="s">
        <v>410</v>
      </c>
      <c r="G532" s="719"/>
      <c r="H532" s="719"/>
      <c r="I532" s="719"/>
      <c r="J532" s="63" t="s">
        <v>63</v>
      </c>
      <c r="K532" s="347">
        <f>K527</f>
        <v>45.599999999999994</v>
      </c>
      <c r="L532" s="726"/>
      <c r="M532" s="726"/>
      <c r="N532" s="720">
        <f>ROUND(L532*K532,2)</f>
        <v>0</v>
      </c>
      <c r="O532" s="720"/>
      <c r="P532" s="720"/>
      <c r="Q532" s="720"/>
      <c r="R532" s="238"/>
      <c r="T532" s="45"/>
    </row>
    <row r="533" spans="2:29" outlineLevel="1">
      <c r="B533" s="237"/>
      <c r="C533" s="345"/>
      <c r="D533" s="345" t="s">
        <v>62</v>
      </c>
      <c r="E533" s="346">
        <v>711199101</v>
      </c>
      <c r="F533" s="719" t="s">
        <v>697</v>
      </c>
      <c r="G533" s="719"/>
      <c r="H533" s="719"/>
      <c r="I533" s="719"/>
      <c r="J533" s="63" t="s">
        <v>68</v>
      </c>
      <c r="K533" s="347">
        <f>SUM(K534:K534)</f>
        <v>18</v>
      </c>
      <c r="L533" s="726"/>
      <c r="M533" s="726"/>
      <c r="N533" s="720">
        <f>ROUND(L533*K533,2)</f>
        <v>0</v>
      </c>
      <c r="O533" s="720"/>
      <c r="P533" s="720"/>
      <c r="Q533" s="720"/>
      <c r="R533" s="238"/>
      <c r="T533" s="45"/>
    </row>
    <row r="534" spans="2:29" s="248" customFormat="1" outlineLevel="1">
      <c r="B534" s="247"/>
      <c r="E534" s="349" t="s">
        <v>699</v>
      </c>
      <c r="F534" s="717" t="s">
        <v>849</v>
      </c>
      <c r="G534" s="718">
        <f>9*2</f>
        <v>18</v>
      </c>
      <c r="H534" s="718">
        <f>9*2</f>
        <v>18</v>
      </c>
      <c r="I534" s="718">
        <f>9*2</f>
        <v>18</v>
      </c>
      <c r="J534" s="64"/>
      <c r="K534" s="350">
        <f>9*2</f>
        <v>18</v>
      </c>
      <c r="L534" s="196"/>
      <c r="M534" s="196"/>
      <c r="R534" s="249"/>
      <c r="T534" s="45"/>
      <c r="AC534" s="351"/>
    </row>
    <row r="535" spans="2:29" ht="11.25" customHeight="1" outlineLevel="1">
      <c r="B535" s="237"/>
      <c r="C535" s="383"/>
      <c r="D535" s="383" t="s">
        <v>69</v>
      </c>
      <c r="E535" s="384" t="s">
        <v>718</v>
      </c>
      <c r="F535" s="751" t="s">
        <v>719</v>
      </c>
      <c r="G535" s="751"/>
      <c r="H535" s="751"/>
      <c r="I535" s="751"/>
      <c r="J535" s="65" t="s">
        <v>412</v>
      </c>
      <c r="K535" s="385">
        <f>SUM(K536:K536)</f>
        <v>180.57599999999999</v>
      </c>
      <c r="L535" s="726"/>
      <c r="M535" s="726"/>
      <c r="N535" s="752">
        <f>ROUND(L535*K535,2)</f>
        <v>0</v>
      </c>
      <c r="O535" s="720"/>
      <c r="P535" s="720"/>
      <c r="Q535" s="720"/>
      <c r="R535" s="238"/>
      <c r="T535" s="45"/>
      <c r="V535" s="236"/>
      <c r="W535" s="236"/>
      <c r="X535" s="236"/>
      <c r="Y535" s="236"/>
      <c r="Z535" s="236"/>
      <c r="AA535" s="236"/>
      <c r="AB535" s="236"/>
    </row>
    <row r="536" spans="2:29" s="248" customFormat="1" outlineLevel="1">
      <c r="B536" s="247"/>
      <c r="E536" s="349" t="s">
        <v>700</v>
      </c>
      <c r="F536" s="717" t="s">
        <v>703</v>
      </c>
      <c r="G536" s="718"/>
      <c r="H536" s="718"/>
      <c r="I536" s="718"/>
      <c r="J536" s="64">
        <f>1.8*2*1.1</f>
        <v>3.9600000000000004</v>
      </c>
      <c r="K536" s="350">
        <f>(K532)*J536</f>
        <v>180.57599999999999</v>
      </c>
      <c r="L536" s="196"/>
      <c r="M536" s="196"/>
      <c r="R536" s="249"/>
      <c r="T536" s="45"/>
      <c r="AC536" s="351"/>
    </row>
    <row r="537" spans="2:29" ht="11.25" customHeight="1" outlineLevel="1">
      <c r="B537" s="237"/>
      <c r="C537" s="383"/>
      <c r="D537" s="383" t="s">
        <v>65</v>
      </c>
      <c r="E537" s="384" t="s">
        <v>701</v>
      </c>
      <c r="F537" s="751" t="s">
        <v>702</v>
      </c>
      <c r="G537" s="751"/>
      <c r="H537" s="751"/>
      <c r="I537" s="751"/>
      <c r="J537" s="65" t="s">
        <v>68</v>
      </c>
      <c r="K537" s="385">
        <f>SUM(K538:K539)</f>
        <v>19.8</v>
      </c>
      <c r="L537" s="726"/>
      <c r="M537" s="726"/>
      <c r="N537" s="752">
        <f>ROUND(L537*K537,2)</f>
        <v>0</v>
      </c>
      <c r="O537" s="720"/>
      <c r="P537" s="720"/>
      <c r="Q537" s="720"/>
      <c r="R537" s="238"/>
      <c r="T537" s="45"/>
      <c r="V537" s="236"/>
      <c r="W537" s="236"/>
      <c r="X537" s="236"/>
      <c r="Y537" s="236"/>
      <c r="Z537" s="236"/>
      <c r="AA537" s="236"/>
      <c r="AB537" s="236"/>
    </row>
    <row r="538" spans="2:29" s="248" customFormat="1" outlineLevel="1">
      <c r="B538" s="247"/>
      <c r="E538" s="349" t="s">
        <v>699</v>
      </c>
      <c r="F538" s="717" t="s">
        <v>187</v>
      </c>
      <c r="G538" s="718"/>
      <c r="H538" s="718"/>
      <c r="I538" s="718"/>
      <c r="J538" s="64"/>
      <c r="K538" s="350">
        <f>K534</f>
        <v>18</v>
      </c>
      <c r="L538" s="196"/>
      <c r="M538" s="196"/>
      <c r="R538" s="249"/>
      <c r="T538" s="45"/>
      <c r="AC538" s="351"/>
    </row>
    <row r="539" spans="2:29" s="248" customFormat="1" ht="22.5" outlineLevel="1">
      <c r="B539" s="247"/>
      <c r="E539" s="349" t="s">
        <v>704</v>
      </c>
      <c r="F539" s="717"/>
      <c r="G539" s="718"/>
      <c r="H539" s="718"/>
      <c r="I539" s="718"/>
      <c r="J539" s="141">
        <v>0.1</v>
      </c>
      <c r="K539" s="350">
        <f>SUM(K538:K538)*J539</f>
        <v>1.8</v>
      </c>
      <c r="L539" s="196"/>
      <c r="M539" s="196"/>
      <c r="R539" s="249"/>
      <c r="T539" s="45"/>
      <c r="AC539" s="351"/>
    </row>
    <row r="540" spans="2:29" s="374" customFormat="1" outlineLevel="1">
      <c r="B540" s="370"/>
      <c r="C540" s="371"/>
      <c r="D540" s="371" t="s">
        <v>395</v>
      </c>
      <c r="E540" s="753" t="s">
        <v>744</v>
      </c>
      <c r="F540" s="754"/>
      <c r="G540" s="754"/>
      <c r="H540" s="754"/>
      <c r="I540" s="755"/>
      <c r="J540" s="145"/>
      <c r="K540" s="372">
        <f>SUM(K541:K542)</f>
        <v>183.36099999999999</v>
      </c>
      <c r="L540" s="756"/>
      <c r="M540" s="756"/>
      <c r="N540" s="757"/>
      <c r="O540" s="757"/>
      <c r="P540" s="757"/>
      <c r="Q540" s="757"/>
      <c r="R540" s="373"/>
      <c r="T540" s="144"/>
      <c r="U540" s="375"/>
      <c r="V540" s="375"/>
      <c r="W540" s="375"/>
      <c r="X540" s="375"/>
      <c r="Y540" s="375"/>
      <c r="Z540" s="375"/>
      <c r="AA540" s="375"/>
      <c r="AB540" s="375"/>
      <c r="AC540" s="376"/>
    </row>
    <row r="541" spans="2:29" s="378" customFormat="1" outlineLevel="1">
      <c r="B541" s="377"/>
      <c r="E541" s="379" t="s">
        <v>2287</v>
      </c>
      <c r="F541" s="748" t="s">
        <v>2288</v>
      </c>
      <c r="G541" s="749">
        <f>28.19+23.93+18.07+4.92+40.52+27.72+22.76+20+17.25+30.611</f>
        <v>233.97099999999998</v>
      </c>
      <c r="H541" s="749">
        <f>28.19+23.93+18.07+4.92+40.52+27.72+22.76+20+17.25+30.611</f>
        <v>233.97099999999998</v>
      </c>
      <c r="I541" s="749">
        <f>28.19+23.93+18.07+4.92+40.52+27.72+22.76+20+17.25+30.611</f>
        <v>233.97099999999998</v>
      </c>
      <c r="J541" s="195"/>
      <c r="K541" s="380">
        <f>28.19+23.93+18.07+4.92+40.52+27.72+22.76+20+17.25+30.611</f>
        <v>233.97099999999998</v>
      </c>
      <c r="L541" s="197"/>
      <c r="M541" s="197"/>
      <c r="R541" s="381"/>
      <c r="T541" s="194"/>
      <c r="AC541" s="382"/>
    </row>
    <row r="542" spans="2:29" s="333" customFormat="1" outlineLevel="1">
      <c r="B542" s="362"/>
      <c r="E542" s="363" t="s">
        <v>2520</v>
      </c>
      <c r="F542" s="715" t="s">
        <v>2456</v>
      </c>
      <c r="G542" s="716">
        <f>(1.4+1.5)*2*(0.25*0.6)*12+0.35*0.45*2.3</f>
        <v>10.802249999999999</v>
      </c>
      <c r="H542" s="716">
        <f>(1.4+1.5)*2*(0.25*0.6)*12+0.35*0.45*2.3</f>
        <v>10.802249999999999</v>
      </c>
      <c r="I542" s="716">
        <f>(1.4+1.5)*2*(0.25*0.6)*12+0.35*0.45*2.3</f>
        <v>10.802249999999999</v>
      </c>
      <c r="J542" s="209">
        <v>-1</v>
      </c>
      <c r="K542" s="364">
        <f>K274*J542</f>
        <v>-50.61</v>
      </c>
      <c r="L542" s="210"/>
      <c r="M542" s="210"/>
      <c r="R542" s="365"/>
      <c r="T542" s="211"/>
      <c r="AC542" s="366"/>
    </row>
    <row r="543" spans="2:29" outlineLevel="1">
      <c r="B543" s="237"/>
      <c r="C543" s="345"/>
      <c r="D543" s="345" t="s">
        <v>62</v>
      </c>
      <c r="E543" s="346">
        <v>213141111</v>
      </c>
      <c r="F543" s="719" t="s">
        <v>745</v>
      </c>
      <c r="G543" s="719"/>
      <c r="H543" s="719"/>
      <c r="I543" s="719"/>
      <c r="J543" s="63" t="s">
        <v>63</v>
      </c>
      <c r="K543" s="347">
        <f>K540</f>
        <v>183.36099999999999</v>
      </c>
      <c r="L543" s="726"/>
      <c r="M543" s="726"/>
      <c r="N543" s="720">
        <f>ROUND(L543*K543,2)</f>
        <v>0</v>
      </c>
      <c r="O543" s="720"/>
      <c r="P543" s="720"/>
      <c r="Q543" s="720"/>
      <c r="R543" s="238"/>
      <c r="T543" s="45"/>
    </row>
    <row r="544" spans="2:29" ht="11.25" customHeight="1" outlineLevel="1">
      <c r="B544" s="237"/>
      <c r="C544" s="383"/>
      <c r="D544" s="383" t="s">
        <v>65</v>
      </c>
      <c r="E544" s="384" t="s">
        <v>747</v>
      </c>
      <c r="F544" s="751" t="s">
        <v>118</v>
      </c>
      <c r="G544" s="751"/>
      <c r="H544" s="751"/>
      <c r="I544" s="751"/>
      <c r="J544" s="65" t="s">
        <v>63</v>
      </c>
      <c r="K544" s="385">
        <f>SUM(K545:K546)</f>
        <v>220.03319999999999</v>
      </c>
      <c r="L544" s="726"/>
      <c r="M544" s="726"/>
      <c r="N544" s="752">
        <f>ROUND(L544*K544,2)</f>
        <v>0</v>
      </c>
      <c r="O544" s="720"/>
      <c r="P544" s="720"/>
      <c r="Q544" s="720"/>
      <c r="R544" s="238"/>
      <c r="T544" s="45"/>
      <c r="V544" s="236"/>
      <c r="W544" s="236"/>
      <c r="X544" s="236"/>
      <c r="Y544" s="236"/>
      <c r="Z544" s="236"/>
      <c r="AA544" s="236"/>
      <c r="AB544" s="236"/>
    </row>
    <row r="545" spans="2:29" s="248" customFormat="1" outlineLevel="1">
      <c r="B545" s="247"/>
      <c r="E545" s="349" t="s">
        <v>746</v>
      </c>
      <c r="F545" s="717" t="s">
        <v>187</v>
      </c>
      <c r="G545" s="718"/>
      <c r="H545" s="718"/>
      <c r="I545" s="718"/>
      <c r="J545" s="64"/>
      <c r="K545" s="350">
        <f>K543</f>
        <v>183.36099999999999</v>
      </c>
      <c r="L545" s="196"/>
      <c r="M545" s="196"/>
      <c r="R545" s="249"/>
      <c r="T545" s="45"/>
      <c r="AC545" s="351"/>
    </row>
    <row r="546" spans="2:29" s="248" customFormat="1" outlineLevel="1">
      <c r="B546" s="247"/>
      <c r="E546" s="349" t="s">
        <v>164</v>
      </c>
      <c r="F546" s="717"/>
      <c r="G546" s="718"/>
      <c r="H546" s="718"/>
      <c r="I546" s="718"/>
      <c r="J546" s="141">
        <v>0.2</v>
      </c>
      <c r="K546" s="350">
        <f>SUM(K545:K545)*J546</f>
        <v>36.672199999999997</v>
      </c>
      <c r="L546" s="196"/>
      <c r="M546" s="196"/>
      <c r="R546" s="249"/>
      <c r="T546" s="45"/>
      <c r="AC546" s="351"/>
    </row>
    <row r="547" spans="2:29" ht="11.25" customHeight="1" outlineLevel="1">
      <c r="B547" s="237"/>
      <c r="C547" s="345"/>
      <c r="D547" s="345" t="s">
        <v>62</v>
      </c>
      <c r="E547" s="346">
        <v>635111142</v>
      </c>
      <c r="F547" s="719" t="s">
        <v>748</v>
      </c>
      <c r="G547" s="719"/>
      <c r="H547" s="719"/>
      <c r="I547" s="719"/>
      <c r="J547" s="63" t="s">
        <v>64</v>
      </c>
      <c r="K547" s="347">
        <f>SUM(K548)</f>
        <v>18.336099999999998</v>
      </c>
      <c r="L547" s="726"/>
      <c r="M547" s="726"/>
      <c r="N547" s="720">
        <f>ROUND(L547*K547,2)</f>
        <v>0</v>
      </c>
      <c r="O547" s="720"/>
      <c r="P547" s="720"/>
      <c r="Q547" s="720"/>
      <c r="R547" s="238"/>
      <c r="T547" s="45"/>
    </row>
    <row r="548" spans="2:29" s="248" customFormat="1" outlineLevel="1">
      <c r="B548" s="247"/>
      <c r="E548" s="349" t="s">
        <v>746</v>
      </c>
      <c r="F548" s="717" t="s">
        <v>2292</v>
      </c>
      <c r="G548" s="718"/>
      <c r="H548" s="718"/>
      <c r="I548" s="718"/>
      <c r="J548" s="64">
        <v>0.1</v>
      </c>
      <c r="K548" s="350">
        <f>K540*J548</f>
        <v>18.336099999999998</v>
      </c>
      <c r="L548" s="196"/>
      <c r="M548" s="196"/>
      <c r="R548" s="249"/>
      <c r="T548" s="45"/>
      <c r="AC548" s="351"/>
    </row>
    <row r="549" spans="2:29" ht="27" customHeight="1" outlineLevel="1">
      <c r="B549" s="237"/>
      <c r="C549" s="345"/>
      <c r="D549" s="345" t="s">
        <v>62</v>
      </c>
      <c r="E549" s="346" t="s">
        <v>749</v>
      </c>
      <c r="F549" s="719" t="s">
        <v>750</v>
      </c>
      <c r="G549" s="719"/>
      <c r="H549" s="719"/>
      <c r="I549" s="719"/>
      <c r="J549" s="63" t="s">
        <v>63</v>
      </c>
      <c r="K549" s="347">
        <f>K540</f>
        <v>183.36099999999999</v>
      </c>
      <c r="L549" s="726"/>
      <c r="M549" s="726"/>
      <c r="N549" s="720">
        <f>ROUND(L549*K549,2)</f>
        <v>0</v>
      </c>
      <c r="O549" s="720"/>
      <c r="P549" s="720"/>
      <c r="Q549" s="720"/>
      <c r="R549" s="238"/>
      <c r="T549" s="45"/>
      <c r="V549" s="236"/>
      <c r="W549" s="236"/>
      <c r="X549" s="236"/>
      <c r="Y549" s="236"/>
      <c r="Z549" s="236"/>
      <c r="AA549" s="236"/>
      <c r="AB549" s="236"/>
    </row>
    <row r="550" spans="2:29" ht="27" customHeight="1" outlineLevel="1">
      <c r="B550" s="237"/>
      <c r="C550" s="345"/>
      <c r="D550" s="345" t="s">
        <v>62</v>
      </c>
      <c r="E550" s="346">
        <v>631311114</v>
      </c>
      <c r="F550" s="719" t="s">
        <v>751</v>
      </c>
      <c r="G550" s="719"/>
      <c r="H550" s="719"/>
      <c r="I550" s="719"/>
      <c r="J550" s="63" t="s">
        <v>64</v>
      </c>
      <c r="K550" s="347">
        <f>SUM(K551:K551)</f>
        <v>11.001659999999999</v>
      </c>
      <c r="L550" s="726"/>
      <c r="M550" s="726"/>
      <c r="N550" s="720">
        <f>ROUND(L550*K550,2)</f>
        <v>0</v>
      </c>
      <c r="O550" s="720"/>
      <c r="P550" s="720"/>
      <c r="Q550" s="720"/>
      <c r="R550" s="238"/>
      <c r="T550" s="45"/>
      <c r="V550" s="236"/>
      <c r="W550" s="236"/>
      <c r="X550" s="236"/>
      <c r="Y550" s="236"/>
      <c r="Z550" s="236"/>
      <c r="AA550" s="236"/>
      <c r="AB550" s="236"/>
    </row>
    <row r="551" spans="2:29" s="248" customFormat="1" outlineLevel="1">
      <c r="B551" s="247"/>
      <c r="E551" s="349" t="s">
        <v>752</v>
      </c>
      <c r="F551" s="717" t="s">
        <v>187</v>
      </c>
      <c r="G551" s="718"/>
      <c r="H551" s="718"/>
      <c r="I551" s="718"/>
      <c r="J551" s="64">
        <v>0.06</v>
      </c>
      <c r="K551" s="350">
        <f>K540*J551</f>
        <v>11.001659999999999</v>
      </c>
      <c r="L551" s="196"/>
      <c r="M551" s="196"/>
      <c r="R551" s="249"/>
      <c r="T551" s="45"/>
      <c r="AC551" s="351"/>
    </row>
    <row r="552" spans="2:29" outlineLevel="1">
      <c r="B552" s="237"/>
      <c r="C552" s="345"/>
      <c r="D552" s="345" t="s">
        <v>62</v>
      </c>
      <c r="E552" s="346">
        <v>631362021</v>
      </c>
      <c r="F552" s="719" t="s">
        <v>409</v>
      </c>
      <c r="G552" s="719"/>
      <c r="H552" s="719"/>
      <c r="I552" s="719"/>
      <c r="J552" s="63" t="s">
        <v>66</v>
      </c>
      <c r="K552" s="347">
        <f>SUM(K553:K554)</f>
        <v>0.66009960000000001</v>
      </c>
      <c r="L552" s="726"/>
      <c r="M552" s="726"/>
      <c r="N552" s="720">
        <f>ROUND(L552*K552,2)</f>
        <v>0</v>
      </c>
      <c r="O552" s="720"/>
      <c r="P552" s="720"/>
      <c r="Q552" s="720"/>
      <c r="R552" s="238"/>
      <c r="T552" s="45"/>
    </row>
    <row r="553" spans="2:29" s="248" customFormat="1" outlineLevel="1">
      <c r="B553" s="247"/>
      <c r="E553" s="349" t="s">
        <v>753</v>
      </c>
      <c r="F553" s="717"/>
      <c r="G553" s="718"/>
      <c r="H553" s="718"/>
      <c r="I553" s="718"/>
      <c r="J553" s="64">
        <f>3/1000</f>
        <v>3.0000000000000001E-3</v>
      </c>
      <c r="K553" s="350">
        <f>K540*J553</f>
        <v>0.55008299999999999</v>
      </c>
      <c r="L553" s="196"/>
      <c r="M553" s="196"/>
      <c r="R553" s="249"/>
      <c r="T553" s="45"/>
      <c r="AC553" s="351"/>
    </row>
    <row r="554" spans="2:29" s="248" customFormat="1" outlineLevel="1">
      <c r="B554" s="247"/>
      <c r="E554" s="349" t="s">
        <v>164</v>
      </c>
      <c r="F554" s="717"/>
      <c r="G554" s="718"/>
      <c r="H554" s="718"/>
      <c r="I554" s="718"/>
      <c r="J554" s="141">
        <v>0.2</v>
      </c>
      <c r="K554" s="350">
        <f>K553*J554</f>
        <v>0.11001660000000001</v>
      </c>
      <c r="L554" s="196"/>
      <c r="M554" s="196"/>
      <c r="R554" s="249"/>
      <c r="T554" s="45"/>
      <c r="AC554" s="351"/>
    </row>
    <row r="555" spans="2:29" ht="27" customHeight="1" outlineLevel="1">
      <c r="B555" s="237"/>
      <c r="C555" s="345"/>
      <c r="D555" s="345" t="s">
        <v>62</v>
      </c>
      <c r="E555" s="346">
        <v>711191201</v>
      </c>
      <c r="F555" s="719" t="s">
        <v>411</v>
      </c>
      <c r="G555" s="719"/>
      <c r="H555" s="719"/>
      <c r="I555" s="719"/>
      <c r="J555" s="63" t="s">
        <v>63</v>
      </c>
      <c r="K555" s="347">
        <f>SUM(K556:K557)</f>
        <v>205.03</v>
      </c>
      <c r="L555" s="726"/>
      <c r="M555" s="726"/>
      <c r="N555" s="720">
        <f>ROUND(L555*K555,2)</f>
        <v>0</v>
      </c>
      <c r="O555" s="720"/>
      <c r="P555" s="720"/>
      <c r="Q555" s="720"/>
      <c r="R555" s="238"/>
      <c r="T555" s="45"/>
      <c r="V555" s="236"/>
      <c r="W555" s="236"/>
      <c r="X555" s="236"/>
      <c r="Y555" s="236"/>
      <c r="Z555" s="236"/>
      <c r="AA555" s="236"/>
      <c r="AB555" s="236"/>
    </row>
    <row r="556" spans="2:29" s="248" customFormat="1" outlineLevel="1">
      <c r="B556" s="247"/>
      <c r="E556" s="349" t="s">
        <v>756</v>
      </c>
      <c r="F556" s="717" t="s">
        <v>187</v>
      </c>
      <c r="G556" s="718"/>
      <c r="H556" s="718"/>
      <c r="I556" s="718"/>
      <c r="J556" s="64"/>
      <c r="K556" s="350">
        <f>K540</f>
        <v>183.36099999999999</v>
      </c>
      <c r="L556" s="196"/>
      <c r="M556" s="196"/>
      <c r="R556" s="249"/>
      <c r="T556" s="45"/>
      <c r="AC556" s="351"/>
    </row>
    <row r="557" spans="2:29" s="248" customFormat="1" outlineLevel="1">
      <c r="B557" s="247"/>
      <c r="E557" s="349" t="s">
        <v>755</v>
      </c>
      <c r="F557" s="717"/>
      <c r="G557" s="718"/>
      <c r="H557" s="718"/>
      <c r="I557" s="718"/>
      <c r="J557" s="64">
        <v>0.15</v>
      </c>
      <c r="K557" s="350">
        <f>K560*J557</f>
        <v>21.669000000000004</v>
      </c>
      <c r="L557" s="196"/>
      <c r="M557" s="196"/>
      <c r="R557" s="249"/>
      <c r="T557" s="45"/>
      <c r="AC557" s="351"/>
    </row>
    <row r="558" spans="2:29" ht="24.75" customHeight="1" outlineLevel="1">
      <c r="B558" s="237"/>
      <c r="C558" s="383"/>
      <c r="D558" s="383" t="s">
        <v>65</v>
      </c>
      <c r="E558" s="384">
        <v>24551030</v>
      </c>
      <c r="F558" s="751" t="s">
        <v>754</v>
      </c>
      <c r="G558" s="751"/>
      <c r="H558" s="751"/>
      <c r="I558" s="751"/>
      <c r="J558" s="65" t="s">
        <v>412</v>
      </c>
      <c r="K558" s="385">
        <f>SUM(K559)</f>
        <v>697.10199999999998</v>
      </c>
      <c r="L558" s="726"/>
      <c r="M558" s="726"/>
      <c r="N558" s="752">
        <f>ROUND(L558*K558,2)</f>
        <v>0</v>
      </c>
      <c r="O558" s="720"/>
      <c r="P558" s="720"/>
      <c r="Q558" s="720"/>
      <c r="R558" s="238"/>
      <c r="T558" s="139"/>
      <c r="V558" s="236"/>
      <c r="W558" s="236"/>
      <c r="X558" s="236"/>
      <c r="Y558" s="236"/>
      <c r="Z558" s="236"/>
      <c r="AA558" s="236"/>
      <c r="AB558" s="236"/>
    </row>
    <row r="559" spans="2:29" s="248" customFormat="1" outlineLevel="1">
      <c r="B559" s="247"/>
      <c r="E559" s="349" t="s">
        <v>700</v>
      </c>
      <c r="F559" s="717" t="s">
        <v>187</v>
      </c>
      <c r="G559" s="718"/>
      <c r="H559" s="718"/>
      <c r="I559" s="718"/>
      <c r="J559" s="64">
        <v>3.4</v>
      </c>
      <c r="K559" s="350">
        <f>(K555)*J559</f>
        <v>697.10199999999998</v>
      </c>
      <c r="L559" s="196"/>
      <c r="M559" s="196"/>
      <c r="R559" s="249"/>
      <c r="T559" s="45"/>
      <c r="AC559" s="351"/>
    </row>
    <row r="560" spans="2:29" s="358" customFormat="1" outlineLevel="1">
      <c r="B560" s="353"/>
      <c r="C560" s="354"/>
      <c r="D560" s="354" t="s">
        <v>62</v>
      </c>
      <c r="E560" s="355">
        <v>711199101</v>
      </c>
      <c r="F560" s="727" t="s">
        <v>697</v>
      </c>
      <c r="G560" s="727"/>
      <c r="H560" s="727"/>
      <c r="I560" s="727"/>
      <c r="J560" s="215" t="s">
        <v>68</v>
      </c>
      <c r="K560" s="356">
        <f>SUM(K561:K562)</f>
        <v>144.46000000000004</v>
      </c>
      <c r="L560" s="728"/>
      <c r="M560" s="728"/>
      <c r="N560" s="729">
        <f>ROUND(L560*K560,2)</f>
        <v>0</v>
      </c>
      <c r="O560" s="729"/>
      <c r="P560" s="729"/>
      <c r="Q560" s="729"/>
      <c r="R560" s="357"/>
      <c r="T560" s="216"/>
      <c r="U560" s="359"/>
      <c r="V560" s="359"/>
      <c r="W560" s="359"/>
      <c r="X560" s="359"/>
      <c r="Y560" s="359"/>
      <c r="Z560" s="359"/>
      <c r="AA560" s="359"/>
      <c r="AB560" s="359"/>
      <c r="AC560" s="361"/>
    </row>
    <row r="561" spans="2:29" s="248" customFormat="1" ht="40.5" customHeight="1" outlineLevel="1">
      <c r="B561" s="247"/>
      <c r="E561" s="349" t="s">
        <v>707</v>
      </c>
      <c r="F561" s="717" t="s">
        <v>850</v>
      </c>
      <c r="G561" s="718">
        <f>(6.66+3.62+6.66+4.57+3.7+6.66+3.9+5.87+5.87+4.73+6.61+6.12+6.26+3.2+5.4+5.58+3.98+3.28)*2</f>
        <v>185.34000000000003</v>
      </c>
      <c r="H561" s="718">
        <f>(6.66+3.62+6.66+4.57+3.7+6.66+3.9+5.87+5.87+4.73+6.61+6.12+6.26+3.2+5.4+5.58+3.98+3.28)*2</f>
        <v>185.34000000000003</v>
      </c>
      <c r="I561" s="718">
        <f>(6.66+3.62+6.66+4.57+3.7+6.66+3.9+5.87+5.87+4.73+6.61+6.12+6.26+3.2+5.4+5.58+3.98+3.28)*2</f>
        <v>185.34000000000003</v>
      </c>
      <c r="J561" s="64"/>
      <c r="K561" s="350">
        <f>(6.66+3.62+6.66+4.57+3.7+6.66+3.9+5.87+5.87+4.73+6.61+6.12+6.26+3.2+5.4+5.58+3.98+3.28)*2</f>
        <v>185.34000000000003</v>
      </c>
      <c r="L561" s="196"/>
      <c r="M561" s="196"/>
      <c r="R561" s="249"/>
      <c r="T561" s="45"/>
      <c r="AC561" s="351"/>
    </row>
    <row r="562" spans="2:29" s="333" customFormat="1" outlineLevel="1">
      <c r="B562" s="362"/>
      <c r="E562" s="363" t="s">
        <v>2520</v>
      </c>
      <c r="F562" s="715" t="s">
        <v>2456</v>
      </c>
      <c r="G562" s="716">
        <f>(1.4+1.5)*2*(0.25*0.6)*12+0.35*0.45*2.3</f>
        <v>10.802249999999999</v>
      </c>
      <c r="H562" s="716">
        <f>(1.4+1.5)*2*(0.25*0.6)*12+0.35*0.45*2.3</f>
        <v>10.802249999999999</v>
      </c>
      <c r="I562" s="716">
        <f>(1.4+1.5)*2*(0.25*0.6)*12+0.35*0.45*2.3</f>
        <v>10.802249999999999</v>
      </c>
      <c r="J562" s="209">
        <v>-1</v>
      </c>
      <c r="K562" s="364">
        <f>K293*J562</f>
        <v>-40.880000000000003</v>
      </c>
      <c r="L562" s="210"/>
      <c r="M562" s="210"/>
      <c r="R562" s="365"/>
      <c r="T562" s="211"/>
      <c r="AC562" s="366"/>
    </row>
    <row r="563" spans="2:29" ht="11.25" customHeight="1" outlineLevel="1">
      <c r="B563" s="237"/>
      <c r="C563" s="383"/>
      <c r="D563" s="383" t="s">
        <v>65</v>
      </c>
      <c r="E563" s="384" t="s">
        <v>701</v>
      </c>
      <c r="F563" s="751" t="s">
        <v>702</v>
      </c>
      <c r="G563" s="751"/>
      <c r="H563" s="751"/>
      <c r="I563" s="751"/>
      <c r="J563" s="65" t="s">
        <v>68</v>
      </c>
      <c r="K563" s="385">
        <f>SUM(K564:K565)</f>
        <v>158.90600000000003</v>
      </c>
      <c r="L563" s="726"/>
      <c r="M563" s="726"/>
      <c r="N563" s="752">
        <f>ROUND(L563*K563,2)</f>
        <v>0</v>
      </c>
      <c r="O563" s="720"/>
      <c r="P563" s="720"/>
      <c r="Q563" s="720"/>
      <c r="R563" s="238"/>
      <c r="T563" s="45"/>
      <c r="V563" s="236"/>
      <c r="W563" s="236"/>
      <c r="X563" s="236"/>
      <c r="Y563" s="236"/>
      <c r="Z563" s="236"/>
      <c r="AA563" s="236"/>
      <c r="AB563" s="236"/>
    </row>
    <row r="564" spans="2:29" s="248" customFormat="1" outlineLevel="1">
      <c r="B564" s="247"/>
      <c r="E564" s="349" t="s">
        <v>707</v>
      </c>
      <c r="F564" s="717" t="s">
        <v>187</v>
      </c>
      <c r="G564" s="718"/>
      <c r="H564" s="718"/>
      <c r="I564" s="718"/>
      <c r="J564" s="64"/>
      <c r="K564" s="350">
        <f>K560</f>
        <v>144.46000000000004</v>
      </c>
      <c r="L564" s="196"/>
      <c r="M564" s="196"/>
      <c r="R564" s="249"/>
      <c r="T564" s="45"/>
      <c r="AC564" s="351"/>
    </row>
    <row r="565" spans="2:29" s="248" customFormat="1" ht="22.5" outlineLevel="1">
      <c r="B565" s="247"/>
      <c r="E565" s="349" t="s">
        <v>704</v>
      </c>
      <c r="F565" s="717"/>
      <c r="G565" s="718"/>
      <c r="H565" s="718"/>
      <c r="I565" s="718"/>
      <c r="J565" s="141">
        <v>0.1</v>
      </c>
      <c r="K565" s="350">
        <f>SUM(K564:K564)*J565</f>
        <v>14.446000000000005</v>
      </c>
      <c r="L565" s="196"/>
      <c r="M565" s="196"/>
      <c r="R565" s="249"/>
      <c r="T565" s="45"/>
      <c r="AC565" s="351"/>
    </row>
    <row r="566" spans="2:29" s="374" customFormat="1" outlineLevel="1">
      <c r="B566" s="370"/>
      <c r="C566" s="371"/>
      <c r="D566" s="371" t="s">
        <v>395</v>
      </c>
      <c r="E566" s="753" t="s">
        <v>757</v>
      </c>
      <c r="F566" s="754"/>
      <c r="G566" s="754"/>
      <c r="H566" s="754"/>
      <c r="I566" s="755"/>
      <c r="J566" s="145"/>
      <c r="K566" s="372">
        <f>11.21+4.24+2.92</f>
        <v>18.37</v>
      </c>
      <c r="L566" s="756"/>
      <c r="M566" s="756"/>
      <c r="N566" s="757"/>
      <c r="O566" s="757"/>
      <c r="P566" s="757"/>
      <c r="Q566" s="757"/>
      <c r="R566" s="373"/>
      <c r="T566" s="144"/>
      <c r="U566" s="375"/>
      <c r="V566" s="375"/>
      <c r="W566" s="375"/>
      <c r="X566" s="375"/>
      <c r="Y566" s="375"/>
      <c r="Z566" s="375"/>
      <c r="AA566" s="375"/>
      <c r="AB566" s="375"/>
      <c r="AC566" s="376"/>
    </row>
    <row r="567" spans="2:29" s="358" customFormat="1" ht="27" customHeight="1" outlineLevel="1">
      <c r="B567" s="353"/>
      <c r="C567" s="354"/>
      <c r="D567" s="354" t="s">
        <v>62</v>
      </c>
      <c r="E567" s="355" t="s">
        <v>758</v>
      </c>
      <c r="F567" s="727" t="s">
        <v>759</v>
      </c>
      <c r="G567" s="727"/>
      <c r="H567" s="727"/>
      <c r="I567" s="727"/>
      <c r="J567" s="215" t="s">
        <v>68</v>
      </c>
      <c r="K567" s="356">
        <f>SUM(K568:K570)</f>
        <v>32</v>
      </c>
      <c r="L567" s="728"/>
      <c r="M567" s="728"/>
      <c r="N567" s="729">
        <f>ROUND(L567*K567,2)</f>
        <v>0</v>
      </c>
      <c r="O567" s="729"/>
      <c r="P567" s="729"/>
      <c r="Q567" s="729"/>
      <c r="R567" s="357"/>
      <c r="T567" s="216"/>
      <c r="U567" s="359"/>
      <c r="AC567" s="361"/>
    </row>
    <row r="568" spans="2:29" s="248" customFormat="1" outlineLevel="1">
      <c r="B568" s="247"/>
      <c r="E568" s="349" t="s">
        <v>760</v>
      </c>
      <c r="F568" s="717" t="s">
        <v>851</v>
      </c>
      <c r="G568" s="718" t="e">
        <f>11*F568</f>
        <v>#VALUE!</v>
      </c>
      <c r="H568" s="718" t="e">
        <f>11*G568</f>
        <v>#VALUE!</v>
      </c>
      <c r="I568" s="718" t="e">
        <f>11*H568</f>
        <v>#VALUE!</v>
      </c>
      <c r="J568" s="64">
        <v>0.5</v>
      </c>
      <c r="K568" s="350">
        <f>11*J568</f>
        <v>5.5</v>
      </c>
      <c r="L568" s="196"/>
      <c r="M568" s="196"/>
      <c r="R568" s="249"/>
      <c r="T568" s="45"/>
      <c r="AC568" s="351"/>
    </row>
    <row r="569" spans="2:29" s="248" customFormat="1" ht="22.5" outlineLevel="1">
      <c r="B569" s="247"/>
      <c r="E569" s="349" t="s">
        <v>761</v>
      </c>
      <c r="F569" s="717"/>
      <c r="G569" s="718"/>
      <c r="H569" s="718"/>
      <c r="I569" s="718"/>
      <c r="J569" s="64">
        <v>3</v>
      </c>
      <c r="K569" s="350">
        <f>3*13.5</f>
        <v>40.5</v>
      </c>
      <c r="L569" s="196"/>
      <c r="M569" s="196"/>
      <c r="R569" s="249"/>
      <c r="T569" s="45"/>
      <c r="AC569" s="351"/>
    </row>
    <row r="570" spans="2:29" s="333" customFormat="1" outlineLevel="1">
      <c r="B570" s="362"/>
      <c r="E570" s="363" t="s">
        <v>2520</v>
      </c>
      <c r="F570" s="715" t="s">
        <v>2456</v>
      </c>
      <c r="G570" s="716">
        <f>(1.4+1.5)*2*(0.25*0.6)*12+0.35*0.45*2.3</f>
        <v>10.802249999999999</v>
      </c>
      <c r="H570" s="716">
        <f>(1.4+1.5)*2*(0.25*0.6)*12+0.35*0.45*2.3</f>
        <v>10.802249999999999</v>
      </c>
      <c r="I570" s="716">
        <f>(1.4+1.5)*2*(0.25*0.6)*12+0.35*0.45*2.3</f>
        <v>10.802249999999999</v>
      </c>
      <c r="J570" s="209">
        <v>-1</v>
      </c>
      <c r="K570" s="364">
        <f>K299*J570</f>
        <v>-14</v>
      </c>
      <c r="L570" s="210"/>
      <c r="M570" s="210"/>
      <c r="R570" s="365"/>
      <c r="T570" s="211"/>
      <c r="AC570" s="366"/>
    </row>
    <row r="571" spans="2:29" s="358" customFormat="1" ht="11.25" customHeight="1" outlineLevel="1">
      <c r="B571" s="353"/>
      <c r="C571" s="354"/>
      <c r="D571" s="354" t="s">
        <v>62</v>
      </c>
      <c r="E571" s="355">
        <v>953735113</v>
      </c>
      <c r="F571" s="727" t="s">
        <v>762</v>
      </c>
      <c r="G571" s="727"/>
      <c r="H571" s="727"/>
      <c r="I571" s="727"/>
      <c r="J571" s="215" t="s">
        <v>68</v>
      </c>
      <c r="K571" s="356">
        <f>SUM(K572:K575)</f>
        <v>47.55</v>
      </c>
      <c r="L571" s="728"/>
      <c r="M571" s="728"/>
      <c r="N571" s="729">
        <f>ROUND(L571*K571,2)</f>
        <v>0</v>
      </c>
      <c r="O571" s="729"/>
      <c r="P571" s="729"/>
      <c r="Q571" s="729"/>
      <c r="R571" s="357"/>
      <c r="T571" s="216"/>
      <c r="U571" s="359"/>
      <c r="V571" s="359"/>
      <c r="W571" s="359"/>
      <c r="X571" s="359"/>
      <c r="Y571" s="359"/>
      <c r="Z571" s="359"/>
      <c r="AA571" s="359"/>
      <c r="AB571" s="359"/>
      <c r="AC571" s="361"/>
    </row>
    <row r="572" spans="2:29" s="248" customFormat="1" outlineLevel="1">
      <c r="B572" s="247"/>
      <c r="E572" s="349" t="s">
        <v>763</v>
      </c>
      <c r="F572" s="717" t="s">
        <v>187</v>
      </c>
      <c r="G572" s="718">
        <f>G380</f>
        <v>0</v>
      </c>
      <c r="H572" s="718">
        <f>H380</f>
        <v>0</v>
      </c>
      <c r="I572" s="718">
        <f>I380</f>
        <v>0</v>
      </c>
      <c r="J572" s="64"/>
      <c r="K572" s="350">
        <f>K380</f>
        <v>10.049999999999999</v>
      </c>
      <c r="L572" s="196"/>
      <c r="M572" s="196"/>
      <c r="R572" s="249"/>
      <c r="T572" s="216"/>
      <c r="AC572" s="351"/>
    </row>
    <row r="573" spans="2:29" s="248" customFormat="1" outlineLevel="1">
      <c r="B573" s="247"/>
      <c r="E573" s="349" t="s">
        <v>764</v>
      </c>
      <c r="F573" s="717" t="s">
        <v>852</v>
      </c>
      <c r="G573" s="718">
        <f>1*14+0.5*4+2+7+8</f>
        <v>33</v>
      </c>
      <c r="H573" s="718">
        <f>1*14+0.5*4+2+7+8</f>
        <v>33</v>
      </c>
      <c r="I573" s="718">
        <f>1*14+0.5*4+2+7+8</f>
        <v>33</v>
      </c>
      <c r="J573" s="64"/>
      <c r="K573" s="350">
        <f>1*14+0.5*4+2+7+8</f>
        <v>33</v>
      </c>
      <c r="L573" s="196"/>
      <c r="M573" s="196"/>
      <c r="R573" s="249"/>
      <c r="T573" s="216"/>
      <c r="AC573" s="351"/>
    </row>
    <row r="574" spans="2:29" s="248" customFormat="1" outlineLevel="1">
      <c r="B574" s="247"/>
      <c r="E574" s="349" t="s">
        <v>765</v>
      </c>
      <c r="F574" s="717" t="s">
        <v>853</v>
      </c>
      <c r="G574" s="718">
        <f>1+2+3</f>
        <v>6</v>
      </c>
      <c r="H574" s="718">
        <f>1+2+3</f>
        <v>6</v>
      </c>
      <c r="I574" s="718">
        <f>1+2+3</f>
        <v>6</v>
      </c>
      <c r="J574" s="64"/>
      <c r="K574" s="350">
        <f>1+2+3</f>
        <v>6</v>
      </c>
      <c r="L574" s="196"/>
      <c r="M574" s="196"/>
      <c r="R574" s="249"/>
      <c r="T574" s="216"/>
      <c r="AC574" s="351"/>
    </row>
    <row r="575" spans="2:29" s="333" customFormat="1" outlineLevel="1">
      <c r="B575" s="362"/>
      <c r="E575" s="363" t="s">
        <v>2520</v>
      </c>
      <c r="F575" s="715" t="s">
        <v>2456</v>
      </c>
      <c r="G575" s="716">
        <f>(1.4+1.5)*2*(0.25*0.6)*12+0.35*0.45*2.3</f>
        <v>10.802249999999999</v>
      </c>
      <c r="H575" s="716">
        <f>(1.4+1.5)*2*(0.25*0.6)*12+0.35*0.45*2.3</f>
        <v>10.802249999999999</v>
      </c>
      <c r="I575" s="716">
        <f>(1.4+1.5)*2*(0.25*0.6)*12+0.35*0.45*2.3</f>
        <v>10.802249999999999</v>
      </c>
      <c r="J575" s="209">
        <v>-1</v>
      </c>
      <c r="K575" s="364">
        <f>(K304+K305)*J575</f>
        <v>-1.5</v>
      </c>
      <c r="L575" s="210"/>
      <c r="M575" s="210"/>
      <c r="R575" s="365"/>
      <c r="T575" s="216"/>
      <c r="AC575" s="366"/>
    </row>
    <row r="576" spans="2:29" s="358" customFormat="1" ht="11.25" customHeight="1" outlineLevel="1">
      <c r="B576" s="353"/>
      <c r="C576" s="354"/>
      <c r="D576" s="354" t="s">
        <v>62</v>
      </c>
      <c r="E576" s="355" t="s">
        <v>766</v>
      </c>
      <c r="F576" s="727" t="s">
        <v>767</v>
      </c>
      <c r="G576" s="727"/>
      <c r="H576" s="727"/>
      <c r="I576" s="727"/>
      <c r="J576" s="215" t="s">
        <v>67</v>
      </c>
      <c r="K576" s="356">
        <f>SUM(K577:K578)</f>
        <v>8</v>
      </c>
      <c r="L576" s="728"/>
      <c r="M576" s="728"/>
      <c r="N576" s="729">
        <f>ROUND(L576*K576,2)</f>
        <v>0</v>
      </c>
      <c r="O576" s="729"/>
      <c r="P576" s="729"/>
      <c r="Q576" s="729"/>
      <c r="R576" s="357"/>
      <c r="T576" s="216"/>
      <c r="U576" s="359"/>
      <c r="V576" s="359"/>
      <c r="W576" s="359"/>
      <c r="X576" s="359"/>
      <c r="Y576" s="359"/>
      <c r="Z576" s="359"/>
      <c r="AA576" s="359"/>
      <c r="AB576" s="359"/>
      <c r="AC576" s="361"/>
    </row>
    <row r="577" spans="2:29" s="248" customFormat="1" outlineLevel="1">
      <c r="B577" s="247"/>
      <c r="E577" s="349" t="s">
        <v>768</v>
      </c>
      <c r="F577" s="717" t="s">
        <v>854</v>
      </c>
      <c r="G577" s="718"/>
      <c r="H577" s="718"/>
      <c r="I577" s="718"/>
      <c r="J577" s="64"/>
      <c r="K577" s="350">
        <v>9</v>
      </c>
      <c r="L577" s="196"/>
      <c r="M577" s="196"/>
      <c r="R577" s="249"/>
      <c r="T577" s="216"/>
      <c r="AC577" s="351"/>
    </row>
    <row r="578" spans="2:29" s="333" customFormat="1" outlineLevel="1">
      <c r="B578" s="362"/>
      <c r="E578" s="363" t="s">
        <v>2520</v>
      </c>
      <c r="F578" s="715" t="s">
        <v>2456</v>
      </c>
      <c r="G578" s="716">
        <f>(1.4+1.5)*2*(0.25*0.6)*12+0.35*0.45*2.3</f>
        <v>10.802249999999999</v>
      </c>
      <c r="H578" s="716">
        <f>(1.4+1.5)*2*(0.25*0.6)*12+0.35*0.45*2.3</f>
        <v>10.802249999999999</v>
      </c>
      <c r="I578" s="716">
        <f>(1.4+1.5)*2*(0.25*0.6)*12+0.35*0.45*2.3</f>
        <v>10.802249999999999</v>
      </c>
      <c r="J578" s="209">
        <v>-1</v>
      </c>
      <c r="K578" s="364">
        <f>K306*J578</f>
        <v>-1</v>
      </c>
      <c r="L578" s="210"/>
      <c r="M578" s="210"/>
      <c r="R578" s="365"/>
      <c r="T578" s="216"/>
      <c r="AC578" s="366"/>
    </row>
    <row r="579" spans="2:29" ht="11.25" customHeight="1" outlineLevel="1">
      <c r="B579" s="237"/>
      <c r="C579" s="383"/>
      <c r="D579" s="383" t="s">
        <v>69</v>
      </c>
      <c r="E579" s="384" t="s">
        <v>771</v>
      </c>
      <c r="F579" s="751" t="s">
        <v>2294</v>
      </c>
      <c r="G579" s="751"/>
      <c r="H579" s="751"/>
      <c r="I579" s="751"/>
      <c r="J579" s="65" t="s">
        <v>67</v>
      </c>
      <c r="K579" s="385">
        <f>K576</f>
        <v>8</v>
      </c>
      <c r="L579" s="726"/>
      <c r="M579" s="726"/>
      <c r="N579" s="752">
        <f>ROUND(L579*K579,2)</f>
        <v>0</v>
      </c>
      <c r="O579" s="720"/>
      <c r="P579" s="720"/>
      <c r="Q579" s="720"/>
      <c r="R579" s="238"/>
      <c r="T579" s="216"/>
      <c r="V579" s="236"/>
      <c r="W579" s="236"/>
      <c r="X579" s="236"/>
      <c r="Y579" s="236"/>
      <c r="Z579" s="236"/>
      <c r="AA579" s="236"/>
      <c r="AB579" s="236"/>
    </row>
    <row r="580" spans="2:29" s="358" customFormat="1" ht="11.25" customHeight="1" outlineLevel="1">
      <c r="B580" s="353"/>
      <c r="C580" s="354"/>
      <c r="D580" s="354" t="s">
        <v>62</v>
      </c>
      <c r="E580" s="355">
        <v>953731311</v>
      </c>
      <c r="F580" s="727" t="s">
        <v>769</v>
      </c>
      <c r="G580" s="727"/>
      <c r="H580" s="727"/>
      <c r="I580" s="727"/>
      <c r="J580" s="215" t="s">
        <v>67</v>
      </c>
      <c r="K580" s="356">
        <v>2</v>
      </c>
      <c r="L580" s="728"/>
      <c r="M580" s="728"/>
      <c r="N580" s="729">
        <f>ROUND(L580*K580,2)</f>
        <v>0</v>
      </c>
      <c r="O580" s="729"/>
      <c r="P580" s="729"/>
      <c r="Q580" s="729"/>
      <c r="R580" s="357"/>
      <c r="T580" s="216"/>
      <c r="U580" s="359"/>
      <c r="V580" s="359"/>
      <c r="W580" s="359"/>
      <c r="X580" s="359"/>
      <c r="Y580" s="359"/>
      <c r="Z580" s="359"/>
      <c r="AA580" s="359"/>
      <c r="AB580" s="359"/>
      <c r="AC580" s="361"/>
    </row>
    <row r="581" spans="2:29" ht="11.25" customHeight="1" outlineLevel="1">
      <c r="B581" s="237"/>
      <c r="C581" s="383"/>
      <c r="D581" s="383" t="s">
        <v>69</v>
      </c>
      <c r="E581" s="384" t="s">
        <v>770</v>
      </c>
      <c r="F581" s="751" t="s">
        <v>2295</v>
      </c>
      <c r="G581" s="751"/>
      <c r="H581" s="751"/>
      <c r="I581" s="751"/>
      <c r="J581" s="65" t="s">
        <v>67</v>
      </c>
      <c r="K581" s="385">
        <f>K580</f>
        <v>2</v>
      </c>
      <c r="L581" s="726"/>
      <c r="M581" s="726"/>
      <c r="N581" s="752">
        <f>ROUND(L581*K581,2)</f>
        <v>0</v>
      </c>
      <c r="O581" s="720"/>
      <c r="P581" s="720"/>
      <c r="Q581" s="720"/>
      <c r="R581" s="238"/>
      <c r="T581" s="216"/>
      <c r="V581" s="236"/>
      <c r="W581" s="236"/>
      <c r="X581" s="236"/>
      <c r="Y581" s="236"/>
      <c r="Z581" s="236"/>
      <c r="AA581" s="236"/>
      <c r="AB581" s="236"/>
    </row>
    <row r="582" spans="2:29" s="374" customFormat="1" outlineLevel="1">
      <c r="B582" s="370"/>
      <c r="C582" s="371"/>
      <c r="D582" s="371" t="s">
        <v>396</v>
      </c>
      <c r="E582" s="753" t="s">
        <v>773</v>
      </c>
      <c r="F582" s="754"/>
      <c r="G582" s="754"/>
      <c r="H582" s="754"/>
      <c r="I582" s="755"/>
      <c r="J582" s="145"/>
      <c r="K582" s="372">
        <f>11.21+4.24+2.92</f>
        <v>18.37</v>
      </c>
      <c r="L582" s="756"/>
      <c r="M582" s="756"/>
      <c r="N582" s="757"/>
      <c r="O582" s="757"/>
      <c r="P582" s="757"/>
      <c r="Q582" s="757"/>
      <c r="R582" s="373"/>
      <c r="T582" s="144"/>
      <c r="U582" s="375"/>
      <c r="V582" s="375"/>
      <c r="W582" s="375"/>
      <c r="X582" s="375"/>
      <c r="Y582" s="375"/>
      <c r="Z582" s="375"/>
      <c r="AA582" s="375"/>
      <c r="AB582" s="375"/>
      <c r="AC582" s="376"/>
    </row>
    <row r="583" spans="2:29" s="378" customFormat="1" outlineLevel="1">
      <c r="B583" s="377"/>
      <c r="E583" s="379" t="s">
        <v>2290</v>
      </c>
      <c r="F583" s="748" t="s">
        <v>2289</v>
      </c>
      <c r="G583" s="749">
        <f>11.21+4.24+2.92</f>
        <v>18.37</v>
      </c>
      <c r="H583" s="749">
        <f>11.21+4.24+2.92</f>
        <v>18.37</v>
      </c>
      <c r="I583" s="749">
        <f>11.21+4.24+2.92</f>
        <v>18.37</v>
      </c>
      <c r="J583" s="195"/>
      <c r="K583" s="380">
        <f>11.21+4.24+2.92</f>
        <v>18.37</v>
      </c>
      <c r="L583" s="197"/>
      <c r="M583" s="197"/>
      <c r="R583" s="381"/>
      <c r="T583" s="194"/>
      <c r="AC583" s="382"/>
    </row>
    <row r="584" spans="2:29" outlineLevel="1">
      <c r="B584" s="237"/>
      <c r="C584" s="345"/>
      <c r="D584" s="345" t="s">
        <v>62</v>
      </c>
      <c r="E584" s="346">
        <v>213141111</v>
      </c>
      <c r="F584" s="719" t="s">
        <v>745</v>
      </c>
      <c r="G584" s="719"/>
      <c r="H584" s="719"/>
      <c r="I584" s="719"/>
      <c r="J584" s="63" t="s">
        <v>63</v>
      </c>
      <c r="K584" s="347">
        <f>K582</f>
        <v>18.37</v>
      </c>
      <c r="L584" s="726"/>
      <c r="M584" s="726"/>
      <c r="N584" s="720">
        <f>ROUND(L584*K584,2)</f>
        <v>0</v>
      </c>
      <c r="O584" s="720"/>
      <c r="P584" s="720"/>
      <c r="Q584" s="720"/>
      <c r="R584" s="238"/>
      <c r="T584" s="45"/>
    </row>
    <row r="585" spans="2:29" ht="11.25" customHeight="1" outlineLevel="1">
      <c r="B585" s="237"/>
      <c r="C585" s="383"/>
      <c r="D585" s="383" t="s">
        <v>65</v>
      </c>
      <c r="E585" s="384" t="s">
        <v>747</v>
      </c>
      <c r="F585" s="751" t="s">
        <v>118</v>
      </c>
      <c r="G585" s="751"/>
      <c r="H585" s="751"/>
      <c r="I585" s="751"/>
      <c r="J585" s="65" t="s">
        <v>63</v>
      </c>
      <c r="K585" s="385">
        <f>SUM(K586:K587)</f>
        <v>22.044</v>
      </c>
      <c r="L585" s="726"/>
      <c r="M585" s="726"/>
      <c r="N585" s="752">
        <f>ROUND(L585*K585,2)</f>
        <v>0</v>
      </c>
      <c r="O585" s="720"/>
      <c r="P585" s="720"/>
      <c r="Q585" s="720"/>
      <c r="R585" s="238"/>
      <c r="T585" s="45"/>
      <c r="V585" s="236"/>
      <c r="W585" s="236"/>
      <c r="X585" s="236"/>
      <c r="Y585" s="236"/>
      <c r="Z585" s="236"/>
      <c r="AA585" s="236"/>
      <c r="AB585" s="236"/>
    </row>
    <row r="586" spans="2:29" s="248" customFormat="1" outlineLevel="1">
      <c r="B586" s="247"/>
      <c r="E586" s="349" t="s">
        <v>746</v>
      </c>
      <c r="F586" s="717" t="s">
        <v>187</v>
      </c>
      <c r="G586" s="718"/>
      <c r="H586" s="718"/>
      <c r="I586" s="718"/>
      <c r="J586" s="64"/>
      <c r="K586" s="350">
        <f>K584</f>
        <v>18.37</v>
      </c>
      <c r="L586" s="196"/>
      <c r="M586" s="196"/>
      <c r="R586" s="249"/>
      <c r="T586" s="45"/>
      <c r="AC586" s="351"/>
    </row>
    <row r="587" spans="2:29" s="248" customFormat="1" outlineLevel="1">
      <c r="B587" s="247"/>
      <c r="E587" s="349" t="s">
        <v>164</v>
      </c>
      <c r="F587" s="717"/>
      <c r="G587" s="718"/>
      <c r="H587" s="718"/>
      <c r="I587" s="718"/>
      <c r="J587" s="141">
        <v>0.2</v>
      </c>
      <c r="K587" s="350">
        <f>SUM(K586:K586)*J587</f>
        <v>3.6740000000000004</v>
      </c>
      <c r="L587" s="196"/>
      <c r="M587" s="196"/>
      <c r="R587" s="249"/>
      <c r="T587" s="45"/>
      <c r="AC587" s="351"/>
    </row>
    <row r="588" spans="2:29" ht="11.25" customHeight="1" outlineLevel="1">
      <c r="B588" s="237"/>
      <c r="C588" s="345"/>
      <c r="D588" s="345" t="s">
        <v>62</v>
      </c>
      <c r="E588" s="346">
        <v>635111142</v>
      </c>
      <c r="F588" s="719" t="s">
        <v>748</v>
      </c>
      <c r="G588" s="719"/>
      <c r="H588" s="719"/>
      <c r="I588" s="719"/>
      <c r="J588" s="63" t="s">
        <v>64</v>
      </c>
      <c r="K588" s="347">
        <f>SUM(K589)</f>
        <v>2.2044000000000001</v>
      </c>
      <c r="L588" s="726"/>
      <c r="M588" s="726"/>
      <c r="N588" s="720">
        <f>ROUND(L588*K588,2)</f>
        <v>0</v>
      </c>
      <c r="O588" s="720"/>
      <c r="P588" s="720"/>
      <c r="Q588" s="720"/>
      <c r="R588" s="238"/>
      <c r="T588" s="45"/>
    </row>
    <row r="589" spans="2:29" s="248" customFormat="1" outlineLevel="1">
      <c r="B589" s="247"/>
      <c r="E589" s="349" t="s">
        <v>746</v>
      </c>
      <c r="F589" s="717" t="s">
        <v>2291</v>
      </c>
      <c r="G589" s="718"/>
      <c r="H589" s="718"/>
      <c r="I589" s="718"/>
      <c r="J589" s="64">
        <v>0.12</v>
      </c>
      <c r="K589" s="350">
        <f>K582*J589</f>
        <v>2.2044000000000001</v>
      </c>
      <c r="L589" s="196"/>
      <c r="M589" s="196"/>
      <c r="R589" s="249"/>
      <c r="T589" s="45"/>
      <c r="AC589" s="351"/>
    </row>
    <row r="590" spans="2:29" s="341" customFormat="1" ht="12.75">
      <c r="B590" s="340"/>
      <c r="C590" s="344"/>
      <c r="D590" s="344" t="s">
        <v>377</v>
      </c>
      <c r="E590" s="344"/>
      <c r="F590" s="344"/>
      <c r="G590" s="344"/>
      <c r="H590" s="344"/>
      <c r="I590" s="344"/>
      <c r="J590" s="61"/>
      <c r="K590" s="344"/>
      <c r="L590" s="72"/>
      <c r="M590" s="72"/>
      <c r="N590" s="734">
        <f>SUM(N591:Q595)</f>
        <v>0</v>
      </c>
      <c r="O590" s="734"/>
      <c r="P590" s="734"/>
      <c r="Q590" s="734"/>
      <c r="R590" s="342"/>
      <c r="T590" s="45">
        <f>SUM(N590:Q595)/2</f>
        <v>0</v>
      </c>
      <c r="U590" s="248"/>
      <c r="V590" s="248">
        <v>2</v>
      </c>
      <c r="W590" s="248">
        <f>SUM(W365:W389)</f>
        <v>17.76634</v>
      </c>
      <c r="X590" s="248">
        <f>W590*V590</f>
        <v>35.532679999999999</v>
      </c>
      <c r="Y590" s="248"/>
      <c r="Z590" s="248"/>
      <c r="AA590" s="248"/>
      <c r="AB590" s="248"/>
      <c r="AC590" s="343"/>
    </row>
    <row r="591" spans="2:29" outlineLevel="1">
      <c r="B591" s="237"/>
      <c r="C591" s="345"/>
      <c r="D591" s="345" t="s">
        <v>62</v>
      </c>
      <c r="E591" s="346">
        <v>997013213</v>
      </c>
      <c r="F591" s="719" t="s">
        <v>383</v>
      </c>
      <c r="G591" s="719"/>
      <c r="H591" s="719"/>
      <c r="I591" s="719"/>
      <c r="J591" s="63" t="s">
        <v>66</v>
      </c>
      <c r="K591" s="347">
        <f>SUM(K595:K595)</f>
        <v>35.532679999999999</v>
      </c>
      <c r="L591" s="726"/>
      <c r="M591" s="726"/>
      <c r="N591" s="720">
        <f>ROUND(L591*K591,2)</f>
        <v>0</v>
      </c>
      <c r="O591" s="720"/>
      <c r="P591" s="720"/>
      <c r="Q591" s="720"/>
      <c r="R591" s="238"/>
      <c r="T591" s="45"/>
    </row>
    <row r="592" spans="2:29" outlineLevel="1">
      <c r="B592" s="237"/>
      <c r="C592" s="345"/>
      <c r="D592" s="345" t="s">
        <v>62</v>
      </c>
      <c r="E592" s="346">
        <v>997013501</v>
      </c>
      <c r="F592" s="719" t="s">
        <v>384</v>
      </c>
      <c r="G592" s="719"/>
      <c r="H592" s="719"/>
      <c r="I592" s="719"/>
      <c r="J592" s="63" t="s">
        <v>66</v>
      </c>
      <c r="K592" s="347">
        <f>K591</f>
        <v>35.532679999999999</v>
      </c>
      <c r="L592" s="726"/>
      <c r="M592" s="726"/>
      <c r="N592" s="720">
        <f>ROUND(L592*K592,2)</f>
        <v>0</v>
      </c>
      <c r="O592" s="720"/>
      <c r="P592" s="720"/>
      <c r="Q592" s="720"/>
      <c r="R592" s="238"/>
      <c r="T592" s="45"/>
    </row>
    <row r="593" spans="2:29" outlineLevel="1">
      <c r="B593" s="237"/>
      <c r="C593" s="345"/>
      <c r="D593" s="345" t="s">
        <v>62</v>
      </c>
      <c r="E593" s="346">
        <v>997013509</v>
      </c>
      <c r="F593" s="719" t="s">
        <v>385</v>
      </c>
      <c r="G593" s="719"/>
      <c r="H593" s="719"/>
      <c r="I593" s="719"/>
      <c r="J593" s="63" t="s">
        <v>66</v>
      </c>
      <c r="K593" s="347">
        <f>K594</f>
        <v>675.12091999999996</v>
      </c>
      <c r="L593" s="726"/>
      <c r="M593" s="726"/>
      <c r="N593" s="720">
        <f>ROUND(L593*K593,2)</f>
        <v>0</v>
      </c>
      <c r="O593" s="720"/>
      <c r="P593" s="720"/>
      <c r="Q593" s="720"/>
      <c r="R593" s="238"/>
      <c r="T593" s="45"/>
    </row>
    <row r="594" spans="2:29" s="248" customFormat="1" ht="11.25" customHeight="1" outlineLevel="1">
      <c r="B594" s="247"/>
      <c r="E594" s="349" t="s">
        <v>0</v>
      </c>
      <c r="F594" s="717" t="s">
        <v>2272</v>
      </c>
      <c r="G594" s="718"/>
      <c r="H594" s="718"/>
      <c r="I594" s="718"/>
      <c r="J594" s="64">
        <v>19</v>
      </c>
      <c r="K594" s="350">
        <f>K592*J594</f>
        <v>675.12091999999996</v>
      </c>
      <c r="L594" s="196"/>
      <c r="M594" s="196"/>
      <c r="R594" s="249"/>
      <c r="T594" s="45"/>
      <c r="AC594" s="351"/>
    </row>
    <row r="595" spans="2:29" ht="27" customHeight="1" outlineLevel="1">
      <c r="B595" s="237"/>
      <c r="C595" s="345"/>
      <c r="D595" s="345" t="s">
        <v>62</v>
      </c>
      <c r="E595" s="346">
        <v>997013871</v>
      </c>
      <c r="F595" s="719" t="s">
        <v>381</v>
      </c>
      <c r="G595" s="719"/>
      <c r="H595" s="719"/>
      <c r="I595" s="719"/>
      <c r="J595" s="63" t="s">
        <v>66</v>
      </c>
      <c r="K595" s="347">
        <f>X590</f>
        <v>35.532679999999999</v>
      </c>
      <c r="L595" s="726"/>
      <c r="M595" s="726"/>
      <c r="N595" s="720">
        <f>ROUND(L595*K595,2)</f>
        <v>0</v>
      </c>
      <c r="O595" s="720"/>
      <c r="P595" s="720"/>
      <c r="Q595" s="720"/>
      <c r="R595" s="238"/>
      <c r="T595" s="45"/>
    </row>
    <row r="596" spans="2:29">
      <c r="B596" s="274"/>
      <c r="C596" s="275"/>
      <c r="D596" s="275"/>
      <c r="E596" s="275"/>
      <c r="F596" s="275"/>
      <c r="G596" s="275"/>
      <c r="H596" s="275"/>
      <c r="I596" s="275"/>
      <c r="J596" s="67"/>
      <c r="K596" s="275"/>
      <c r="L596" s="275"/>
      <c r="M596" s="275"/>
      <c r="N596" s="275"/>
      <c r="O596" s="275"/>
      <c r="P596" s="275"/>
      <c r="Q596" s="275"/>
      <c r="R596" s="276"/>
      <c r="T596" s="45"/>
    </row>
    <row r="597" spans="2:29">
      <c r="J597" s="68"/>
      <c r="T597" s="45"/>
    </row>
    <row r="598" spans="2:29">
      <c r="J598" s="68"/>
      <c r="T598" s="45"/>
    </row>
    <row r="599" spans="2:29">
      <c r="J599" s="68"/>
      <c r="T599" s="45"/>
    </row>
  </sheetData>
  <sheetProtection algorithmName="SHA-512" hashValue="Yju34HjZWolSDSYz3CpidLwyurJ/38yuETAZ3dm1yXq9SSGb6/NR3gAbkeFqEaiv1s1mYu7jm31JpUd0Nmgpog==" saltValue="4nCb1oipByGTPKlkHNUpfQ==" spinCount="100000" sheet="1"/>
  <mergeCells count="978">
    <mergeCell ref="L550:M550"/>
    <mergeCell ref="N550:Q550"/>
    <mergeCell ref="F551:I551"/>
    <mergeCell ref="L547:M547"/>
    <mergeCell ref="N547:Q547"/>
    <mergeCell ref="F549:I549"/>
    <mergeCell ref="L549:M549"/>
    <mergeCell ref="N549:Q549"/>
    <mergeCell ref="F166:I166"/>
    <mergeCell ref="L531:M531"/>
    <mergeCell ref="N531:Q531"/>
    <mergeCell ref="L532:M532"/>
    <mergeCell ref="N532:Q532"/>
    <mergeCell ref="E540:I540"/>
    <mergeCell ref="L540:M540"/>
    <mergeCell ref="N540:Q540"/>
    <mergeCell ref="F543:I543"/>
    <mergeCell ref="L543:M543"/>
    <mergeCell ref="L527:M527"/>
    <mergeCell ref="N527:Q527"/>
    <mergeCell ref="N543:Q543"/>
    <mergeCell ref="F534:I534"/>
    <mergeCell ref="F535:I535"/>
    <mergeCell ref="L535:M535"/>
    <mergeCell ref="L530:M530"/>
    <mergeCell ref="N530:Q530"/>
    <mergeCell ref="F531:I531"/>
    <mergeCell ref="L525:M525"/>
    <mergeCell ref="N525:Q525"/>
    <mergeCell ref="F526:I526"/>
    <mergeCell ref="N535:Q535"/>
    <mergeCell ref="F536:I536"/>
    <mergeCell ref="F537:I537"/>
    <mergeCell ref="L537:M537"/>
    <mergeCell ref="N537:Q537"/>
    <mergeCell ref="F529:I529"/>
    <mergeCell ref="L529:M529"/>
    <mergeCell ref="N529:Q529"/>
    <mergeCell ref="F533:I533"/>
    <mergeCell ref="L533:M533"/>
    <mergeCell ref="N533:Q533"/>
    <mergeCell ref="F530:I530"/>
    <mergeCell ref="L522:M522"/>
    <mergeCell ref="N522:Q522"/>
    <mergeCell ref="F524:I524"/>
    <mergeCell ref="L524:M524"/>
    <mergeCell ref="N524:Q524"/>
    <mergeCell ref="L510:M510"/>
    <mergeCell ref="N510:Q510"/>
    <mergeCell ref="F511:I511"/>
    <mergeCell ref="F512:I512"/>
    <mergeCell ref="F513:I513"/>
    <mergeCell ref="L513:M513"/>
    <mergeCell ref="F521:I521"/>
    <mergeCell ref="F523:I523"/>
    <mergeCell ref="F517:I517"/>
    <mergeCell ref="L517:M517"/>
    <mergeCell ref="N517:Q517"/>
    <mergeCell ref="E518:I518"/>
    <mergeCell ref="L518:M518"/>
    <mergeCell ref="N518:Q518"/>
    <mergeCell ref="L520:M520"/>
    <mergeCell ref="N520:Q520"/>
    <mergeCell ref="F514:I514"/>
    <mergeCell ref="L514:M514"/>
    <mergeCell ref="N514:Q514"/>
    <mergeCell ref="L516:M516"/>
    <mergeCell ref="N516:Q516"/>
    <mergeCell ref="N499:Q499"/>
    <mergeCell ref="F492:I492"/>
    <mergeCell ref="L492:M492"/>
    <mergeCell ref="N492:Q492"/>
    <mergeCell ref="F497:I497"/>
    <mergeCell ref="L497:M497"/>
    <mergeCell ref="F500:I500"/>
    <mergeCell ref="L500:M500"/>
    <mergeCell ref="F509:I509"/>
    <mergeCell ref="F501:I501"/>
    <mergeCell ref="F502:I502"/>
    <mergeCell ref="F503:I503"/>
    <mergeCell ref="N500:Q500"/>
    <mergeCell ref="F505:I505"/>
    <mergeCell ref="L505:M505"/>
    <mergeCell ref="F495:I495"/>
    <mergeCell ref="L489:M489"/>
    <mergeCell ref="N489:Q489"/>
    <mergeCell ref="F490:I490"/>
    <mergeCell ref="L490:M490"/>
    <mergeCell ref="N490:Q490"/>
    <mergeCell ref="F493:I493"/>
    <mergeCell ref="L493:M493"/>
    <mergeCell ref="N493:Q493"/>
    <mergeCell ref="N513:Q513"/>
    <mergeCell ref="N505:Q505"/>
    <mergeCell ref="F506:I506"/>
    <mergeCell ref="F508:I508"/>
    <mergeCell ref="L508:M508"/>
    <mergeCell ref="N508:Q508"/>
    <mergeCell ref="F491:I491"/>
    <mergeCell ref="E494:I494"/>
    <mergeCell ref="L494:M494"/>
    <mergeCell ref="N494:Q494"/>
    <mergeCell ref="N497:Q497"/>
    <mergeCell ref="F498:I498"/>
    <mergeCell ref="L498:M498"/>
    <mergeCell ref="N498:Q498"/>
    <mergeCell ref="F499:I499"/>
    <mergeCell ref="L499:M499"/>
    <mergeCell ref="L483:M483"/>
    <mergeCell ref="N483:Q483"/>
    <mergeCell ref="F484:I484"/>
    <mergeCell ref="F485:I485"/>
    <mergeCell ref="L485:M485"/>
    <mergeCell ref="N485:Q485"/>
    <mergeCell ref="L477:M477"/>
    <mergeCell ref="N477:Q477"/>
    <mergeCell ref="F480:I480"/>
    <mergeCell ref="L480:M480"/>
    <mergeCell ref="N480:Q480"/>
    <mergeCell ref="F481:I481"/>
    <mergeCell ref="F478:I478"/>
    <mergeCell ref="F482:I482"/>
    <mergeCell ref="L455:M455"/>
    <mergeCell ref="N455:Q455"/>
    <mergeCell ref="F454:I454"/>
    <mergeCell ref="L454:M454"/>
    <mergeCell ref="N454:Q454"/>
    <mergeCell ref="E471:I471"/>
    <mergeCell ref="L474:M474"/>
    <mergeCell ref="N474:Q474"/>
    <mergeCell ref="F468:I468"/>
    <mergeCell ref="L471:M471"/>
    <mergeCell ref="N471:Q471"/>
    <mergeCell ref="F466:I466"/>
    <mergeCell ref="L466:M466"/>
    <mergeCell ref="N466:Q466"/>
    <mergeCell ref="F467:I467"/>
    <mergeCell ref="F458:I458"/>
    <mergeCell ref="F460:I460"/>
    <mergeCell ref="L460:M460"/>
    <mergeCell ref="N460:Q460"/>
    <mergeCell ref="F461:I461"/>
    <mergeCell ref="F456:I456"/>
    <mergeCell ref="L456:M456"/>
    <mergeCell ref="N456:Q456"/>
    <mergeCell ref="L457:M457"/>
    <mergeCell ref="L475:M475"/>
    <mergeCell ref="N475:Q475"/>
    <mergeCell ref="L467:M467"/>
    <mergeCell ref="N467:Q467"/>
    <mergeCell ref="F462:I462"/>
    <mergeCell ref="L462:M462"/>
    <mergeCell ref="N462:Q462"/>
    <mergeCell ref="F463:I463"/>
    <mergeCell ref="F464:I464"/>
    <mergeCell ref="F475:I475"/>
    <mergeCell ref="F474:I474"/>
    <mergeCell ref="L386:M386"/>
    <mergeCell ref="F385:I385"/>
    <mergeCell ref="L358:M358"/>
    <mergeCell ref="N457:Q457"/>
    <mergeCell ref="F453:I453"/>
    <mergeCell ref="L453:M453"/>
    <mergeCell ref="N453:Q453"/>
    <mergeCell ref="F448:I448"/>
    <mergeCell ref="L421:M421"/>
    <mergeCell ref="N421:Q421"/>
    <mergeCell ref="E450:I450"/>
    <mergeCell ref="L450:M450"/>
    <mergeCell ref="N450:Q450"/>
    <mergeCell ref="F444:I444"/>
    <mergeCell ref="F446:I446"/>
    <mergeCell ref="L446:M446"/>
    <mergeCell ref="N446:Q446"/>
    <mergeCell ref="F447:I447"/>
    <mergeCell ref="L447:M447"/>
    <mergeCell ref="N447:Q447"/>
    <mergeCell ref="F443:I443"/>
    <mergeCell ref="L443:M443"/>
    <mergeCell ref="N443:Q443"/>
    <mergeCell ref="L438:M438"/>
    <mergeCell ref="L380:M380"/>
    <mergeCell ref="N380:Q380"/>
    <mergeCell ref="F384:I384"/>
    <mergeCell ref="F383:I383"/>
    <mergeCell ref="F378:I378"/>
    <mergeCell ref="F377:I377"/>
    <mergeCell ref="F376:I376"/>
    <mergeCell ref="F375:I375"/>
    <mergeCell ref="F372:I372"/>
    <mergeCell ref="F374:I374"/>
    <mergeCell ref="L420:M420"/>
    <mergeCell ref="N420:Q420"/>
    <mergeCell ref="F422:I422"/>
    <mergeCell ref="F414:I414"/>
    <mergeCell ref="F415:I415"/>
    <mergeCell ref="F417:I417"/>
    <mergeCell ref="L417:M417"/>
    <mergeCell ref="N417:Q417"/>
    <mergeCell ref="F418:I418"/>
    <mergeCell ref="L414:M414"/>
    <mergeCell ref="F421:I421"/>
    <mergeCell ref="F416:I416"/>
    <mergeCell ref="N414:Q414"/>
    <mergeCell ref="L413:M413"/>
    <mergeCell ref="N413:Q413"/>
    <mergeCell ref="F408:I408"/>
    <mergeCell ref="L408:M408"/>
    <mergeCell ref="N408:Q408"/>
    <mergeCell ref="F409:I409"/>
    <mergeCell ref="F410:I410"/>
    <mergeCell ref="F411:I411"/>
    <mergeCell ref="N358:Q358"/>
    <mergeCell ref="F359:I359"/>
    <mergeCell ref="F389:I389"/>
    <mergeCell ref="L389:M389"/>
    <mergeCell ref="N389:Q389"/>
    <mergeCell ref="F390:I390"/>
    <mergeCell ref="N402:Q402"/>
    <mergeCell ref="N365:Q365"/>
    <mergeCell ref="F366:I366"/>
    <mergeCell ref="F381:I381"/>
    <mergeCell ref="L361:M361"/>
    <mergeCell ref="N361:Q361"/>
    <mergeCell ref="F362:I362"/>
    <mergeCell ref="N386:Q386"/>
    <mergeCell ref="F387:I387"/>
    <mergeCell ref="F382:I382"/>
    <mergeCell ref="L394:M394"/>
    <mergeCell ref="N394:Q394"/>
    <mergeCell ref="E394:I394"/>
    <mergeCell ref="F339:I339"/>
    <mergeCell ref="N331:Q331"/>
    <mergeCell ref="F332:I332"/>
    <mergeCell ref="F333:I333"/>
    <mergeCell ref="L333:M333"/>
    <mergeCell ref="N333:Q333"/>
    <mergeCell ref="F334:I334"/>
    <mergeCell ref="F341:I341"/>
    <mergeCell ref="N342:Q342"/>
    <mergeCell ref="L337:M337"/>
    <mergeCell ref="N337:Q337"/>
    <mergeCell ref="N354:Q354"/>
    <mergeCell ref="F355:I355"/>
    <mergeCell ref="F367:I367"/>
    <mergeCell ref="L367:M367"/>
    <mergeCell ref="N367:Q367"/>
    <mergeCell ref="F368:I368"/>
    <mergeCell ref="F369:I369"/>
    <mergeCell ref="F365:I365"/>
    <mergeCell ref="L365:M365"/>
    <mergeCell ref="F380:I380"/>
    <mergeCell ref="L398:M398"/>
    <mergeCell ref="N398:Q398"/>
    <mergeCell ref="F397:I397"/>
    <mergeCell ref="L397:M397"/>
    <mergeCell ref="N397:Q397"/>
    <mergeCell ref="F344:I344"/>
    <mergeCell ref="N392:Q392"/>
    <mergeCell ref="F393:I393"/>
    <mergeCell ref="L393:M393"/>
    <mergeCell ref="N393:Q393"/>
    <mergeCell ref="F350:I350"/>
    <mergeCell ref="L350:M350"/>
    <mergeCell ref="N350:Q350"/>
    <mergeCell ref="F351:I351"/>
    <mergeCell ref="L374:M374"/>
    <mergeCell ref="N374:Q374"/>
    <mergeCell ref="F347:I347"/>
    <mergeCell ref="L347:M347"/>
    <mergeCell ref="N347:Q347"/>
    <mergeCell ref="F348:I348"/>
    <mergeCell ref="N364:Q364"/>
    <mergeCell ref="L371:M371"/>
    <mergeCell ref="N371:Q371"/>
    <mergeCell ref="F395:I395"/>
    <mergeCell ref="F323:I323"/>
    <mergeCell ref="F325:I325"/>
    <mergeCell ref="F327:I327"/>
    <mergeCell ref="L327:M327"/>
    <mergeCell ref="F338:I338"/>
    <mergeCell ref="L338:M338"/>
    <mergeCell ref="N338:Q338"/>
    <mergeCell ref="F324:I324"/>
    <mergeCell ref="N327:Q327"/>
    <mergeCell ref="F329:I329"/>
    <mergeCell ref="F326:I326"/>
    <mergeCell ref="F330:I330"/>
    <mergeCell ref="F595:I595"/>
    <mergeCell ref="L595:M595"/>
    <mergeCell ref="N595:Q595"/>
    <mergeCell ref="F593:I593"/>
    <mergeCell ref="L593:M593"/>
    <mergeCell ref="N593:Q593"/>
    <mergeCell ref="F340:I340"/>
    <mergeCell ref="L340:M340"/>
    <mergeCell ref="N340:Q340"/>
    <mergeCell ref="F399:I399"/>
    <mergeCell ref="F343:I343"/>
    <mergeCell ref="L343:M343"/>
    <mergeCell ref="N343:Q343"/>
    <mergeCell ref="F403:I403"/>
    <mergeCell ref="F404:I404"/>
    <mergeCell ref="F406:I406"/>
    <mergeCell ref="L406:M406"/>
    <mergeCell ref="N406:Q406"/>
    <mergeCell ref="F407:I407"/>
    <mergeCell ref="F401:I401"/>
    <mergeCell ref="L401:M401"/>
    <mergeCell ref="N401:Q401"/>
    <mergeCell ref="F402:I402"/>
    <mergeCell ref="L402:M402"/>
    <mergeCell ref="L592:M592"/>
    <mergeCell ref="N592:Q592"/>
    <mergeCell ref="F545:I545"/>
    <mergeCell ref="F546:I546"/>
    <mergeCell ref="F548:I548"/>
    <mergeCell ref="L555:M555"/>
    <mergeCell ref="N555:Q555"/>
    <mergeCell ref="F558:I558"/>
    <mergeCell ref="L558:M558"/>
    <mergeCell ref="N558:Q558"/>
    <mergeCell ref="F557:I557"/>
    <mergeCell ref="F560:I560"/>
    <mergeCell ref="N552:Q552"/>
    <mergeCell ref="F553:I553"/>
    <mergeCell ref="F552:I552"/>
    <mergeCell ref="L552:M552"/>
    <mergeCell ref="F559:I559"/>
    <mergeCell ref="F563:I563"/>
    <mergeCell ref="L563:M563"/>
    <mergeCell ref="N563:Q563"/>
    <mergeCell ref="F564:I564"/>
    <mergeCell ref="F565:I565"/>
    <mergeCell ref="F547:I547"/>
    <mergeCell ref="F554:I554"/>
    <mergeCell ref="F433:I433"/>
    <mergeCell ref="F434:I434"/>
    <mergeCell ref="F436:I436"/>
    <mergeCell ref="L436:M436"/>
    <mergeCell ref="N436:Q436"/>
    <mergeCell ref="N590:Q590"/>
    <mergeCell ref="F591:I591"/>
    <mergeCell ref="L591:M591"/>
    <mergeCell ref="N591:Q591"/>
    <mergeCell ref="F476:I476"/>
    <mergeCell ref="L476:M476"/>
    <mergeCell ref="N476:Q476"/>
    <mergeCell ref="F477:I477"/>
    <mergeCell ref="F469:I469"/>
    <mergeCell ref="L469:M469"/>
    <mergeCell ref="N469:Q469"/>
    <mergeCell ref="F470:I470"/>
    <mergeCell ref="L470:M470"/>
    <mergeCell ref="N470:Q470"/>
    <mergeCell ref="N438:Q438"/>
    <mergeCell ref="F439:I439"/>
    <mergeCell ref="F440:I440"/>
    <mergeCell ref="L560:M560"/>
    <mergeCell ref="F437:I437"/>
    <mergeCell ref="E424:I424"/>
    <mergeCell ref="L424:M424"/>
    <mergeCell ref="N424:Q424"/>
    <mergeCell ref="L427:M427"/>
    <mergeCell ref="F432:I432"/>
    <mergeCell ref="L432:M432"/>
    <mergeCell ref="N432:Q432"/>
    <mergeCell ref="F427:I427"/>
    <mergeCell ref="F428:I428"/>
    <mergeCell ref="L428:M428"/>
    <mergeCell ref="N428:Q428"/>
    <mergeCell ref="F429:I429"/>
    <mergeCell ref="F431:I431"/>
    <mergeCell ref="L431:M431"/>
    <mergeCell ref="N431:Q431"/>
    <mergeCell ref="N427:Q427"/>
    <mergeCell ref="F425:I425"/>
    <mergeCell ref="F430:I430"/>
    <mergeCell ref="F426:I426"/>
    <mergeCell ref="L353:M353"/>
    <mergeCell ref="N353:Q353"/>
    <mergeCell ref="F354:I354"/>
    <mergeCell ref="L354:M354"/>
    <mergeCell ref="F358:I358"/>
    <mergeCell ref="F122:I122"/>
    <mergeCell ref="L122:M122"/>
    <mergeCell ref="N122:Q122"/>
    <mergeCell ref="N318:Q318"/>
    <mergeCell ref="N319:Q319"/>
    <mergeCell ref="N346:Q346"/>
    <mergeCell ref="F331:I331"/>
    <mergeCell ref="L331:M331"/>
    <mergeCell ref="F328:I328"/>
    <mergeCell ref="F335:I335"/>
    <mergeCell ref="L335:M335"/>
    <mergeCell ref="N335:Q335"/>
    <mergeCell ref="F336:I336"/>
    <mergeCell ref="F337:I337"/>
    <mergeCell ref="F128:I128"/>
    <mergeCell ref="F137:I137"/>
    <mergeCell ref="L137:M137"/>
    <mergeCell ref="N137:Q137"/>
    <mergeCell ref="F322:I322"/>
    <mergeCell ref="F113:P113"/>
    <mergeCell ref="M115:P115"/>
    <mergeCell ref="M117:Q117"/>
    <mergeCell ref="M118:Q118"/>
    <mergeCell ref="F119:P119"/>
    <mergeCell ref="F120:P120"/>
    <mergeCell ref="N320:Q320"/>
    <mergeCell ref="F321:I321"/>
    <mergeCell ref="L321:M321"/>
    <mergeCell ref="N321:Q321"/>
    <mergeCell ref="F129:I129"/>
    <mergeCell ref="L129:M129"/>
    <mergeCell ref="N129:Q129"/>
    <mergeCell ref="F130:I130"/>
    <mergeCell ref="F131:I131"/>
    <mergeCell ref="L131:M131"/>
    <mergeCell ref="N131:Q131"/>
    <mergeCell ref="N123:Q123"/>
    <mergeCell ref="N124:Q124"/>
    <mergeCell ref="N125:Q125"/>
    <mergeCell ref="F126:I126"/>
    <mergeCell ref="L126:M126"/>
    <mergeCell ref="N126:Q126"/>
    <mergeCell ref="F127:I127"/>
    <mergeCell ref="N99:Q99"/>
    <mergeCell ref="N100:Q100"/>
    <mergeCell ref="N102:Q102"/>
    <mergeCell ref="L104:Q104"/>
    <mergeCell ref="C110:Q110"/>
    <mergeCell ref="F112:P112"/>
    <mergeCell ref="M83:Q83"/>
    <mergeCell ref="C85:G85"/>
    <mergeCell ref="N85:Q85"/>
    <mergeCell ref="N95:Q95"/>
    <mergeCell ref="N96:Q96"/>
    <mergeCell ref="N97:Q97"/>
    <mergeCell ref="L37:P37"/>
    <mergeCell ref="C75:Q75"/>
    <mergeCell ref="F77:P77"/>
    <mergeCell ref="F78:P78"/>
    <mergeCell ref="M80:P80"/>
    <mergeCell ref="M82:Q82"/>
    <mergeCell ref="M29:P29"/>
    <mergeCell ref="M32:P32"/>
    <mergeCell ref="H34:J34"/>
    <mergeCell ref="M34:P34"/>
    <mergeCell ref="H35:J35"/>
    <mergeCell ref="M35:P35"/>
    <mergeCell ref="M30:P30"/>
    <mergeCell ref="C2:Q2"/>
    <mergeCell ref="F4:P4"/>
    <mergeCell ref="F5:P5"/>
    <mergeCell ref="O7:P7"/>
    <mergeCell ref="O9:P9"/>
    <mergeCell ref="O10:P10"/>
    <mergeCell ref="F544:I544"/>
    <mergeCell ref="L544:M544"/>
    <mergeCell ref="N544:Q544"/>
    <mergeCell ref="N98:Q98"/>
    <mergeCell ref="N101:Q101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N560:Q560"/>
    <mergeCell ref="F561:I561"/>
    <mergeCell ref="E582:I582"/>
    <mergeCell ref="L582:M582"/>
    <mergeCell ref="N582:Q582"/>
    <mergeCell ref="F584:I584"/>
    <mergeCell ref="L584:M584"/>
    <mergeCell ref="N584:Q584"/>
    <mergeCell ref="F580:I580"/>
    <mergeCell ref="L580:M580"/>
    <mergeCell ref="N580:Q580"/>
    <mergeCell ref="F576:I576"/>
    <mergeCell ref="L576:M576"/>
    <mergeCell ref="N576:Q576"/>
    <mergeCell ref="F577:I577"/>
    <mergeCell ref="F579:I579"/>
    <mergeCell ref="L579:M579"/>
    <mergeCell ref="N579:Q579"/>
    <mergeCell ref="L581:M581"/>
    <mergeCell ref="N581:Q581"/>
    <mergeCell ref="F574:I574"/>
    <mergeCell ref="F562:I562"/>
    <mergeCell ref="L585:M585"/>
    <mergeCell ref="N585:Q585"/>
    <mergeCell ref="F586:I586"/>
    <mergeCell ref="F587:I587"/>
    <mergeCell ref="F588:I588"/>
    <mergeCell ref="L588:M588"/>
    <mergeCell ref="N588:Q588"/>
    <mergeCell ref="L566:M566"/>
    <mergeCell ref="N566:Q566"/>
    <mergeCell ref="F567:I567"/>
    <mergeCell ref="L567:M567"/>
    <mergeCell ref="N567:Q567"/>
    <mergeCell ref="F568:I568"/>
    <mergeCell ref="F571:I571"/>
    <mergeCell ref="F572:I572"/>
    <mergeCell ref="L571:M571"/>
    <mergeCell ref="N571:Q571"/>
    <mergeCell ref="F569:I569"/>
    <mergeCell ref="F583:I583"/>
    <mergeCell ref="F570:I570"/>
    <mergeCell ref="F575:I575"/>
    <mergeCell ref="F578:I578"/>
    <mergeCell ref="F594:I594"/>
    <mergeCell ref="E566:I566"/>
    <mergeCell ref="F573:I573"/>
    <mergeCell ref="F581:I581"/>
    <mergeCell ref="F589:I589"/>
    <mergeCell ref="F592:I592"/>
    <mergeCell ref="F457:I457"/>
    <mergeCell ref="F483:I483"/>
    <mergeCell ref="F486:I486"/>
    <mergeCell ref="F487:I487"/>
    <mergeCell ref="F489:I489"/>
    <mergeCell ref="F520:I520"/>
    <mergeCell ref="F510:I510"/>
    <mergeCell ref="F525:I525"/>
    <mergeCell ref="E527:I527"/>
    <mergeCell ref="F555:I555"/>
    <mergeCell ref="F556:I556"/>
    <mergeCell ref="F585:I585"/>
    <mergeCell ref="F550:I550"/>
    <mergeCell ref="F488:I488"/>
    <mergeCell ref="F496:I496"/>
    <mergeCell ref="F504:I504"/>
    <mergeCell ref="F507:I507"/>
    <mergeCell ref="F542:I542"/>
    <mergeCell ref="F138:I138"/>
    <mergeCell ref="L138:M138"/>
    <mergeCell ref="N138:Q138"/>
    <mergeCell ref="F139:I139"/>
    <mergeCell ref="F132:I132"/>
    <mergeCell ref="F133:I133"/>
    <mergeCell ref="L133:M133"/>
    <mergeCell ref="N133:Q133"/>
    <mergeCell ref="F134:I134"/>
    <mergeCell ref="F135:I135"/>
    <mergeCell ref="L135:M135"/>
    <mergeCell ref="N135:Q135"/>
    <mergeCell ref="F136:I136"/>
    <mergeCell ref="N140:Q140"/>
    <mergeCell ref="F141:I141"/>
    <mergeCell ref="L141:M141"/>
    <mergeCell ref="N141:Q141"/>
    <mergeCell ref="F142:I142"/>
    <mergeCell ref="N143:Q143"/>
    <mergeCell ref="F144:I144"/>
    <mergeCell ref="L144:M144"/>
    <mergeCell ref="N144:Q144"/>
    <mergeCell ref="F145:I145"/>
    <mergeCell ref="F146:I146"/>
    <mergeCell ref="L146:M146"/>
    <mergeCell ref="N146:Q146"/>
    <mergeCell ref="F147:I147"/>
    <mergeCell ref="F148:I148"/>
    <mergeCell ref="L148:M148"/>
    <mergeCell ref="N148:Q148"/>
    <mergeCell ref="F149:I149"/>
    <mergeCell ref="L149:M149"/>
    <mergeCell ref="N149:Q149"/>
    <mergeCell ref="F150:I150"/>
    <mergeCell ref="F151:I151"/>
    <mergeCell ref="F152:I152"/>
    <mergeCell ref="L152:M152"/>
    <mergeCell ref="N152:Q152"/>
    <mergeCell ref="F153:I153"/>
    <mergeCell ref="F154:I154"/>
    <mergeCell ref="L154:M154"/>
    <mergeCell ref="N154:Q154"/>
    <mergeCell ref="F158:I158"/>
    <mergeCell ref="F159:I159"/>
    <mergeCell ref="L159:M159"/>
    <mergeCell ref="N159:Q159"/>
    <mergeCell ref="F160:I160"/>
    <mergeCell ref="F161:I161"/>
    <mergeCell ref="L161:M161"/>
    <mergeCell ref="N161:Q161"/>
    <mergeCell ref="F155:I155"/>
    <mergeCell ref="N156:Q156"/>
    <mergeCell ref="F157:I157"/>
    <mergeCell ref="L157:M157"/>
    <mergeCell ref="N157:Q157"/>
    <mergeCell ref="F167:I167"/>
    <mergeCell ref="F168:I168"/>
    <mergeCell ref="L168:M168"/>
    <mergeCell ref="N168:Q168"/>
    <mergeCell ref="F169:I169"/>
    <mergeCell ref="F170:I170"/>
    <mergeCell ref="L170:M170"/>
    <mergeCell ref="N170:Q170"/>
    <mergeCell ref="F162:I162"/>
    <mergeCell ref="F163:I163"/>
    <mergeCell ref="F164:I164"/>
    <mergeCell ref="F165:I165"/>
    <mergeCell ref="L165:M165"/>
    <mergeCell ref="N165:Q165"/>
    <mergeCell ref="F171:I171"/>
    <mergeCell ref="N172:Q172"/>
    <mergeCell ref="F173:I173"/>
    <mergeCell ref="L173:M173"/>
    <mergeCell ref="N173:Q173"/>
    <mergeCell ref="E174:I174"/>
    <mergeCell ref="L174:M174"/>
    <mergeCell ref="N174:Q174"/>
    <mergeCell ref="F175:I175"/>
    <mergeCell ref="F176:I176"/>
    <mergeCell ref="L176:M176"/>
    <mergeCell ref="N176:Q176"/>
    <mergeCell ref="F177:I177"/>
    <mergeCell ref="L177:M177"/>
    <mergeCell ref="N177:Q177"/>
    <mergeCell ref="F178:I178"/>
    <mergeCell ref="F179:I179"/>
    <mergeCell ref="L179:M179"/>
    <mergeCell ref="N179:Q179"/>
    <mergeCell ref="F180:I180"/>
    <mergeCell ref="L180:M180"/>
    <mergeCell ref="N180:Q180"/>
    <mergeCell ref="F181:I181"/>
    <mergeCell ref="F182:I182"/>
    <mergeCell ref="F183:I183"/>
    <mergeCell ref="L183:M183"/>
    <mergeCell ref="N183:Q183"/>
    <mergeCell ref="F184:I184"/>
    <mergeCell ref="F185:I185"/>
    <mergeCell ref="L185:M185"/>
    <mergeCell ref="N185:Q185"/>
    <mergeCell ref="F186:I186"/>
    <mergeCell ref="F187:I187"/>
    <mergeCell ref="F188:I188"/>
    <mergeCell ref="F189:I189"/>
    <mergeCell ref="L189:M189"/>
    <mergeCell ref="N189:Q189"/>
    <mergeCell ref="F190:I190"/>
    <mergeCell ref="L190:M190"/>
    <mergeCell ref="N190:Q190"/>
    <mergeCell ref="F191:I191"/>
    <mergeCell ref="F192:I192"/>
    <mergeCell ref="F193:I193"/>
    <mergeCell ref="L193:M193"/>
    <mergeCell ref="N193:Q193"/>
    <mergeCell ref="F194:I194"/>
    <mergeCell ref="F195:I195"/>
    <mergeCell ref="L195:M195"/>
    <mergeCell ref="N195:Q195"/>
    <mergeCell ref="F196:I196"/>
    <mergeCell ref="L196:M196"/>
    <mergeCell ref="N196:Q196"/>
    <mergeCell ref="F197:I197"/>
    <mergeCell ref="E198:I198"/>
    <mergeCell ref="L198:M198"/>
    <mergeCell ref="N198:Q198"/>
    <mergeCell ref="F199:I199"/>
    <mergeCell ref="F200:I200"/>
    <mergeCell ref="L200:M200"/>
    <mergeCell ref="N200:Q200"/>
    <mergeCell ref="F201:I201"/>
    <mergeCell ref="L201:M201"/>
    <mergeCell ref="N201:Q201"/>
    <mergeCell ref="F202:I202"/>
    <mergeCell ref="F203:I203"/>
    <mergeCell ref="L203:M203"/>
    <mergeCell ref="N203:Q203"/>
    <mergeCell ref="F204:I204"/>
    <mergeCell ref="L204:M204"/>
    <mergeCell ref="N204:Q204"/>
    <mergeCell ref="F205:I205"/>
    <mergeCell ref="F206:I206"/>
    <mergeCell ref="F207:I207"/>
    <mergeCell ref="L207:M207"/>
    <mergeCell ref="N207:Q207"/>
    <mergeCell ref="F208:I208"/>
    <mergeCell ref="F209:I209"/>
    <mergeCell ref="L209:M209"/>
    <mergeCell ref="N209:Q209"/>
    <mergeCell ref="F210:I210"/>
    <mergeCell ref="F211:I211"/>
    <mergeCell ref="F212:I212"/>
    <mergeCell ref="F213:I213"/>
    <mergeCell ref="L213:M213"/>
    <mergeCell ref="N213:Q213"/>
    <mergeCell ref="F214:I214"/>
    <mergeCell ref="F215:I215"/>
    <mergeCell ref="L215:M215"/>
    <mergeCell ref="N215:Q215"/>
    <mergeCell ref="F216:I216"/>
    <mergeCell ref="L216:M216"/>
    <mergeCell ref="N216:Q216"/>
    <mergeCell ref="F217:I217"/>
    <mergeCell ref="E218:I218"/>
    <mergeCell ref="L218:M218"/>
    <mergeCell ref="N218:Q218"/>
    <mergeCell ref="F219:I219"/>
    <mergeCell ref="F220:I220"/>
    <mergeCell ref="L220:M220"/>
    <mergeCell ref="N220:Q220"/>
    <mergeCell ref="F221:I221"/>
    <mergeCell ref="L221:M221"/>
    <mergeCell ref="N221:Q221"/>
    <mergeCell ref="F222:I222"/>
    <mergeCell ref="L222:M222"/>
    <mergeCell ref="N222:Q222"/>
    <mergeCell ref="F223:I223"/>
    <mergeCell ref="L223:M223"/>
    <mergeCell ref="N223:Q223"/>
    <mergeCell ref="F224:I224"/>
    <mergeCell ref="L224:M224"/>
    <mergeCell ref="N224:Q224"/>
    <mergeCell ref="F225:I225"/>
    <mergeCell ref="F226:I226"/>
    <mergeCell ref="L226:M226"/>
    <mergeCell ref="N226:Q226"/>
    <mergeCell ref="F227:I227"/>
    <mergeCell ref="F228:I228"/>
    <mergeCell ref="L228:M228"/>
    <mergeCell ref="N228:Q228"/>
    <mergeCell ref="F229:I229"/>
    <mergeCell ref="F230:I230"/>
    <mergeCell ref="F231:I231"/>
    <mergeCell ref="L231:M231"/>
    <mergeCell ref="N231:Q231"/>
    <mergeCell ref="F232:I232"/>
    <mergeCell ref="L232:M232"/>
    <mergeCell ref="N232:Q232"/>
    <mergeCell ref="F233:I233"/>
    <mergeCell ref="F234:I234"/>
    <mergeCell ref="L234:M234"/>
    <mergeCell ref="N234:Q234"/>
    <mergeCell ref="F235:I235"/>
    <mergeCell ref="L235:M235"/>
    <mergeCell ref="N235:Q235"/>
    <mergeCell ref="E236:I236"/>
    <mergeCell ref="L236:M236"/>
    <mergeCell ref="N236:Q236"/>
    <mergeCell ref="F237:I237"/>
    <mergeCell ref="F238:I238"/>
    <mergeCell ref="L238:M238"/>
    <mergeCell ref="N238:Q238"/>
    <mergeCell ref="F239:I239"/>
    <mergeCell ref="L239:M239"/>
    <mergeCell ref="N239:Q239"/>
    <mergeCell ref="F240:I240"/>
    <mergeCell ref="L240:M240"/>
    <mergeCell ref="N240:Q240"/>
    <mergeCell ref="F241:I241"/>
    <mergeCell ref="L241:M241"/>
    <mergeCell ref="N241:Q241"/>
    <mergeCell ref="F242:I242"/>
    <mergeCell ref="F243:I243"/>
    <mergeCell ref="L243:M243"/>
    <mergeCell ref="N243:Q243"/>
    <mergeCell ref="F244:I244"/>
    <mergeCell ref="F245:I245"/>
    <mergeCell ref="L245:M245"/>
    <mergeCell ref="N245:Q245"/>
    <mergeCell ref="F246:I246"/>
    <mergeCell ref="F247:I247"/>
    <mergeCell ref="L247:M247"/>
    <mergeCell ref="N247:Q247"/>
    <mergeCell ref="F248:I248"/>
    <mergeCell ref="F249:I249"/>
    <mergeCell ref="F250:I250"/>
    <mergeCell ref="L250:M250"/>
    <mergeCell ref="N250:Q250"/>
    <mergeCell ref="F251:I251"/>
    <mergeCell ref="L251:M251"/>
    <mergeCell ref="N251:Q251"/>
    <mergeCell ref="F252:I252"/>
    <mergeCell ref="F253:I253"/>
    <mergeCell ref="L253:M253"/>
    <mergeCell ref="N253:Q253"/>
    <mergeCell ref="F254:I254"/>
    <mergeCell ref="L254:M254"/>
    <mergeCell ref="N254:Q254"/>
    <mergeCell ref="E255:I255"/>
    <mergeCell ref="L255:M255"/>
    <mergeCell ref="N255:Q255"/>
    <mergeCell ref="F256:I256"/>
    <mergeCell ref="F257:I257"/>
    <mergeCell ref="L257:M257"/>
    <mergeCell ref="N257:Q257"/>
    <mergeCell ref="F261:I261"/>
    <mergeCell ref="F262:I262"/>
    <mergeCell ref="L262:M262"/>
    <mergeCell ref="N262:Q262"/>
    <mergeCell ref="F263:I263"/>
    <mergeCell ref="F264:I264"/>
    <mergeCell ref="L264:M264"/>
    <mergeCell ref="N264:Q264"/>
    <mergeCell ref="F258:I258"/>
    <mergeCell ref="L258:M258"/>
    <mergeCell ref="N258:Q258"/>
    <mergeCell ref="F259:I259"/>
    <mergeCell ref="L259:M259"/>
    <mergeCell ref="N259:Q259"/>
    <mergeCell ref="F260:I260"/>
    <mergeCell ref="L260:M260"/>
    <mergeCell ref="N260:Q260"/>
    <mergeCell ref="F265:I265"/>
    <mergeCell ref="F266:I266"/>
    <mergeCell ref="L266:M266"/>
    <mergeCell ref="N266:Q266"/>
    <mergeCell ref="F267:I267"/>
    <mergeCell ref="F268:I268"/>
    <mergeCell ref="F269:I269"/>
    <mergeCell ref="L269:M269"/>
    <mergeCell ref="N269:Q269"/>
    <mergeCell ref="E274:I274"/>
    <mergeCell ref="L274:M274"/>
    <mergeCell ref="N274:Q274"/>
    <mergeCell ref="F270:I270"/>
    <mergeCell ref="L270:M270"/>
    <mergeCell ref="N270:Q270"/>
    <mergeCell ref="F271:I271"/>
    <mergeCell ref="F272:I272"/>
    <mergeCell ref="L272:M272"/>
    <mergeCell ref="N272:Q272"/>
    <mergeCell ref="F273:I273"/>
    <mergeCell ref="L273:M273"/>
    <mergeCell ref="N273:Q273"/>
    <mergeCell ref="F275:I275"/>
    <mergeCell ref="F276:I276"/>
    <mergeCell ref="L276:M276"/>
    <mergeCell ref="N276:Q276"/>
    <mergeCell ref="F277:I277"/>
    <mergeCell ref="L277:M277"/>
    <mergeCell ref="N277:Q277"/>
    <mergeCell ref="F278:I278"/>
    <mergeCell ref="F279:I279"/>
    <mergeCell ref="F280:I280"/>
    <mergeCell ref="L280:M280"/>
    <mergeCell ref="N280:Q280"/>
    <mergeCell ref="F281:I281"/>
    <mergeCell ref="F282:I282"/>
    <mergeCell ref="L282:M282"/>
    <mergeCell ref="N282:Q282"/>
    <mergeCell ref="F283:I283"/>
    <mergeCell ref="L283:M283"/>
    <mergeCell ref="N283:Q283"/>
    <mergeCell ref="F284:I284"/>
    <mergeCell ref="F285:I285"/>
    <mergeCell ref="L285:M285"/>
    <mergeCell ref="N285:Q285"/>
    <mergeCell ref="F286:I286"/>
    <mergeCell ref="F287:I287"/>
    <mergeCell ref="F288:I288"/>
    <mergeCell ref="L288:M288"/>
    <mergeCell ref="N288:Q288"/>
    <mergeCell ref="F289:I289"/>
    <mergeCell ref="F290:I290"/>
    <mergeCell ref="F291:I291"/>
    <mergeCell ref="L291:M291"/>
    <mergeCell ref="N291:Q291"/>
    <mergeCell ref="F292:I292"/>
    <mergeCell ref="F293:I293"/>
    <mergeCell ref="L293:M293"/>
    <mergeCell ref="N293:Q293"/>
    <mergeCell ref="F294:I294"/>
    <mergeCell ref="F295:I295"/>
    <mergeCell ref="L295:M295"/>
    <mergeCell ref="N295:Q295"/>
    <mergeCell ref="F296:I296"/>
    <mergeCell ref="F297:I297"/>
    <mergeCell ref="E298:I298"/>
    <mergeCell ref="L298:M298"/>
    <mergeCell ref="N298:Q298"/>
    <mergeCell ref="F299:I299"/>
    <mergeCell ref="L299:M299"/>
    <mergeCell ref="N299:Q299"/>
    <mergeCell ref="F300:I300"/>
    <mergeCell ref="F301:I301"/>
    <mergeCell ref="F302:I302"/>
    <mergeCell ref="L302:M302"/>
    <mergeCell ref="N302:Q302"/>
    <mergeCell ref="F303:I303"/>
    <mergeCell ref="L309:M309"/>
    <mergeCell ref="N309:Q309"/>
    <mergeCell ref="F310:I310"/>
    <mergeCell ref="L310:M310"/>
    <mergeCell ref="N310:Q310"/>
    <mergeCell ref="F304:I304"/>
    <mergeCell ref="F305:I305"/>
    <mergeCell ref="F306:I306"/>
    <mergeCell ref="L306:M306"/>
    <mergeCell ref="N306:Q306"/>
    <mergeCell ref="F307:I307"/>
    <mergeCell ref="F308:I308"/>
    <mergeCell ref="L308:M308"/>
    <mergeCell ref="N308:Q308"/>
    <mergeCell ref="F314:I314"/>
    <mergeCell ref="L314:M314"/>
    <mergeCell ref="N314:Q314"/>
    <mergeCell ref="F315:I315"/>
    <mergeCell ref="F316:I316"/>
    <mergeCell ref="L316:M316"/>
    <mergeCell ref="N316:Q316"/>
    <mergeCell ref="N317:Q317"/>
    <mergeCell ref="N87:Q87"/>
    <mergeCell ref="N88:Q88"/>
    <mergeCell ref="N89:Q89"/>
    <mergeCell ref="N90:Q90"/>
    <mergeCell ref="N91:Q91"/>
    <mergeCell ref="N92:Q92"/>
    <mergeCell ref="N93:Q93"/>
    <mergeCell ref="N94:Q94"/>
    <mergeCell ref="N311:Q311"/>
    <mergeCell ref="F312:I312"/>
    <mergeCell ref="L312:M312"/>
    <mergeCell ref="N312:Q312"/>
    <mergeCell ref="F313:I313"/>
    <mergeCell ref="L313:M313"/>
    <mergeCell ref="N313:Q313"/>
    <mergeCell ref="F309:I309"/>
    <mergeCell ref="F345:I345"/>
    <mergeCell ref="F349:I349"/>
    <mergeCell ref="F352:I352"/>
    <mergeCell ref="F357:I357"/>
    <mergeCell ref="F360:I360"/>
    <mergeCell ref="F363:I363"/>
    <mergeCell ref="F370:I370"/>
    <mergeCell ref="F373:I373"/>
    <mergeCell ref="F379:I379"/>
    <mergeCell ref="F356:I356"/>
    <mergeCell ref="F371:I371"/>
    <mergeCell ref="F361:I361"/>
    <mergeCell ref="F353:I353"/>
    <mergeCell ref="F388:I388"/>
    <mergeCell ref="F391:I391"/>
    <mergeCell ref="F400:I400"/>
    <mergeCell ref="F405:I405"/>
    <mergeCell ref="F412:I412"/>
    <mergeCell ref="F419:I419"/>
    <mergeCell ref="F423:I423"/>
    <mergeCell ref="F396:I396"/>
    <mergeCell ref="F386:I386"/>
    <mergeCell ref="F398:I398"/>
    <mergeCell ref="F413:I413"/>
    <mergeCell ref="F420:I420"/>
    <mergeCell ref="F519:I519"/>
    <mergeCell ref="F528:I528"/>
    <mergeCell ref="F541:I541"/>
    <mergeCell ref="F435:I435"/>
    <mergeCell ref="F442:I442"/>
    <mergeCell ref="F445:I445"/>
    <mergeCell ref="F449:I449"/>
    <mergeCell ref="F452:I452"/>
    <mergeCell ref="F459:I459"/>
    <mergeCell ref="F465:I465"/>
    <mergeCell ref="F473:I473"/>
    <mergeCell ref="F479:I479"/>
    <mergeCell ref="F451:I451"/>
    <mergeCell ref="F472:I472"/>
    <mergeCell ref="F438:I438"/>
    <mergeCell ref="F441:I441"/>
    <mergeCell ref="F455:I455"/>
    <mergeCell ref="F522:I522"/>
    <mergeCell ref="F538:I538"/>
    <mergeCell ref="F539:I539"/>
    <mergeCell ref="F532:I532"/>
    <mergeCell ref="F515:I515"/>
    <mergeCell ref="F516:I516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AC1034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AC46" sqref="AC46"/>
    </sheetView>
  </sheetViews>
  <sheetFormatPr defaultColWidth="9.33203125" defaultRowHeight="11.25" outlineLevelRow="1" outlineLevelCol="1"/>
  <cols>
    <col min="1" max="1" width="8.33203125" style="236" customWidth="1"/>
    <col min="2" max="2" width="1.6640625" style="236" customWidth="1"/>
    <col min="3" max="3" width="4.1640625" style="236" customWidth="1"/>
    <col min="4" max="4" width="4.33203125" style="236" customWidth="1"/>
    <col min="5" max="5" width="22.33203125" style="236" customWidth="1"/>
    <col min="6" max="6" width="13.83203125" style="236" customWidth="1"/>
    <col min="7" max="7" width="11.1640625" style="236" customWidth="1"/>
    <col min="8" max="8" width="12.5" style="236" customWidth="1"/>
    <col min="9" max="9" width="34.33203125" style="236" customWidth="1"/>
    <col min="10" max="10" width="9.6640625" style="69" customWidth="1"/>
    <col min="11" max="11" width="15.5" style="236" customWidth="1"/>
    <col min="12" max="12" width="12" style="236" customWidth="1"/>
    <col min="13" max="13" width="7.5" style="236" customWidth="1"/>
    <col min="14" max="14" width="6" style="236" customWidth="1"/>
    <col min="15" max="15" width="2" style="236" customWidth="1"/>
    <col min="16" max="16" width="12.5" style="236" customWidth="1"/>
    <col min="17" max="17" width="4.1640625" style="236" customWidth="1"/>
    <col min="18" max="18" width="1.6640625" style="236" customWidth="1"/>
    <col min="19" max="19" width="2" style="236" customWidth="1"/>
    <col min="20" max="20" width="25.33203125" style="42" hidden="1" customWidth="1" outlineLevel="1"/>
    <col min="21" max="21" width="14.33203125" style="248" hidden="1" customWidth="1" outlineLevel="1"/>
    <col min="22" max="22" width="20.5" style="389" hidden="1" customWidth="1" outlineLevel="1"/>
    <col min="23" max="23" width="19" style="203" hidden="1" customWidth="1" outlineLevel="1"/>
    <col min="24" max="24" width="17.33203125" style="203" hidden="1" customWidth="1" outlineLevel="1"/>
    <col min="25" max="25" width="9.33203125" style="236" collapsed="1"/>
    <col min="26" max="16384" width="9.33203125" style="236"/>
  </cols>
  <sheetData>
    <row r="1" spans="2:18">
      <c r="B1" s="233"/>
      <c r="C1" s="234"/>
      <c r="D1" s="234"/>
      <c r="E1" s="234"/>
      <c r="F1" s="234"/>
      <c r="G1" s="234"/>
      <c r="H1" s="234"/>
      <c r="I1" s="234"/>
      <c r="J1" s="46"/>
      <c r="K1" s="234"/>
      <c r="L1" s="234"/>
      <c r="M1" s="234"/>
      <c r="N1" s="234"/>
      <c r="O1" s="234"/>
      <c r="P1" s="234"/>
      <c r="Q1" s="234"/>
      <c r="R1" s="235"/>
    </row>
    <row r="2" spans="2:18" ht="20.25">
      <c r="B2" s="237"/>
      <c r="C2" s="697" t="s">
        <v>38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238"/>
    </row>
    <row r="3" spans="2:18">
      <c r="B3" s="237"/>
      <c r="J3" s="47"/>
      <c r="R3" s="238"/>
    </row>
    <row r="4" spans="2:18" ht="12">
      <c r="B4" s="237"/>
      <c r="D4" s="239" t="s">
        <v>3</v>
      </c>
      <c r="F4" s="721" t="str">
        <f>Rekapitulace!K4</f>
        <v>Stavební úpravy, vestavba a přístavba stávajícího objektu</v>
      </c>
      <c r="G4" s="722"/>
      <c r="H4" s="722"/>
      <c r="I4" s="722"/>
      <c r="J4" s="722"/>
      <c r="K4" s="722"/>
      <c r="L4" s="722"/>
      <c r="M4" s="722"/>
      <c r="N4" s="722"/>
      <c r="O4" s="722"/>
      <c r="P4" s="722"/>
      <c r="R4" s="238"/>
    </row>
    <row r="5" spans="2:18" ht="15.75">
      <c r="B5" s="237"/>
      <c r="D5" s="241" t="s">
        <v>39</v>
      </c>
      <c r="F5" s="691" t="s">
        <v>386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R5" s="238"/>
    </row>
    <row r="6" spans="2:18" ht="12">
      <c r="B6" s="237"/>
      <c r="D6" s="239" t="s">
        <v>4</v>
      </c>
      <c r="F6" s="240" t="s">
        <v>0</v>
      </c>
      <c r="J6" s="47"/>
      <c r="M6" s="239" t="s">
        <v>5</v>
      </c>
      <c r="O6" s="240" t="s">
        <v>0</v>
      </c>
      <c r="R6" s="238"/>
    </row>
    <row r="7" spans="2:18" ht="12">
      <c r="B7" s="237"/>
      <c r="D7" s="239" t="s">
        <v>6</v>
      </c>
      <c r="F7" s="240" t="str">
        <f>Rekapitulace!I82</f>
        <v>Mírové náměstí 23/12, Bílina - p.č. 124, 125/1, 125/2, 125/3, k.ú. Bílina (604208)</v>
      </c>
      <c r="J7" s="47"/>
      <c r="M7" s="239" t="s">
        <v>7</v>
      </c>
      <c r="O7" s="712">
        <f>Rekapitulace!AN6</f>
        <v>0</v>
      </c>
      <c r="P7" s="712"/>
      <c r="R7" s="238"/>
    </row>
    <row r="8" spans="2:18">
      <c r="B8" s="237"/>
      <c r="J8" s="47"/>
      <c r="R8" s="238"/>
    </row>
    <row r="9" spans="2:18" ht="12">
      <c r="B9" s="237"/>
      <c r="D9" s="239" t="s">
        <v>8</v>
      </c>
      <c r="F9" s="236" t="str">
        <f>Rekapitulace!K8</f>
        <v>město Bílina</v>
      </c>
      <c r="J9" s="47"/>
      <c r="M9" s="239" t="s">
        <v>9</v>
      </c>
      <c r="O9" s="692" t="s">
        <v>0</v>
      </c>
      <c r="P9" s="692"/>
      <c r="R9" s="238"/>
    </row>
    <row r="10" spans="2:18" ht="12">
      <c r="B10" s="237"/>
      <c r="E10" s="240"/>
      <c r="J10" s="47"/>
      <c r="M10" s="239" t="s">
        <v>10</v>
      </c>
      <c r="O10" s="692" t="s">
        <v>0</v>
      </c>
      <c r="P10" s="692"/>
      <c r="R10" s="238"/>
    </row>
    <row r="11" spans="2:18">
      <c r="B11" s="237"/>
      <c r="J11" s="47"/>
      <c r="R11" s="238"/>
    </row>
    <row r="12" spans="2:18" ht="12">
      <c r="B12" s="237"/>
      <c r="D12" s="239" t="s">
        <v>11</v>
      </c>
      <c r="F12" s="736">
        <f>Rekapitulace!K11</f>
        <v>0</v>
      </c>
      <c r="G12" s="736"/>
      <c r="H12" s="736"/>
      <c r="I12" s="736"/>
      <c r="J12" s="47"/>
      <c r="M12" s="239" t="s">
        <v>9</v>
      </c>
      <c r="O12" s="692" t="str">
        <f>IF(Rekapitulace!AN11="","",Rekapitulace!AN11)</f>
        <v/>
      </c>
      <c r="P12" s="692"/>
      <c r="R12" s="238"/>
    </row>
    <row r="13" spans="2:18" ht="12">
      <c r="B13" s="237"/>
      <c r="E13" s="240" t="str">
        <f>IF(Rekapitulace!E12="","",Rekapitulace!E12)</f>
        <v xml:space="preserve"> </v>
      </c>
      <c r="J13" s="47"/>
      <c r="M13" s="239" t="s">
        <v>10</v>
      </c>
      <c r="O13" s="692" t="str">
        <f>IF(Rekapitulace!AN12="","",Rekapitulace!AN12)</f>
        <v/>
      </c>
      <c r="P13" s="692"/>
      <c r="R13" s="238"/>
    </row>
    <row r="14" spans="2:18">
      <c r="B14" s="237"/>
      <c r="J14" s="47"/>
      <c r="R14" s="238"/>
    </row>
    <row r="15" spans="2:18" ht="12">
      <c r="B15" s="237"/>
      <c r="D15" s="239" t="s">
        <v>13</v>
      </c>
      <c r="J15" s="47"/>
      <c r="M15" s="239" t="s">
        <v>9</v>
      </c>
      <c r="O15" s="692" t="s">
        <v>0</v>
      </c>
      <c r="P15" s="692"/>
      <c r="R15" s="238"/>
    </row>
    <row r="16" spans="2:18" ht="12">
      <c r="B16" s="237"/>
      <c r="E16" s="240" t="str">
        <f>Rekapitulace!E15</f>
        <v>Ing. arch. Bořek Peška</v>
      </c>
      <c r="J16" s="47"/>
      <c r="M16" s="239" t="s">
        <v>10</v>
      </c>
      <c r="O16" s="692" t="s">
        <v>0</v>
      </c>
      <c r="P16" s="692"/>
      <c r="R16" s="238"/>
    </row>
    <row r="17" spans="2:24">
      <c r="B17" s="237"/>
      <c r="J17" s="47"/>
      <c r="R17" s="238"/>
    </row>
    <row r="18" spans="2:24" ht="12">
      <c r="B18" s="237"/>
      <c r="D18" s="239" t="s">
        <v>14</v>
      </c>
      <c r="J18" s="47"/>
      <c r="M18" s="239" t="s">
        <v>9</v>
      </c>
      <c r="O18" s="692" t="s">
        <v>0</v>
      </c>
      <c r="P18" s="692"/>
      <c r="R18" s="238"/>
    </row>
    <row r="19" spans="2:24" ht="12">
      <c r="B19" s="237"/>
      <c r="E19" s="240" t="str">
        <f>Rekapitulace!E18</f>
        <v>Jakub Kulhavý</v>
      </c>
      <c r="J19" s="47"/>
      <c r="M19" s="239" t="s">
        <v>10</v>
      </c>
      <c r="O19" s="692" t="s">
        <v>0</v>
      </c>
      <c r="P19" s="692"/>
      <c r="R19" s="238"/>
    </row>
    <row r="20" spans="2:24">
      <c r="B20" s="237"/>
      <c r="J20" s="47"/>
      <c r="R20" s="238"/>
    </row>
    <row r="21" spans="2:24" ht="12">
      <c r="B21" s="237"/>
      <c r="D21" s="239" t="s">
        <v>186</v>
      </c>
      <c r="J21" s="47"/>
      <c r="M21" s="239"/>
      <c r="O21" s="692" t="s">
        <v>0</v>
      </c>
      <c r="P21" s="692"/>
      <c r="R21" s="238"/>
    </row>
    <row r="22" spans="2:24" ht="12">
      <c r="B22" s="237"/>
      <c r="E22" s="692" t="str">
        <f>Rekapitulace!E21</f>
        <v>projektové dokumentace ve stupni DPS z 04/2023</v>
      </c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R22" s="238"/>
    </row>
    <row r="23" spans="2:24">
      <c r="B23" s="237"/>
      <c r="J23" s="47"/>
      <c r="R23" s="238"/>
    </row>
    <row r="24" spans="2:24" ht="12">
      <c r="B24" s="237"/>
      <c r="D24" s="239" t="s">
        <v>94</v>
      </c>
      <c r="J24" s="47"/>
      <c r="R24" s="238"/>
    </row>
    <row r="25" spans="2:24" s="308" customFormat="1" ht="12">
      <c r="B25" s="307"/>
      <c r="D25" s="737"/>
      <c r="E25" s="737"/>
      <c r="F25" s="309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R25" s="310"/>
      <c r="T25" s="188"/>
      <c r="V25" s="390"/>
      <c r="W25" s="391"/>
      <c r="X25" s="391"/>
    </row>
    <row r="26" spans="2:24" ht="12">
      <c r="B26" s="237"/>
      <c r="D26" s="736"/>
      <c r="E26" s="736"/>
      <c r="F26" s="312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R26" s="238"/>
      <c r="T26" s="78"/>
      <c r="U26" s="236"/>
    </row>
    <row r="27" spans="2:24">
      <c r="B27" s="237"/>
      <c r="J27" s="47"/>
      <c r="R27" s="238"/>
    </row>
    <row r="28" spans="2:24">
      <c r="B28" s="237"/>
      <c r="D28" s="266"/>
      <c r="E28" s="266"/>
      <c r="F28" s="266"/>
      <c r="G28" s="266"/>
      <c r="H28" s="266"/>
      <c r="I28" s="266"/>
      <c r="J28" s="48"/>
      <c r="K28" s="266"/>
      <c r="L28" s="266"/>
      <c r="M28" s="266"/>
      <c r="N28" s="266"/>
      <c r="O28" s="266"/>
      <c r="P28" s="266"/>
      <c r="R28" s="238"/>
    </row>
    <row r="29" spans="2:24" ht="12.75">
      <c r="B29" s="237"/>
      <c r="D29" s="313" t="str">
        <f>C87</f>
        <v>1) Náklady z rozpočtu - prostory Infocentrum a navazující</v>
      </c>
      <c r="J29" s="47"/>
      <c r="M29" s="670">
        <f>N87</f>
        <v>0</v>
      </c>
      <c r="N29" s="670"/>
      <c r="O29" s="670"/>
      <c r="P29" s="670"/>
      <c r="R29" s="238"/>
    </row>
    <row r="30" spans="2:24" ht="12.75">
      <c r="B30" s="237"/>
      <c r="D30" s="313" t="str">
        <f>C106</f>
        <v>2) Náklady z rozpočtu</v>
      </c>
      <c r="J30" s="47"/>
      <c r="M30" s="670">
        <f>N106</f>
        <v>0</v>
      </c>
      <c r="N30" s="670"/>
      <c r="O30" s="670"/>
      <c r="P30" s="670"/>
      <c r="R30" s="238"/>
    </row>
    <row r="31" spans="2:24">
      <c r="B31" s="237"/>
      <c r="J31" s="47"/>
      <c r="R31" s="238"/>
    </row>
    <row r="32" spans="2:24" ht="12.75">
      <c r="B32" s="237"/>
      <c r="D32" s="314" t="s">
        <v>16</v>
      </c>
      <c r="J32" s="47"/>
      <c r="M32" s="735">
        <f>ROUND(M29+M30,2)</f>
        <v>0</v>
      </c>
      <c r="N32" s="671"/>
      <c r="O32" s="671"/>
      <c r="P32" s="671"/>
      <c r="R32" s="238"/>
    </row>
    <row r="33" spans="2:18">
      <c r="B33" s="237"/>
      <c r="D33" s="266"/>
      <c r="E33" s="266"/>
      <c r="F33" s="266"/>
      <c r="G33" s="266"/>
      <c r="H33" s="266"/>
      <c r="I33" s="266"/>
      <c r="J33" s="48"/>
      <c r="K33" s="266"/>
      <c r="L33" s="266"/>
      <c r="M33" s="266"/>
      <c r="N33" s="266"/>
      <c r="O33" s="266"/>
      <c r="P33" s="266"/>
      <c r="R33" s="238"/>
    </row>
    <row r="34" spans="2:18">
      <c r="B34" s="237"/>
      <c r="D34" s="257" t="s">
        <v>17</v>
      </c>
      <c r="E34" s="257" t="s">
        <v>18</v>
      </c>
      <c r="F34" s="49">
        <v>0.21</v>
      </c>
      <c r="G34" s="315" t="s">
        <v>19</v>
      </c>
      <c r="H34" s="688">
        <f>ROUND(M32, 2)</f>
        <v>0</v>
      </c>
      <c r="I34" s="671"/>
      <c r="J34" s="671"/>
      <c r="M34" s="741">
        <f>ROUND(H34*F34, 2)</f>
        <v>0</v>
      </c>
      <c r="N34" s="671"/>
      <c r="O34" s="671"/>
      <c r="P34" s="671"/>
      <c r="R34" s="238"/>
    </row>
    <row r="35" spans="2:18">
      <c r="B35" s="237"/>
      <c r="E35" s="257" t="s">
        <v>20</v>
      </c>
      <c r="F35" s="49">
        <v>0.15</v>
      </c>
      <c r="G35" s="315" t="s">
        <v>19</v>
      </c>
      <c r="H35" s="688">
        <v>0</v>
      </c>
      <c r="I35" s="671"/>
      <c r="J35" s="671"/>
      <c r="M35" s="741">
        <f>ROUND(H35*F35, 2)</f>
        <v>0</v>
      </c>
      <c r="N35" s="671"/>
      <c r="O35" s="671"/>
      <c r="P35" s="671"/>
      <c r="R35" s="238"/>
    </row>
    <row r="36" spans="2:18">
      <c r="B36" s="237"/>
      <c r="J36" s="47"/>
      <c r="R36" s="238"/>
    </row>
    <row r="37" spans="2:18" ht="15.75">
      <c r="B37" s="237"/>
      <c r="C37" s="297"/>
      <c r="D37" s="316" t="s">
        <v>24</v>
      </c>
      <c r="E37" s="283"/>
      <c r="F37" s="283"/>
      <c r="G37" s="317" t="s">
        <v>25</v>
      </c>
      <c r="H37" s="318" t="s">
        <v>26</v>
      </c>
      <c r="I37" s="283"/>
      <c r="J37" s="50"/>
      <c r="K37" s="283"/>
      <c r="L37" s="739">
        <f>SUM(M32:M35)</f>
        <v>0</v>
      </c>
      <c r="M37" s="739"/>
      <c r="N37" s="739"/>
      <c r="O37" s="739"/>
      <c r="P37" s="740"/>
      <c r="Q37" s="297"/>
      <c r="R37" s="238"/>
    </row>
    <row r="38" spans="2:18">
      <c r="B38" s="237"/>
      <c r="J38" s="47"/>
      <c r="R38" s="238"/>
    </row>
    <row r="39" spans="2:18">
      <c r="B39" s="237"/>
      <c r="J39" s="47"/>
      <c r="R39" s="238"/>
    </row>
    <row r="40" spans="2:18">
      <c r="B40" s="237"/>
      <c r="J40" s="47"/>
      <c r="R40" s="238"/>
    </row>
    <row r="41" spans="2:18">
      <c r="B41" s="237"/>
      <c r="J41" s="47"/>
      <c r="R41" s="238"/>
    </row>
    <row r="42" spans="2:18">
      <c r="B42" s="237"/>
      <c r="J42" s="47"/>
      <c r="R42" s="238"/>
    </row>
    <row r="43" spans="2:18">
      <c r="B43" s="237"/>
      <c r="J43" s="47"/>
      <c r="R43" s="238"/>
    </row>
    <row r="44" spans="2:18">
      <c r="B44" s="237"/>
      <c r="J44" s="47"/>
      <c r="R44" s="238"/>
    </row>
    <row r="45" spans="2:18">
      <c r="B45" s="237"/>
      <c r="J45" s="47"/>
      <c r="R45" s="238"/>
    </row>
    <row r="46" spans="2:18">
      <c r="B46" s="237"/>
      <c r="J46" s="47"/>
      <c r="R46" s="238"/>
    </row>
    <row r="47" spans="2:18">
      <c r="B47" s="237"/>
      <c r="J47" s="47"/>
      <c r="R47" s="238"/>
    </row>
    <row r="48" spans="2:18">
      <c r="B48" s="237"/>
      <c r="J48" s="47"/>
      <c r="R48" s="238"/>
    </row>
    <row r="49" spans="2:18" ht="12.75">
      <c r="B49" s="237"/>
      <c r="D49" s="265" t="s">
        <v>27</v>
      </c>
      <c r="E49" s="266"/>
      <c r="F49" s="266"/>
      <c r="G49" s="266"/>
      <c r="H49" s="267"/>
      <c r="J49" s="51" t="s">
        <v>28</v>
      </c>
      <c r="K49" s="266"/>
      <c r="L49" s="266"/>
      <c r="M49" s="266"/>
      <c r="N49" s="266"/>
      <c r="O49" s="266"/>
      <c r="P49" s="267"/>
      <c r="R49" s="238"/>
    </row>
    <row r="50" spans="2:18">
      <c r="B50" s="237"/>
      <c r="D50" s="268"/>
      <c r="H50" s="269"/>
      <c r="J50" s="52"/>
      <c r="P50" s="269"/>
      <c r="R50" s="238"/>
    </row>
    <row r="51" spans="2:18">
      <c r="B51" s="237"/>
      <c r="D51" s="268"/>
      <c r="H51" s="269"/>
      <c r="J51" s="52"/>
      <c r="P51" s="269"/>
      <c r="R51" s="238"/>
    </row>
    <row r="52" spans="2:18">
      <c r="B52" s="237"/>
      <c r="D52" s="268"/>
      <c r="H52" s="269"/>
      <c r="J52" s="52"/>
      <c r="P52" s="269"/>
      <c r="R52" s="238"/>
    </row>
    <row r="53" spans="2:18">
      <c r="B53" s="237"/>
      <c r="D53" s="268"/>
      <c r="H53" s="269"/>
      <c r="J53" s="52"/>
      <c r="P53" s="269"/>
      <c r="R53" s="238"/>
    </row>
    <row r="54" spans="2:18">
      <c r="B54" s="237"/>
      <c r="D54" s="268"/>
      <c r="H54" s="269"/>
      <c r="J54" s="52"/>
      <c r="P54" s="269"/>
      <c r="R54" s="238"/>
    </row>
    <row r="55" spans="2:18">
      <c r="B55" s="237"/>
      <c r="D55" s="268"/>
      <c r="H55" s="269"/>
      <c r="J55" s="52"/>
      <c r="P55" s="269"/>
      <c r="R55" s="238"/>
    </row>
    <row r="56" spans="2:18">
      <c r="B56" s="237"/>
      <c r="D56" s="268"/>
      <c r="H56" s="269"/>
      <c r="J56" s="52"/>
      <c r="P56" s="269"/>
      <c r="R56" s="238"/>
    </row>
    <row r="57" spans="2:18">
      <c r="B57" s="237"/>
      <c r="D57" s="268"/>
      <c r="H57" s="269"/>
      <c r="J57" s="52"/>
      <c r="P57" s="269"/>
      <c r="R57" s="238"/>
    </row>
    <row r="58" spans="2:18" ht="12.75">
      <c r="B58" s="237"/>
      <c r="D58" s="270" t="s">
        <v>29</v>
      </c>
      <c r="E58" s="271"/>
      <c r="F58" s="271"/>
      <c r="G58" s="272" t="s">
        <v>30</v>
      </c>
      <c r="H58" s="273"/>
      <c r="J58" s="53" t="s">
        <v>29</v>
      </c>
      <c r="K58" s="271"/>
      <c r="L58" s="271"/>
      <c r="M58" s="271"/>
      <c r="N58" s="272" t="s">
        <v>30</v>
      </c>
      <c r="O58" s="271"/>
      <c r="P58" s="273"/>
      <c r="R58" s="238"/>
    </row>
    <row r="59" spans="2:18">
      <c r="B59" s="237"/>
      <c r="J59" s="47"/>
      <c r="R59" s="238"/>
    </row>
    <row r="60" spans="2:18" ht="12.75">
      <c r="B60" s="237"/>
      <c r="D60" s="265" t="s">
        <v>31</v>
      </c>
      <c r="E60" s="266"/>
      <c r="F60" s="266"/>
      <c r="G60" s="266"/>
      <c r="H60" s="267"/>
      <c r="J60" s="51" t="s">
        <v>32</v>
      </c>
      <c r="K60" s="266"/>
      <c r="L60" s="266"/>
      <c r="M60" s="266"/>
      <c r="N60" s="266"/>
      <c r="O60" s="266"/>
      <c r="P60" s="267"/>
      <c r="R60" s="238"/>
    </row>
    <row r="61" spans="2:18">
      <c r="B61" s="237"/>
      <c r="D61" s="268"/>
      <c r="H61" s="269"/>
      <c r="J61" s="52"/>
      <c r="P61" s="269"/>
      <c r="R61" s="238"/>
    </row>
    <row r="62" spans="2:18">
      <c r="B62" s="237"/>
      <c r="D62" s="268"/>
      <c r="H62" s="269"/>
      <c r="J62" s="52"/>
      <c r="P62" s="269"/>
      <c r="R62" s="238"/>
    </row>
    <row r="63" spans="2:18">
      <c r="B63" s="237"/>
      <c r="D63" s="268"/>
      <c r="H63" s="269"/>
      <c r="J63" s="52"/>
      <c r="P63" s="269"/>
      <c r="R63" s="238"/>
    </row>
    <row r="64" spans="2:18">
      <c r="B64" s="237"/>
      <c r="D64" s="268"/>
      <c r="H64" s="269"/>
      <c r="J64" s="52"/>
      <c r="P64" s="269"/>
      <c r="R64" s="238"/>
    </row>
    <row r="65" spans="2:18">
      <c r="B65" s="237"/>
      <c r="D65" s="268"/>
      <c r="H65" s="269"/>
      <c r="J65" s="52"/>
      <c r="P65" s="269"/>
      <c r="R65" s="238"/>
    </row>
    <row r="66" spans="2:18">
      <c r="B66" s="237"/>
      <c r="D66" s="268"/>
      <c r="H66" s="269"/>
      <c r="J66" s="52"/>
      <c r="P66" s="269"/>
      <c r="R66" s="238"/>
    </row>
    <row r="67" spans="2:18">
      <c r="B67" s="237"/>
      <c r="D67" s="268"/>
      <c r="H67" s="269"/>
      <c r="J67" s="52"/>
      <c r="P67" s="269"/>
      <c r="R67" s="238"/>
    </row>
    <row r="68" spans="2:18">
      <c r="B68" s="237"/>
      <c r="D68" s="268"/>
      <c r="H68" s="269"/>
      <c r="J68" s="52"/>
      <c r="P68" s="269"/>
      <c r="R68" s="238"/>
    </row>
    <row r="69" spans="2:18" ht="12.75">
      <c r="B69" s="237"/>
      <c r="D69" s="270" t="s">
        <v>29</v>
      </c>
      <c r="E69" s="271"/>
      <c r="F69" s="271"/>
      <c r="G69" s="272" t="s">
        <v>30</v>
      </c>
      <c r="H69" s="273"/>
      <c r="J69" s="53" t="s">
        <v>29</v>
      </c>
      <c r="K69" s="271"/>
      <c r="L69" s="271"/>
      <c r="M69" s="271"/>
      <c r="N69" s="272" t="s">
        <v>30</v>
      </c>
      <c r="O69" s="271"/>
      <c r="P69" s="273"/>
      <c r="R69" s="238"/>
    </row>
    <row r="70" spans="2:18">
      <c r="B70" s="274"/>
      <c r="C70" s="275"/>
      <c r="D70" s="275"/>
      <c r="E70" s="275"/>
      <c r="F70" s="275"/>
      <c r="G70" s="275"/>
      <c r="H70" s="275"/>
      <c r="I70" s="275"/>
      <c r="J70" s="54"/>
      <c r="K70" s="275"/>
      <c r="L70" s="275"/>
      <c r="M70" s="275"/>
      <c r="N70" s="275"/>
      <c r="O70" s="275"/>
      <c r="P70" s="275"/>
      <c r="Q70" s="275"/>
      <c r="R70" s="276"/>
    </row>
    <row r="74" spans="2:18">
      <c r="B74" s="233"/>
      <c r="C74" s="234"/>
      <c r="D74" s="234"/>
      <c r="E74" s="234"/>
      <c r="F74" s="234"/>
      <c r="G74" s="234"/>
      <c r="H74" s="234"/>
      <c r="I74" s="234"/>
      <c r="J74" s="46"/>
      <c r="K74" s="234"/>
      <c r="L74" s="234"/>
      <c r="M74" s="234"/>
      <c r="N74" s="234"/>
      <c r="O74" s="234"/>
      <c r="P74" s="234"/>
      <c r="Q74" s="234"/>
      <c r="R74" s="235"/>
    </row>
    <row r="75" spans="2:18" ht="20.25">
      <c r="B75" s="237"/>
      <c r="C75" s="697" t="s">
        <v>40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238"/>
    </row>
    <row r="76" spans="2:18">
      <c r="B76" s="237"/>
      <c r="J76" s="47"/>
      <c r="R76" s="238"/>
    </row>
    <row r="77" spans="2:18" ht="12">
      <c r="B77" s="237"/>
      <c r="C77" s="239" t="s">
        <v>3</v>
      </c>
      <c r="F77" s="721" t="str">
        <f>F4</f>
        <v>Stavební úpravy, vestavba a přístavba stávajícího objektu</v>
      </c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R77" s="238"/>
    </row>
    <row r="78" spans="2:18" ht="15.75">
      <c r="B78" s="237"/>
      <c r="C78" s="241" t="s">
        <v>39</v>
      </c>
      <c r="F78" s="691" t="str">
        <f>F5</f>
        <v>Stavební úpravy objektu</v>
      </c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R78" s="238"/>
    </row>
    <row r="79" spans="2:18">
      <c r="B79" s="237"/>
      <c r="J79" s="47"/>
      <c r="R79" s="238"/>
    </row>
    <row r="80" spans="2:18" ht="12">
      <c r="B80" s="237"/>
      <c r="C80" s="239" t="s">
        <v>6</v>
      </c>
      <c r="F80" s="240" t="str">
        <f>F7</f>
        <v>Mírové náměstí 23/12, Bílina - p.č. 124, 125/1, 125/2, 125/3, k.ú. Bílina (604208)</v>
      </c>
      <c r="J80" s="47"/>
      <c r="K80" s="239" t="s">
        <v>7</v>
      </c>
      <c r="M80" s="712">
        <f>IF(O7="","",O7)</f>
        <v>0</v>
      </c>
      <c r="N80" s="712"/>
      <c r="O80" s="712"/>
      <c r="P80" s="712"/>
      <c r="R80" s="238"/>
    </row>
    <row r="81" spans="2:24">
      <c r="B81" s="237"/>
      <c r="J81" s="47"/>
      <c r="R81" s="238"/>
    </row>
    <row r="82" spans="2:24" ht="12">
      <c r="B82" s="237"/>
      <c r="C82" s="239" t="s">
        <v>8</v>
      </c>
      <c r="F82" s="240" t="str">
        <f>F9</f>
        <v>město Bílina</v>
      </c>
      <c r="J82" s="47"/>
      <c r="K82" s="239" t="s">
        <v>13</v>
      </c>
      <c r="M82" s="692" t="str">
        <f>E16</f>
        <v>Ing. arch. Bořek Peška</v>
      </c>
      <c r="N82" s="692"/>
      <c r="O82" s="692"/>
      <c r="P82" s="692"/>
      <c r="Q82" s="692"/>
      <c r="R82" s="238"/>
    </row>
    <row r="83" spans="2:24" ht="12">
      <c r="B83" s="237"/>
      <c r="C83" s="239" t="s">
        <v>11</v>
      </c>
      <c r="F83" s="240">
        <f>F12</f>
        <v>0</v>
      </c>
      <c r="J83" s="47"/>
      <c r="K83" s="239" t="s">
        <v>14</v>
      </c>
      <c r="M83" s="692" t="str">
        <f>E19</f>
        <v>Jakub Kulhavý</v>
      </c>
      <c r="N83" s="692"/>
      <c r="O83" s="692"/>
      <c r="P83" s="692"/>
      <c r="Q83" s="692"/>
      <c r="R83" s="238"/>
    </row>
    <row r="84" spans="2:24">
      <c r="B84" s="237"/>
      <c r="J84" s="47"/>
      <c r="R84" s="238"/>
    </row>
    <row r="85" spans="2:24" ht="12">
      <c r="B85" s="237"/>
      <c r="C85" s="742" t="s">
        <v>41</v>
      </c>
      <c r="D85" s="743"/>
      <c r="E85" s="743"/>
      <c r="F85" s="743"/>
      <c r="G85" s="743"/>
      <c r="H85" s="297" t="s">
        <v>198</v>
      </c>
      <c r="I85" s="392">
        <f>159.6+218.9*3</f>
        <v>816.30000000000007</v>
      </c>
      <c r="J85" s="55"/>
      <c r="K85" s="297" t="s">
        <v>197</v>
      </c>
      <c r="L85" s="297"/>
      <c r="M85" s="297"/>
      <c r="N85" s="742" t="s">
        <v>42</v>
      </c>
      <c r="O85" s="743"/>
      <c r="P85" s="743"/>
      <c r="Q85" s="743"/>
      <c r="R85" s="238"/>
    </row>
    <row r="86" spans="2:24">
      <c r="B86" s="237"/>
      <c r="J86" s="47"/>
      <c r="R86" s="238"/>
    </row>
    <row r="87" spans="2:24" ht="15.75">
      <c r="B87" s="237"/>
      <c r="C87" s="320" t="str">
        <f>C152</f>
        <v>1) Náklady z rozpočtu - prostory Infocentrum a navazující</v>
      </c>
      <c r="I87" s="306">
        <f>30.61</f>
        <v>30.61</v>
      </c>
      <c r="J87" s="47"/>
      <c r="K87" s="79">
        <f>N87/$I$87</f>
        <v>0</v>
      </c>
      <c r="N87" s="681">
        <f>N88+N95</f>
        <v>0</v>
      </c>
      <c r="O87" s="744"/>
      <c r="P87" s="744"/>
      <c r="Q87" s="744"/>
      <c r="R87" s="238"/>
      <c r="T87" s="56">
        <f>SUM(N87:Q104)/3</f>
        <v>0</v>
      </c>
    </row>
    <row r="88" spans="2:24" s="322" customFormat="1" ht="15">
      <c r="B88" s="321"/>
      <c r="D88" s="323" t="s">
        <v>43</v>
      </c>
      <c r="I88" s="323"/>
      <c r="J88" s="57"/>
      <c r="K88" s="80">
        <f>N88/$I$87</f>
        <v>0</v>
      </c>
      <c r="N88" s="730">
        <f>SUM(N89:Q94)</f>
        <v>0</v>
      </c>
      <c r="O88" s="731"/>
      <c r="P88" s="731"/>
      <c r="Q88" s="731"/>
      <c r="R88" s="324"/>
      <c r="T88" s="56">
        <f>SUM(N88:Q94)/2</f>
        <v>0</v>
      </c>
      <c r="U88" s="325"/>
      <c r="V88" s="393"/>
      <c r="W88" s="394"/>
      <c r="X88" s="394"/>
    </row>
    <row r="89" spans="2:24" s="302" customFormat="1" ht="12.75">
      <c r="B89" s="327"/>
      <c r="D89" s="328" t="str">
        <f>D154</f>
        <v xml:space="preserve">    3 - Svislé a kompletní konstrukce</v>
      </c>
      <c r="I89" s="328"/>
      <c r="J89" s="58"/>
      <c r="K89" s="81">
        <f t="shared" ref="K89:K104" si="0">N89/$I$87</f>
        <v>0</v>
      </c>
      <c r="N89" s="732">
        <f>N154</f>
        <v>0</v>
      </c>
      <c r="O89" s="733"/>
      <c r="P89" s="733"/>
      <c r="Q89" s="733"/>
      <c r="R89" s="329"/>
      <c r="T89" s="43"/>
      <c r="U89" s="330"/>
      <c r="V89" s="395"/>
      <c r="W89" s="396"/>
      <c r="X89" s="396"/>
    </row>
    <row r="90" spans="2:24" s="302" customFormat="1" ht="12.75">
      <c r="B90" s="327"/>
      <c r="D90" s="328" t="str">
        <f>D168</f>
        <v xml:space="preserve">    4 - Vodorovné konstrukce</v>
      </c>
      <c r="I90" s="328"/>
      <c r="J90" s="58"/>
      <c r="K90" s="81">
        <f t="shared" si="0"/>
        <v>0</v>
      </c>
      <c r="N90" s="732">
        <f>N168</f>
        <v>0</v>
      </c>
      <c r="O90" s="733"/>
      <c r="P90" s="733"/>
      <c r="Q90" s="733"/>
      <c r="R90" s="329"/>
      <c r="T90" s="43"/>
      <c r="U90" s="330"/>
      <c r="V90" s="395"/>
      <c r="W90" s="396"/>
      <c r="X90" s="396"/>
    </row>
    <row r="91" spans="2:24" s="302" customFormat="1" ht="12.75">
      <c r="B91" s="327"/>
      <c r="D91" s="328" t="str">
        <f>D175</f>
        <v xml:space="preserve">    6 - Úpravy povrchů, podlahy a osazování výplní</v>
      </c>
      <c r="I91" s="328"/>
      <c r="J91" s="58"/>
      <c r="K91" s="81">
        <f t="shared" si="0"/>
        <v>0</v>
      </c>
      <c r="N91" s="732">
        <f>N175</f>
        <v>0</v>
      </c>
      <c r="O91" s="733"/>
      <c r="P91" s="733"/>
      <c r="Q91" s="733"/>
      <c r="R91" s="329"/>
      <c r="T91" s="43"/>
      <c r="U91" s="330"/>
      <c r="V91" s="395"/>
      <c r="W91" s="396"/>
      <c r="X91" s="396"/>
    </row>
    <row r="92" spans="2:24" s="302" customFormat="1" ht="12.75">
      <c r="B92" s="327"/>
      <c r="D92" s="328" t="str">
        <f>D208</f>
        <v xml:space="preserve">    9 - Ostatní konstrukce a práce, bourání</v>
      </c>
      <c r="I92" s="328"/>
      <c r="J92" s="58"/>
      <c r="K92" s="81">
        <f t="shared" si="0"/>
        <v>0</v>
      </c>
      <c r="N92" s="732">
        <f>N208</f>
        <v>0</v>
      </c>
      <c r="O92" s="733"/>
      <c r="P92" s="733"/>
      <c r="Q92" s="733"/>
      <c r="R92" s="329"/>
      <c r="T92" s="43"/>
      <c r="U92" s="330"/>
      <c r="V92" s="395"/>
      <c r="W92" s="396"/>
      <c r="X92" s="396"/>
    </row>
    <row r="93" spans="2:24" s="302" customFormat="1" ht="12.75">
      <c r="B93" s="327"/>
      <c r="D93" s="328" t="str">
        <f>D211</f>
        <v xml:space="preserve">    94 - Lešení</v>
      </c>
      <c r="I93" s="328"/>
      <c r="J93" s="58"/>
      <c r="K93" s="81">
        <f t="shared" si="0"/>
        <v>0</v>
      </c>
      <c r="N93" s="732">
        <f>N211</f>
        <v>0</v>
      </c>
      <c r="O93" s="733"/>
      <c r="P93" s="733"/>
      <c r="Q93" s="733"/>
      <c r="R93" s="329"/>
      <c r="T93" s="43"/>
      <c r="U93" s="330"/>
      <c r="V93" s="395"/>
      <c r="W93" s="396"/>
      <c r="X93" s="396"/>
    </row>
    <row r="94" spans="2:24" s="302" customFormat="1" ht="12.75">
      <c r="B94" s="327"/>
      <c r="D94" s="328" t="str">
        <f>D224</f>
        <v xml:space="preserve">    998 - Přesuny hmot pro HSV</v>
      </c>
      <c r="I94" s="328"/>
      <c r="J94" s="58"/>
      <c r="K94" s="81">
        <f t="shared" si="0"/>
        <v>0</v>
      </c>
      <c r="N94" s="732">
        <f>N224</f>
        <v>0</v>
      </c>
      <c r="O94" s="733"/>
      <c r="P94" s="733"/>
      <c r="Q94" s="733"/>
      <c r="R94" s="329"/>
      <c r="T94" s="43"/>
      <c r="U94" s="330"/>
      <c r="V94" s="395"/>
      <c r="W94" s="396"/>
      <c r="X94" s="396"/>
    </row>
    <row r="95" spans="2:24" s="322" customFormat="1" ht="15">
      <c r="B95" s="321"/>
      <c r="D95" s="323" t="s">
        <v>48</v>
      </c>
      <c r="I95" s="323"/>
      <c r="J95" s="57"/>
      <c r="K95" s="80">
        <f t="shared" si="0"/>
        <v>0</v>
      </c>
      <c r="N95" s="730">
        <f>SUM(N96:Q104)</f>
        <v>0</v>
      </c>
      <c r="O95" s="731"/>
      <c r="P95" s="731"/>
      <c r="Q95" s="731"/>
      <c r="R95" s="324"/>
      <c r="T95" s="56">
        <f>SUM(N95:Q104)/2</f>
        <v>0</v>
      </c>
      <c r="U95" s="325"/>
      <c r="V95" s="393"/>
      <c r="W95" s="394"/>
      <c r="X95" s="394"/>
    </row>
    <row r="96" spans="2:24" s="302" customFormat="1" ht="12.75">
      <c r="B96" s="327"/>
      <c r="D96" s="328" t="str">
        <f>D227</f>
        <v xml:space="preserve">    711 - Izolace proti vodě, vlhkosti a plynům</v>
      </c>
      <c r="I96" s="328"/>
      <c r="J96" s="58"/>
      <c r="K96" s="81">
        <f>N96/$I$87</f>
        <v>0</v>
      </c>
      <c r="N96" s="732">
        <f>N227</f>
        <v>0</v>
      </c>
      <c r="O96" s="733"/>
      <c r="P96" s="733"/>
      <c r="Q96" s="733"/>
      <c r="R96" s="329"/>
      <c r="T96" s="43"/>
      <c r="U96" s="330"/>
      <c r="V96" s="395"/>
      <c r="W96" s="396"/>
      <c r="X96" s="396"/>
    </row>
    <row r="97" spans="2:24" s="302" customFormat="1" ht="12.75">
      <c r="B97" s="327"/>
      <c r="D97" s="328" t="str">
        <f>D233</f>
        <v xml:space="preserve">    713 - Izolace tepelné</v>
      </c>
      <c r="I97" s="328"/>
      <c r="J97" s="58"/>
      <c r="K97" s="81">
        <f t="shared" si="0"/>
        <v>0</v>
      </c>
      <c r="N97" s="732">
        <f>N233</f>
        <v>0</v>
      </c>
      <c r="O97" s="733"/>
      <c r="P97" s="733"/>
      <c r="Q97" s="733"/>
      <c r="R97" s="329"/>
      <c r="T97" s="43"/>
      <c r="U97" s="330"/>
      <c r="V97" s="395"/>
      <c r="W97" s="396"/>
      <c r="X97" s="396"/>
    </row>
    <row r="98" spans="2:24" s="302" customFormat="1" ht="11.25" customHeight="1">
      <c r="B98" s="327"/>
      <c r="D98" s="328" t="str">
        <f>D240</f>
        <v xml:space="preserve">    763 - Konstrukce suché výstavby</v>
      </c>
      <c r="I98" s="328"/>
      <c r="J98" s="58"/>
      <c r="K98" s="81">
        <f>N98/$I$87</f>
        <v>0</v>
      </c>
      <c r="N98" s="732">
        <f>N240</f>
        <v>0</v>
      </c>
      <c r="O98" s="733"/>
      <c r="P98" s="733"/>
      <c r="Q98" s="733"/>
      <c r="R98" s="329"/>
      <c r="T98" s="43"/>
      <c r="U98" s="330"/>
      <c r="V98" s="395"/>
      <c r="W98" s="396"/>
      <c r="X98" s="396"/>
    </row>
    <row r="99" spans="2:24" s="302" customFormat="1" ht="12.75">
      <c r="B99" s="327"/>
      <c r="D99" s="328" t="str">
        <f>D250</f>
        <v xml:space="preserve">    771 - Podlahy z dlaždic</v>
      </c>
      <c r="I99" s="328"/>
      <c r="J99" s="58"/>
      <c r="K99" s="81">
        <f>N99/$I$87</f>
        <v>0</v>
      </c>
      <c r="N99" s="732">
        <f>N250</f>
        <v>0</v>
      </c>
      <c r="O99" s="733"/>
      <c r="P99" s="733"/>
      <c r="Q99" s="733"/>
      <c r="R99" s="329"/>
      <c r="T99" s="43"/>
      <c r="U99" s="330"/>
      <c r="V99" s="395"/>
      <c r="W99" s="396"/>
      <c r="X99" s="396"/>
    </row>
    <row r="100" spans="2:24" s="302" customFormat="1" ht="12.75">
      <c r="B100" s="327"/>
      <c r="D100" s="328" t="str">
        <f>D263</f>
        <v xml:space="preserve">    773 - Podlahy teracové</v>
      </c>
      <c r="I100" s="328"/>
      <c r="J100" s="58"/>
      <c r="K100" s="81">
        <f t="shared" si="0"/>
        <v>0</v>
      </c>
      <c r="N100" s="732">
        <f>N263</f>
        <v>0</v>
      </c>
      <c r="O100" s="733"/>
      <c r="P100" s="733"/>
      <c r="Q100" s="733"/>
      <c r="R100" s="329"/>
      <c r="T100" s="43"/>
      <c r="U100" s="330"/>
      <c r="V100" s="395"/>
      <c r="W100" s="396"/>
      <c r="X100" s="396"/>
    </row>
    <row r="101" spans="2:24" s="302" customFormat="1" ht="12.75">
      <c r="B101" s="327"/>
      <c r="D101" s="328" t="str">
        <f>D271</f>
        <v xml:space="preserve">    775 - Podlahy skládané</v>
      </c>
      <c r="I101" s="328"/>
      <c r="J101" s="58"/>
      <c r="K101" s="81">
        <f>N101/$I$87</f>
        <v>0</v>
      </c>
      <c r="N101" s="732">
        <f>N271</f>
        <v>0</v>
      </c>
      <c r="O101" s="733"/>
      <c r="P101" s="733"/>
      <c r="Q101" s="733"/>
      <c r="R101" s="329"/>
      <c r="T101" s="43"/>
      <c r="U101" s="330"/>
      <c r="V101" s="395"/>
      <c r="W101" s="396"/>
      <c r="X101" s="396"/>
    </row>
    <row r="102" spans="2:24" s="302" customFormat="1" ht="12.75">
      <c r="B102" s="327"/>
      <c r="D102" s="328" t="str">
        <f>D286</f>
        <v xml:space="preserve">    781 - Keramické obklady</v>
      </c>
      <c r="I102" s="328"/>
      <c r="J102" s="58"/>
      <c r="K102" s="81">
        <f>N102/$I$87</f>
        <v>0</v>
      </c>
      <c r="N102" s="732">
        <f>N286</f>
        <v>0</v>
      </c>
      <c r="O102" s="733"/>
      <c r="P102" s="733"/>
      <c r="Q102" s="733"/>
      <c r="R102" s="329"/>
      <c r="T102" s="43"/>
      <c r="U102" s="330"/>
      <c r="V102" s="395"/>
      <c r="W102" s="396"/>
      <c r="X102" s="396"/>
    </row>
    <row r="103" spans="2:24" s="302" customFormat="1" ht="12.75">
      <c r="B103" s="327"/>
      <c r="D103" s="328" t="str">
        <f>D293</f>
        <v xml:space="preserve">    783 - Dokončovací práce - nátěry</v>
      </c>
      <c r="I103" s="328"/>
      <c r="J103" s="58"/>
      <c r="K103" s="81">
        <f t="shared" si="0"/>
        <v>0</v>
      </c>
      <c r="N103" s="732">
        <f>N293</f>
        <v>0</v>
      </c>
      <c r="O103" s="733"/>
      <c r="P103" s="733"/>
      <c r="Q103" s="733"/>
      <c r="R103" s="329"/>
      <c r="T103" s="43"/>
      <c r="U103" s="330"/>
      <c r="V103" s="395"/>
      <c r="W103" s="396"/>
      <c r="X103" s="396"/>
    </row>
    <row r="104" spans="2:24" s="302" customFormat="1" ht="12.75">
      <c r="B104" s="327"/>
      <c r="D104" s="328" t="str">
        <f>D298</f>
        <v xml:space="preserve">    784 - Dokončovací práce - malby a tapety</v>
      </c>
      <c r="I104" s="328"/>
      <c r="J104" s="58"/>
      <c r="K104" s="81">
        <f t="shared" si="0"/>
        <v>0</v>
      </c>
      <c r="N104" s="732">
        <f>N298</f>
        <v>0</v>
      </c>
      <c r="O104" s="733"/>
      <c r="P104" s="733"/>
      <c r="Q104" s="733"/>
      <c r="R104" s="329"/>
      <c r="T104" s="43"/>
      <c r="U104" s="330"/>
      <c r="V104" s="395"/>
      <c r="W104" s="396"/>
      <c r="X104" s="396"/>
    </row>
    <row r="105" spans="2:24">
      <c r="B105" s="237"/>
      <c r="I105" s="306"/>
      <c r="J105" s="47"/>
      <c r="R105" s="238"/>
    </row>
    <row r="106" spans="2:24" ht="15.75">
      <c r="B106" s="237"/>
      <c r="C106" s="320" t="str">
        <f>C309</f>
        <v>2) Náklady z rozpočtu</v>
      </c>
      <c r="I106" s="306">
        <f>I85-I87</f>
        <v>785.69</v>
      </c>
      <c r="J106" s="47"/>
      <c r="K106" s="79">
        <f>N106/$I$106</f>
        <v>0</v>
      </c>
      <c r="N106" s="681">
        <f>N107+N116</f>
        <v>0</v>
      </c>
      <c r="O106" s="744"/>
      <c r="P106" s="744"/>
      <c r="Q106" s="744"/>
      <c r="R106" s="238"/>
      <c r="T106" s="56">
        <f>SUM(N106:Q131)/3</f>
        <v>0</v>
      </c>
    </row>
    <row r="107" spans="2:24" s="322" customFormat="1" ht="15">
      <c r="B107" s="321"/>
      <c r="D107" s="323" t="s">
        <v>43</v>
      </c>
      <c r="I107" s="323"/>
      <c r="J107" s="57"/>
      <c r="K107" s="80">
        <f t="shared" ref="K107:K131" si="1">N107/$I$106</f>
        <v>0</v>
      </c>
      <c r="N107" s="730">
        <f>SUM(N108:Q115)</f>
        <v>0</v>
      </c>
      <c r="O107" s="731"/>
      <c r="P107" s="731"/>
      <c r="Q107" s="731"/>
      <c r="R107" s="324"/>
      <c r="T107" s="56">
        <f>SUM(N107:Q115)/2</f>
        <v>0</v>
      </c>
      <c r="U107" s="325"/>
      <c r="V107" s="393"/>
      <c r="W107" s="394"/>
      <c r="X107" s="394"/>
    </row>
    <row r="108" spans="2:24" s="302" customFormat="1" ht="12.75">
      <c r="B108" s="327"/>
      <c r="D108" s="328" t="str">
        <f>D311</f>
        <v xml:space="preserve">    1 - Zemní práce</v>
      </c>
      <c r="J108" s="58"/>
      <c r="K108" s="81">
        <f t="shared" si="1"/>
        <v>0</v>
      </c>
      <c r="N108" s="732">
        <f>N311</f>
        <v>0</v>
      </c>
      <c r="O108" s="733"/>
      <c r="P108" s="733"/>
      <c r="Q108" s="733"/>
      <c r="R108" s="329"/>
      <c r="T108" s="43"/>
      <c r="U108" s="330"/>
      <c r="V108" s="395"/>
      <c r="W108" s="396"/>
      <c r="X108" s="396"/>
    </row>
    <row r="109" spans="2:24" s="302" customFormat="1" ht="12.75">
      <c r="B109" s="327"/>
      <c r="D109" s="328" t="str">
        <f>D332</f>
        <v xml:space="preserve">    2 - Zakládání</v>
      </c>
      <c r="J109" s="58"/>
      <c r="K109" s="81">
        <f t="shared" si="1"/>
        <v>0</v>
      </c>
      <c r="N109" s="732">
        <f>N332</f>
        <v>0</v>
      </c>
      <c r="O109" s="733"/>
      <c r="P109" s="733"/>
      <c r="Q109" s="733"/>
      <c r="R109" s="329"/>
      <c r="T109" s="43"/>
      <c r="U109" s="330"/>
      <c r="V109" s="395"/>
      <c r="W109" s="396"/>
      <c r="X109" s="396"/>
    </row>
    <row r="110" spans="2:24" s="302" customFormat="1" ht="12.75">
      <c r="B110" s="327"/>
      <c r="D110" s="328" t="str">
        <f>D368</f>
        <v xml:space="preserve">    3 - Svislé a kompletní konstrukce</v>
      </c>
      <c r="J110" s="58"/>
      <c r="K110" s="81">
        <f t="shared" si="1"/>
        <v>0</v>
      </c>
      <c r="N110" s="732">
        <f>N368</f>
        <v>0</v>
      </c>
      <c r="O110" s="733"/>
      <c r="P110" s="733"/>
      <c r="Q110" s="733"/>
      <c r="R110" s="329"/>
      <c r="T110" s="43"/>
      <c r="U110" s="330"/>
      <c r="V110" s="395"/>
      <c r="W110" s="396"/>
      <c r="X110" s="396"/>
    </row>
    <row r="111" spans="2:24" s="302" customFormat="1" ht="12.75">
      <c r="B111" s="327"/>
      <c r="D111" s="328" t="str">
        <f>D418</f>
        <v xml:space="preserve">    4 - Vodorovné konstrukce</v>
      </c>
      <c r="J111" s="58"/>
      <c r="K111" s="81">
        <f t="shared" si="1"/>
        <v>0</v>
      </c>
      <c r="N111" s="732">
        <f>N418</f>
        <v>0</v>
      </c>
      <c r="O111" s="733"/>
      <c r="P111" s="733"/>
      <c r="Q111" s="733"/>
      <c r="R111" s="329"/>
      <c r="T111" s="43"/>
      <c r="U111" s="330"/>
      <c r="V111" s="395"/>
      <c r="W111" s="396"/>
      <c r="X111" s="396"/>
    </row>
    <row r="112" spans="2:24" s="302" customFormat="1" ht="12.75">
      <c r="B112" s="327"/>
      <c r="D112" s="328" t="str">
        <f>D471</f>
        <v xml:space="preserve">    6 - Úpravy povrchů, podlahy a osazování výplní</v>
      </c>
      <c r="J112" s="58"/>
      <c r="K112" s="81">
        <f t="shared" si="1"/>
        <v>0</v>
      </c>
      <c r="N112" s="732">
        <f>N471</f>
        <v>0</v>
      </c>
      <c r="O112" s="733"/>
      <c r="P112" s="733"/>
      <c r="Q112" s="733"/>
      <c r="R112" s="329"/>
      <c r="T112" s="43"/>
      <c r="U112" s="330"/>
      <c r="V112" s="395"/>
      <c r="W112" s="396"/>
      <c r="X112" s="396"/>
    </row>
    <row r="113" spans="2:24" s="302" customFormat="1" ht="12.75">
      <c r="B113" s="327"/>
      <c r="D113" s="328" t="str">
        <f>D554</f>
        <v xml:space="preserve">    9 - Ostatní konstrukce a práce, bourání</v>
      </c>
      <c r="J113" s="58"/>
      <c r="K113" s="81">
        <f t="shared" si="1"/>
        <v>0</v>
      </c>
      <c r="N113" s="732">
        <f>N554</f>
        <v>0</v>
      </c>
      <c r="O113" s="733"/>
      <c r="P113" s="733"/>
      <c r="Q113" s="733"/>
      <c r="R113" s="329"/>
      <c r="T113" s="43"/>
      <c r="U113" s="330"/>
      <c r="V113" s="395"/>
      <c r="W113" s="396"/>
      <c r="X113" s="396"/>
    </row>
    <row r="114" spans="2:24" s="302" customFormat="1" ht="12.75">
      <c r="B114" s="327"/>
      <c r="D114" s="328" t="str">
        <f>D558</f>
        <v xml:space="preserve">    94 - Lešení</v>
      </c>
      <c r="J114" s="58"/>
      <c r="K114" s="81">
        <f t="shared" si="1"/>
        <v>0</v>
      </c>
      <c r="N114" s="732">
        <f>N558</f>
        <v>0</v>
      </c>
      <c r="O114" s="733"/>
      <c r="P114" s="733"/>
      <c r="Q114" s="733"/>
      <c r="R114" s="329"/>
      <c r="T114" s="43"/>
      <c r="U114" s="330"/>
      <c r="V114" s="395"/>
      <c r="W114" s="396"/>
      <c r="X114" s="396"/>
    </row>
    <row r="115" spans="2:24" s="302" customFormat="1" ht="12.75">
      <c r="B115" s="327"/>
      <c r="D115" s="328" t="str">
        <f>D572</f>
        <v xml:space="preserve">    998 - Přesuny hmot pro HSV</v>
      </c>
      <c r="J115" s="58"/>
      <c r="K115" s="81">
        <f t="shared" si="1"/>
        <v>0</v>
      </c>
      <c r="N115" s="732">
        <f>N572</f>
        <v>0</v>
      </c>
      <c r="O115" s="733"/>
      <c r="P115" s="733"/>
      <c r="Q115" s="733"/>
      <c r="R115" s="329"/>
      <c r="T115" s="43"/>
      <c r="U115" s="330"/>
      <c r="V115" s="395"/>
      <c r="W115" s="396"/>
      <c r="X115" s="396"/>
    </row>
    <row r="116" spans="2:24" s="322" customFormat="1" ht="15">
      <c r="B116" s="321"/>
      <c r="D116" s="323" t="s">
        <v>48</v>
      </c>
      <c r="J116" s="57"/>
      <c r="K116" s="80">
        <f t="shared" si="1"/>
        <v>0</v>
      </c>
      <c r="N116" s="730">
        <f>SUM(N117:Q131)</f>
        <v>0</v>
      </c>
      <c r="O116" s="731"/>
      <c r="P116" s="731"/>
      <c r="Q116" s="731"/>
      <c r="R116" s="324"/>
      <c r="T116" s="56">
        <f>SUM(N116:Q131)/2</f>
        <v>0</v>
      </c>
      <c r="U116" s="325"/>
      <c r="V116" s="393"/>
      <c r="W116" s="394"/>
      <c r="X116" s="394"/>
    </row>
    <row r="117" spans="2:24" s="302" customFormat="1" ht="12.75">
      <c r="B117" s="327"/>
      <c r="D117" s="328" t="str">
        <f>D575</f>
        <v xml:space="preserve">    711 - Izolace proti vodě, vlhkosti a plynům</v>
      </c>
      <c r="J117" s="58"/>
      <c r="K117" s="81">
        <f t="shared" si="1"/>
        <v>0</v>
      </c>
      <c r="N117" s="732">
        <f>N575</f>
        <v>0</v>
      </c>
      <c r="O117" s="733"/>
      <c r="P117" s="733"/>
      <c r="Q117" s="733"/>
      <c r="R117" s="329"/>
      <c r="T117" s="43"/>
      <c r="U117" s="330"/>
      <c r="V117" s="395"/>
      <c r="W117" s="396"/>
      <c r="X117" s="396"/>
    </row>
    <row r="118" spans="2:24" s="302" customFormat="1" ht="12.75">
      <c r="B118" s="327"/>
      <c r="D118" s="328" t="str">
        <f>D608</f>
        <v xml:space="preserve">    712 - Povlakové krytiny</v>
      </c>
      <c r="J118" s="58"/>
      <c r="K118" s="81">
        <f t="shared" si="1"/>
        <v>0</v>
      </c>
      <c r="N118" s="732">
        <f>N608</f>
        <v>0</v>
      </c>
      <c r="O118" s="733"/>
      <c r="P118" s="733"/>
      <c r="Q118" s="733"/>
      <c r="R118" s="329"/>
      <c r="T118" s="43"/>
      <c r="U118" s="330"/>
      <c r="V118" s="395"/>
      <c r="W118" s="396"/>
      <c r="X118" s="396"/>
    </row>
    <row r="119" spans="2:24" s="302" customFormat="1" ht="12.75">
      <c r="B119" s="327"/>
      <c r="D119" s="328" t="str">
        <f>D641</f>
        <v xml:space="preserve">    713 - Izolace tepelné</v>
      </c>
      <c r="J119" s="58"/>
      <c r="K119" s="81">
        <f t="shared" si="1"/>
        <v>0</v>
      </c>
      <c r="N119" s="732">
        <f>N641</f>
        <v>0</v>
      </c>
      <c r="O119" s="733"/>
      <c r="P119" s="733"/>
      <c r="Q119" s="733"/>
      <c r="R119" s="329"/>
      <c r="T119" s="43"/>
      <c r="U119" s="330"/>
      <c r="V119" s="395"/>
      <c r="W119" s="396"/>
      <c r="X119" s="396"/>
    </row>
    <row r="120" spans="2:24" s="302" customFormat="1" ht="12.75">
      <c r="B120" s="327"/>
      <c r="D120" s="328" t="str">
        <f>D745</f>
        <v xml:space="preserve">    762 - Konstrukce tesařské</v>
      </c>
      <c r="J120" s="58"/>
      <c r="K120" s="81">
        <f t="shared" si="1"/>
        <v>0</v>
      </c>
      <c r="N120" s="732">
        <f>N745</f>
        <v>0</v>
      </c>
      <c r="O120" s="733"/>
      <c r="P120" s="733"/>
      <c r="Q120" s="733"/>
      <c r="R120" s="329"/>
      <c r="T120" s="43"/>
      <c r="U120" s="330"/>
      <c r="V120" s="395"/>
      <c r="W120" s="396"/>
      <c r="X120" s="396"/>
    </row>
    <row r="121" spans="2:24" s="302" customFormat="1" ht="12.75">
      <c r="B121" s="327"/>
      <c r="D121" s="328" t="str">
        <f>D825</f>
        <v xml:space="preserve">    763 - Konstrukce suché výstavby</v>
      </c>
      <c r="J121" s="58"/>
      <c r="K121" s="81">
        <f t="shared" si="1"/>
        <v>0</v>
      </c>
      <c r="N121" s="732">
        <f>N825</f>
        <v>0</v>
      </c>
      <c r="O121" s="733"/>
      <c r="P121" s="733"/>
      <c r="Q121" s="733"/>
      <c r="R121" s="329"/>
      <c r="T121" s="43"/>
      <c r="U121" s="330"/>
      <c r="V121" s="395"/>
      <c r="W121" s="396"/>
      <c r="X121" s="396"/>
    </row>
    <row r="122" spans="2:24" s="302" customFormat="1" ht="12.75">
      <c r="B122" s="327"/>
      <c r="D122" s="328" t="str">
        <f>D867</f>
        <v xml:space="preserve">    765 - Konstrukce pokrývačské</v>
      </c>
      <c r="J122" s="58"/>
      <c r="K122" s="81">
        <f t="shared" si="1"/>
        <v>0</v>
      </c>
      <c r="N122" s="732">
        <f>N867</f>
        <v>0</v>
      </c>
      <c r="O122" s="733"/>
      <c r="P122" s="733"/>
      <c r="Q122" s="733"/>
      <c r="R122" s="329"/>
      <c r="T122" s="43"/>
      <c r="U122" s="330"/>
      <c r="V122" s="395"/>
      <c r="W122" s="396"/>
      <c r="X122" s="396"/>
    </row>
    <row r="123" spans="2:24" s="302" customFormat="1" ht="12.75">
      <c r="B123" s="327"/>
      <c r="D123" s="328" t="str">
        <f>D884</f>
        <v xml:space="preserve">    766 - Konstrukce truhlářské</v>
      </c>
      <c r="J123" s="58"/>
      <c r="K123" s="81">
        <f t="shared" si="1"/>
        <v>0</v>
      </c>
      <c r="N123" s="732">
        <f>N884</f>
        <v>0</v>
      </c>
      <c r="O123" s="733"/>
      <c r="P123" s="733"/>
      <c r="Q123" s="733"/>
      <c r="R123" s="329"/>
      <c r="T123" s="43"/>
      <c r="U123" s="330"/>
      <c r="V123" s="395"/>
      <c r="W123" s="396"/>
      <c r="X123" s="396"/>
    </row>
    <row r="124" spans="2:24" s="302" customFormat="1" ht="12.75">
      <c r="B124" s="327"/>
      <c r="D124" s="328" t="str">
        <f>D904</f>
        <v xml:space="preserve">    771 - Podlahy z dlaždic</v>
      </c>
      <c r="J124" s="58"/>
      <c r="K124" s="81">
        <f t="shared" si="1"/>
        <v>0</v>
      </c>
      <c r="N124" s="732">
        <f>N904</f>
        <v>0</v>
      </c>
      <c r="O124" s="733"/>
      <c r="P124" s="733"/>
      <c r="Q124" s="733"/>
      <c r="R124" s="329"/>
      <c r="T124" s="43"/>
      <c r="U124" s="330"/>
      <c r="V124" s="395"/>
      <c r="W124" s="396"/>
      <c r="X124" s="396"/>
    </row>
    <row r="125" spans="2:24" s="302" customFormat="1" ht="12.75">
      <c r="B125" s="327"/>
      <c r="D125" s="328" t="str">
        <f>D938</f>
        <v xml:space="preserve">    772 - Podlahy kamenné</v>
      </c>
      <c r="J125" s="58"/>
      <c r="K125" s="81">
        <f t="shared" si="1"/>
        <v>0</v>
      </c>
      <c r="N125" s="732">
        <f>N938</f>
        <v>0</v>
      </c>
      <c r="O125" s="733"/>
      <c r="P125" s="733"/>
      <c r="Q125" s="733"/>
      <c r="R125" s="329"/>
      <c r="T125" s="43"/>
      <c r="U125" s="330"/>
      <c r="V125" s="395"/>
      <c r="W125" s="396"/>
      <c r="X125" s="396"/>
    </row>
    <row r="126" spans="2:24" s="302" customFormat="1" ht="12.75">
      <c r="B126" s="327"/>
      <c r="D126" s="328" t="str">
        <f>D945</f>
        <v xml:space="preserve">    773 - Podlahy teracové</v>
      </c>
      <c r="J126" s="58"/>
      <c r="K126" s="81">
        <f t="shared" si="1"/>
        <v>0</v>
      </c>
      <c r="N126" s="732">
        <f>N945</f>
        <v>0</v>
      </c>
      <c r="O126" s="733"/>
      <c r="P126" s="733"/>
      <c r="Q126" s="733"/>
      <c r="R126" s="329"/>
      <c r="T126" s="43"/>
      <c r="U126" s="330"/>
      <c r="V126" s="395"/>
      <c r="W126" s="396"/>
      <c r="X126" s="396"/>
    </row>
    <row r="127" spans="2:24" s="302" customFormat="1" ht="12.75">
      <c r="B127" s="327"/>
      <c r="D127" s="328" t="str">
        <f>D959</f>
        <v xml:space="preserve">    775 - Podlahy skládané</v>
      </c>
      <c r="J127" s="58"/>
      <c r="K127" s="81">
        <f t="shared" si="1"/>
        <v>0</v>
      </c>
      <c r="N127" s="732">
        <f>N959</f>
        <v>0</v>
      </c>
      <c r="O127" s="733"/>
      <c r="P127" s="733"/>
      <c r="Q127" s="733"/>
      <c r="R127" s="329"/>
      <c r="T127" s="43"/>
      <c r="U127" s="330"/>
      <c r="V127" s="395"/>
      <c r="W127" s="396"/>
      <c r="X127" s="396"/>
    </row>
    <row r="128" spans="2:24" s="302" customFormat="1" ht="12.75">
      <c r="B128" s="327"/>
      <c r="D128" s="328" t="str">
        <f>D979</f>
        <v xml:space="preserve">    777 - Podlahy lité</v>
      </c>
      <c r="J128" s="58"/>
      <c r="K128" s="81">
        <f t="shared" si="1"/>
        <v>0</v>
      </c>
      <c r="N128" s="732">
        <f>N979</f>
        <v>0</v>
      </c>
      <c r="O128" s="733"/>
      <c r="P128" s="733"/>
      <c r="Q128" s="733"/>
      <c r="R128" s="329"/>
      <c r="T128" s="43"/>
      <c r="U128" s="330"/>
      <c r="V128" s="395"/>
      <c r="W128" s="396"/>
      <c r="X128" s="396"/>
    </row>
    <row r="129" spans="2:24" s="302" customFormat="1" ht="12.75">
      <c r="B129" s="327"/>
      <c r="D129" s="328" t="str">
        <f>D990</f>
        <v xml:space="preserve">    781 - Keramické obklady</v>
      </c>
      <c r="J129" s="58"/>
      <c r="K129" s="81">
        <f t="shared" si="1"/>
        <v>0</v>
      </c>
      <c r="N129" s="732">
        <f>N990</f>
        <v>0</v>
      </c>
      <c r="O129" s="733"/>
      <c r="P129" s="733"/>
      <c r="Q129" s="733"/>
      <c r="R129" s="329"/>
      <c r="T129" s="43"/>
      <c r="U129" s="330"/>
      <c r="V129" s="395"/>
      <c r="W129" s="396"/>
      <c r="X129" s="396"/>
    </row>
    <row r="130" spans="2:24" s="302" customFormat="1" ht="12.75">
      <c r="B130" s="327"/>
      <c r="D130" s="328" t="str">
        <f>D1000</f>
        <v xml:space="preserve">    783 - Dokončovací práce - nátěry</v>
      </c>
      <c r="J130" s="58"/>
      <c r="K130" s="81">
        <f t="shared" si="1"/>
        <v>0</v>
      </c>
      <c r="N130" s="732">
        <f>N1000</f>
        <v>0</v>
      </c>
      <c r="O130" s="733"/>
      <c r="P130" s="733"/>
      <c r="Q130" s="733"/>
      <c r="R130" s="329"/>
      <c r="T130" s="43"/>
      <c r="U130" s="330"/>
      <c r="V130" s="395"/>
      <c r="W130" s="396"/>
      <c r="X130" s="396"/>
    </row>
    <row r="131" spans="2:24" s="302" customFormat="1" ht="12.75">
      <c r="B131" s="327"/>
      <c r="D131" s="328" t="str">
        <f>D1017</f>
        <v xml:space="preserve">    784 - Dokončovací práce - malby a tapety</v>
      </c>
      <c r="J131" s="58"/>
      <c r="K131" s="81">
        <f t="shared" si="1"/>
        <v>0</v>
      </c>
      <c r="N131" s="732">
        <f>N1017</f>
        <v>0</v>
      </c>
      <c r="O131" s="733"/>
      <c r="P131" s="733"/>
      <c r="Q131" s="733"/>
      <c r="R131" s="329"/>
      <c r="T131" s="43"/>
      <c r="U131" s="330"/>
      <c r="V131" s="395"/>
      <c r="W131" s="396"/>
      <c r="X131" s="396"/>
    </row>
    <row r="132" spans="2:24" ht="12.75">
      <c r="B132" s="237"/>
      <c r="J132" s="47"/>
      <c r="R132" s="238"/>
      <c r="T132" s="218"/>
      <c r="U132" s="333"/>
    </row>
    <row r="133" spans="2:24" ht="15.75">
      <c r="B133" s="237"/>
      <c r="C133" s="296" t="s">
        <v>95</v>
      </c>
      <c r="D133" s="297"/>
      <c r="E133" s="297"/>
      <c r="F133" s="297"/>
      <c r="G133" s="297"/>
      <c r="H133" s="297"/>
      <c r="I133" s="297"/>
      <c r="J133" s="55"/>
      <c r="K133" s="82">
        <f>L133/$I$85</f>
        <v>0</v>
      </c>
      <c r="L133" s="669">
        <f>ROUND(N87+N106,2)</f>
        <v>0</v>
      </c>
      <c r="M133" s="669"/>
      <c r="N133" s="669"/>
      <c r="O133" s="669"/>
      <c r="P133" s="669"/>
      <c r="Q133" s="669"/>
      <c r="R133" s="238"/>
      <c r="T133" s="217"/>
      <c r="U133" s="333"/>
    </row>
    <row r="134" spans="2:24">
      <c r="B134" s="274"/>
      <c r="C134" s="275"/>
      <c r="D134" s="275"/>
      <c r="E134" s="275"/>
      <c r="F134" s="275"/>
      <c r="G134" s="275"/>
      <c r="H134" s="275"/>
      <c r="I134" s="275"/>
      <c r="J134" s="54"/>
      <c r="K134" s="275"/>
      <c r="L134" s="275"/>
      <c r="M134" s="275"/>
      <c r="N134" s="275"/>
      <c r="O134" s="275"/>
      <c r="P134" s="275"/>
      <c r="Q134" s="275"/>
      <c r="R134" s="276"/>
      <c r="T134" s="217"/>
      <c r="U134" s="333"/>
    </row>
    <row r="135" spans="2:24">
      <c r="T135" s="217"/>
      <c r="U135" s="333"/>
    </row>
    <row r="138" spans="2:24">
      <c r="B138" s="233"/>
      <c r="C138" s="234"/>
      <c r="D138" s="234"/>
      <c r="E138" s="234"/>
      <c r="F138" s="234"/>
      <c r="G138" s="234"/>
      <c r="H138" s="234"/>
      <c r="I138" s="234"/>
      <c r="J138" s="46"/>
      <c r="K138" s="234"/>
      <c r="L138" s="234"/>
      <c r="M138" s="234"/>
      <c r="N138" s="234"/>
      <c r="O138" s="234"/>
      <c r="P138" s="234"/>
      <c r="Q138" s="234"/>
      <c r="R138" s="235"/>
    </row>
    <row r="139" spans="2:24" ht="20.25">
      <c r="B139" s="237"/>
      <c r="C139" s="697" t="s">
        <v>55</v>
      </c>
      <c r="D139" s="671"/>
      <c r="E139" s="671"/>
      <c r="F139" s="671"/>
      <c r="G139" s="671"/>
      <c r="H139" s="671"/>
      <c r="I139" s="671"/>
      <c r="J139" s="671"/>
      <c r="K139" s="671"/>
      <c r="L139" s="671"/>
      <c r="M139" s="671"/>
      <c r="N139" s="671"/>
      <c r="O139" s="671"/>
      <c r="P139" s="671"/>
      <c r="Q139" s="671"/>
      <c r="R139" s="238"/>
    </row>
    <row r="140" spans="2:24" ht="2.25" customHeight="1">
      <c r="B140" s="237"/>
      <c r="J140" s="47"/>
      <c r="R140" s="238"/>
    </row>
    <row r="141" spans="2:24" ht="12">
      <c r="B141" s="237"/>
      <c r="C141" s="239" t="s">
        <v>3</v>
      </c>
      <c r="F141" s="721" t="str">
        <f>F4</f>
        <v>Stavební úpravy, vestavba a přístavba stávajícího objektu</v>
      </c>
      <c r="G141" s="722"/>
      <c r="H141" s="722"/>
      <c r="I141" s="722"/>
      <c r="J141" s="722"/>
      <c r="K141" s="722"/>
      <c r="L141" s="722"/>
      <c r="M141" s="722"/>
      <c r="N141" s="722"/>
      <c r="O141" s="722"/>
      <c r="P141" s="722"/>
      <c r="R141" s="238"/>
    </row>
    <row r="142" spans="2:24" ht="15.75">
      <c r="B142" s="237"/>
      <c r="C142" s="241" t="s">
        <v>39</v>
      </c>
      <c r="F142" s="691" t="str">
        <f>F5</f>
        <v>Stavební úpravy objektu</v>
      </c>
      <c r="G142" s="671"/>
      <c r="H142" s="671"/>
      <c r="I142" s="671"/>
      <c r="J142" s="671"/>
      <c r="K142" s="671"/>
      <c r="L142" s="671"/>
      <c r="M142" s="671"/>
      <c r="N142" s="671"/>
      <c r="O142" s="671"/>
      <c r="P142" s="671"/>
      <c r="R142" s="238"/>
    </row>
    <row r="143" spans="2:24">
      <c r="B143" s="237"/>
      <c r="J143" s="47"/>
      <c r="R143" s="238"/>
    </row>
    <row r="144" spans="2:24" ht="12">
      <c r="B144" s="237"/>
      <c r="C144" s="239" t="s">
        <v>6</v>
      </c>
      <c r="F144" s="240" t="str">
        <f>F7</f>
        <v>Mírové náměstí 23/12, Bílina - p.č. 124, 125/1, 125/2, 125/3, k.ú. Bílina (604208)</v>
      </c>
      <c r="J144" s="47"/>
      <c r="K144" s="239" t="s">
        <v>7</v>
      </c>
      <c r="M144" s="712">
        <f>IF(O7="","",O7)</f>
        <v>0</v>
      </c>
      <c r="N144" s="712"/>
      <c r="O144" s="712"/>
      <c r="P144" s="712"/>
      <c r="R144" s="238"/>
    </row>
    <row r="145" spans="2:25">
      <c r="B145" s="237"/>
      <c r="J145" s="47"/>
      <c r="R145" s="238"/>
    </row>
    <row r="146" spans="2:25" ht="12">
      <c r="B146" s="237"/>
      <c r="C146" s="239" t="s">
        <v>8</v>
      </c>
      <c r="F146" s="240" t="str">
        <f>F82</f>
        <v>město Bílina</v>
      </c>
      <c r="J146" s="47"/>
      <c r="K146" s="239" t="s">
        <v>13</v>
      </c>
      <c r="M146" s="692" t="str">
        <f>E16</f>
        <v>Ing. arch. Bořek Peška</v>
      </c>
      <c r="N146" s="692"/>
      <c r="O146" s="692"/>
      <c r="P146" s="692"/>
      <c r="Q146" s="692"/>
      <c r="R146" s="238"/>
    </row>
    <row r="147" spans="2:25" ht="12">
      <c r="B147" s="237"/>
      <c r="C147" s="239" t="s">
        <v>11</v>
      </c>
      <c r="F147" s="240">
        <f>F83</f>
        <v>0</v>
      </c>
      <c r="J147" s="47"/>
      <c r="K147" s="239" t="s">
        <v>14</v>
      </c>
      <c r="M147" s="692" t="str">
        <f>E19</f>
        <v>Jakub Kulhavý</v>
      </c>
      <c r="N147" s="692"/>
      <c r="O147" s="692"/>
      <c r="P147" s="692"/>
      <c r="Q147" s="692"/>
      <c r="R147" s="238"/>
    </row>
    <row r="148" spans="2:25" ht="12">
      <c r="B148" s="237"/>
      <c r="C148" s="239"/>
      <c r="F148" s="721"/>
      <c r="G148" s="722"/>
      <c r="H148" s="722"/>
      <c r="I148" s="722"/>
      <c r="J148" s="722"/>
      <c r="K148" s="722"/>
      <c r="L148" s="722"/>
      <c r="M148" s="722"/>
      <c r="N148" s="722"/>
      <c r="O148" s="722"/>
      <c r="P148" s="722"/>
      <c r="R148" s="238"/>
    </row>
    <row r="149" spans="2:25" ht="28.5" customHeight="1">
      <c r="B149" s="237"/>
      <c r="C149" s="239" t="s">
        <v>106</v>
      </c>
      <c r="F149" s="690" t="s">
        <v>2047</v>
      </c>
      <c r="G149" s="690"/>
      <c r="H149" s="690"/>
      <c r="I149" s="690"/>
      <c r="J149" s="690"/>
      <c r="K149" s="690"/>
      <c r="L149" s="690"/>
      <c r="M149" s="690"/>
      <c r="N149" s="690"/>
      <c r="O149" s="690"/>
      <c r="P149" s="690"/>
      <c r="R149" s="238"/>
    </row>
    <row r="150" spans="2:25" ht="3.75" customHeight="1">
      <c r="B150" s="237"/>
      <c r="J150" s="47"/>
      <c r="R150" s="238"/>
    </row>
    <row r="151" spans="2:25" s="338" customFormat="1" ht="12">
      <c r="B151" s="334"/>
      <c r="C151" s="335" t="s">
        <v>56</v>
      </c>
      <c r="D151" s="336" t="s">
        <v>57</v>
      </c>
      <c r="E151" s="336" t="s">
        <v>34</v>
      </c>
      <c r="F151" s="723" t="s">
        <v>58</v>
      </c>
      <c r="G151" s="723"/>
      <c r="H151" s="723"/>
      <c r="I151" s="723"/>
      <c r="J151" s="59" t="s">
        <v>59</v>
      </c>
      <c r="K151" s="336" t="s">
        <v>60</v>
      </c>
      <c r="L151" s="724" t="s">
        <v>61</v>
      </c>
      <c r="M151" s="724"/>
      <c r="N151" s="723" t="s">
        <v>42</v>
      </c>
      <c r="O151" s="723"/>
      <c r="P151" s="723"/>
      <c r="Q151" s="725"/>
      <c r="R151" s="337"/>
      <c r="T151" s="44"/>
      <c r="U151" s="339"/>
      <c r="V151" s="397"/>
      <c r="W151" s="397"/>
      <c r="X151" s="397"/>
    </row>
    <row r="152" spans="2:25" ht="15.75">
      <c r="B152" s="237"/>
      <c r="C152" s="285" t="s">
        <v>2486</v>
      </c>
      <c r="J152" s="47"/>
      <c r="N152" s="746">
        <f>N153+N226</f>
        <v>0</v>
      </c>
      <c r="O152" s="747"/>
      <c r="P152" s="747"/>
      <c r="Q152" s="747"/>
      <c r="R152" s="238"/>
      <c r="T152" s="42">
        <f>SUM(N152:Q309)/4</f>
        <v>0</v>
      </c>
    </row>
    <row r="153" spans="2:25" s="341" customFormat="1" ht="15">
      <c r="B153" s="340"/>
      <c r="D153" s="323" t="s">
        <v>43</v>
      </c>
      <c r="E153" s="323"/>
      <c r="F153" s="323"/>
      <c r="G153" s="323"/>
      <c r="H153" s="323"/>
      <c r="I153" s="323"/>
      <c r="J153" s="60"/>
      <c r="K153" s="323"/>
      <c r="L153" s="323"/>
      <c r="M153" s="323"/>
      <c r="N153" s="730">
        <f>N154+N168+N175+N208+N211+N224</f>
        <v>0</v>
      </c>
      <c r="O153" s="730"/>
      <c r="P153" s="730"/>
      <c r="Q153" s="730"/>
      <c r="R153" s="342"/>
      <c r="T153" s="45">
        <f>SUM(N153:Q225)/3</f>
        <v>0</v>
      </c>
      <c r="U153" s="248"/>
      <c r="V153" s="398"/>
      <c r="W153" s="399"/>
      <c r="X153" s="399"/>
    </row>
    <row r="154" spans="2:25" s="341" customFormat="1" ht="12.75">
      <c r="B154" s="340"/>
      <c r="C154" s="344"/>
      <c r="D154" s="344" t="s">
        <v>46</v>
      </c>
      <c r="E154" s="344"/>
      <c r="F154" s="344"/>
      <c r="G154" s="344"/>
      <c r="H154" s="344"/>
      <c r="I154" s="344"/>
      <c r="J154" s="61"/>
      <c r="K154" s="344"/>
      <c r="L154" s="72"/>
      <c r="M154" s="72"/>
      <c r="N154" s="734">
        <f>SUM(N155:Q166)</f>
        <v>0</v>
      </c>
      <c r="O154" s="734"/>
      <c r="P154" s="734"/>
      <c r="Q154" s="734"/>
      <c r="R154" s="342"/>
      <c r="T154" s="62">
        <f>SUM(N154:Q166)/2</f>
        <v>0</v>
      </c>
      <c r="U154" s="352"/>
      <c r="V154" s="400"/>
      <c r="W154" s="401"/>
      <c r="X154" s="401"/>
      <c r="Y154" s="369"/>
    </row>
    <row r="155" spans="2:25" ht="27" customHeight="1" outlineLevel="1">
      <c r="B155" s="237"/>
      <c r="C155" s="345"/>
      <c r="D155" s="345" t="s">
        <v>62</v>
      </c>
      <c r="E155" s="346">
        <v>311236151</v>
      </c>
      <c r="F155" s="719" t="s">
        <v>920</v>
      </c>
      <c r="G155" s="719"/>
      <c r="H155" s="719"/>
      <c r="I155" s="719"/>
      <c r="J155" s="63" t="s">
        <v>63</v>
      </c>
      <c r="K155" s="347">
        <f>SUM(K156:K156)</f>
        <v>1.6</v>
      </c>
      <c r="L155" s="726"/>
      <c r="M155" s="726"/>
      <c r="N155" s="720">
        <f>ROUND(L155*K155,2)</f>
        <v>0</v>
      </c>
      <c r="O155" s="720"/>
      <c r="P155" s="720"/>
      <c r="Q155" s="720"/>
      <c r="R155" s="238"/>
      <c r="T155" s="45"/>
    </row>
    <row r="156" spans="2:25" s="248" customFormat="1" outlineLevel="1">
      <c r="B156" s="247"/>
      <c r="E156" s="349" t="s">
        <v>82</v>
      </c>
      <c r="F156" s="717" t="s">
        <v>2472</v>
      </c>
      <c r="G156" s="718">
        <f>0.8*2+1.08*2.2</f>
        <v>3.9760000000000004</v>
      </c>
      <c r="H156" s="718">
        <f>0.8*2+1.08*2.2</f>
        <v>3.9760000000000004</v>
      </c>
      <c r="I156" s="718">
        <f>0.8*2+1.08*2.2</f>
        <v>3.9760000000000004</v>
      </c>
      <c r="J156" s="64"/>
      <c r="K156" s="350">
        <f>0.8*2</f>
        <v>1.6</v>
      </c>
      <c r="L156" s="196"/>
      <c r="M156" s="196"/>
      <c r="R156" s="249"/>
      <c r="T156" s="45"/>
      <c r="V156" s="402"/>
      <c r="W156" s="42"/>
      <c r="X156" s="42"/>
    </row>
    <row r="157" spans="2:25" ht="27" customHeight="1" outlineLevel="1">
      <c r="B157" s="237"/>
      <c r="C157" s="345"/>
      <c r="D157" s="345" t="s">
        <v>69</v>
      </c>
      <c r="E157" s="346" t="s">
        <v>1954</v>
      </c>
      <c r="F157" s="719" t="s">
        <v>1955</v>
      </c>
      <c r="G157" s="719"/>
      <c r="H157" s="719"/>
      <c r="I157" s="719"/>
      <c r="J157" s="63" t="s">
        <v>63</v>
      </c>
      <c r="K157" s="347">
        <f>SUM(K158:K168)</f>
        <v>17.792279999999998</v>
      </c>
      <c r="L157" s="726"/>
      <c r="M157" s="726"/>
      <c r="N157" s="720">
        <f>ROUND(L157*K157,2)</f>
        <v>0</v>
      </c>
      <c r="O157" s="720"/>
      <c r="P157" s="720"/>
      <c r="Q157" s="720"/>
      <c r="R157" s="238"/>
      <c r="T157" s="45"/>
    </row>
    <row r="158" spans="2:25" s="248" customFormat="1" outlineLevel="1">
      <c r="B158" s="247"/>
      <c r="E158" s="349" t="s">
        <v>83</v>
      </c>
      <c r="F158" s="717" t="s">
        <v>2521</v>
      </c>
      <c r="G158" s="718">
        <f>1.87*2.76+2.5*2+(2.55+2.75)*2*3.75+1.17*2.1</f>
        <v>52.368200000000002</v>
      </c>
      <c r="H158" s="718">
        <f>1.87*2.76+2.5*2+(2.55+2.75)*2*3.75+1.17*2.1</f>
        <v>52.368200000000002</v>
      </c>
      <c r="I158" s="718">
        <f>1.87*2.76+2.5*2+(2.55+2.75)*2*3.75+1.17*2.1</f>
        <v>52.368200000000002</v>
      </c>
      <c r="J158" s="64"/>
      <c r="K158" s="350">
        <f>1.87*2.76</f>
        <v>5.1612</v>
      </c>
      <c r="L158" s="196"/>
      <c r="M158" s="196"/>
      <c r="R158" s="249"/>
      <c r="T158" s="45"/>
      <c r="V158" s="402"/>
      <c r="W158" s="42"/>
      <c r="X158" s="42"/>
    </row>
    <row r="159" spans="2:25" outlineLevel="1">
      <c r="B159" s="237"/>
      <c r="C159" s="345"/>
      <c r="D159" s="345" t="s">
        <v>62</v>
      </c>
      <c r="E159" s="346" t="s">
        <v>941</v>
      </c>
      <c r="F159" s="719" t="s">
        <v>942</v>
      </c>
      <c r="G159" s="719"/>
      <c r="H159" s="719"/>
      <c r="I159" s="719"/>
      <c r="J159" s="63" t="s">
        <v>67</v>
      </c>
      <c r="K159" s="347">
        <f>SUM(K160:K160)</f>
        <v>1</v>
      </c>
      <c r="L159" s="726"/>
      <c r="M159" s="726"/>
      <c r="N159" s="720">
        <f>ROUND(L159*K159,2)</f>
        <v>0</v>
      </c>
      <c r="O159" s="720"/>
      <c r="P159" s="720"/>
      <c r="Q159" s="720"/>
      <c r="R159" s="238"/>
      <c r="T159" s="45"/>
    </row>
    <row r="160" spans="2:25" s="248" customFormat="1" outlineLevel="1">
      <c r="B160" s="247"/>
      <c r="E160" s="349" t="s">
        <v>83</v>
      </c>
      <c r="F160" s="717"/>
      <c r="G160" s="718"/>
      <c r="H160" s="718"/>
      <c r="I160" s="718"/>
      <c r="J160" s="64"/>
      <c r="K160" s="350">
        <v>1</v>
      </c>
      <c r="L160" s="196"/>
      <c r="M160" s="196"/>
      <c r="R160" s="249"/>
      <c r="T160" s="45"/>
      <c r="V160" s="402"/>
      <c r="W160" s="42"/>
      <c r="X160" s="42"/>
    </row>
    <row r="161" spans="2:28" outlineLevel="1">
      <c r="B161" s="237"/>
      <c r="C161" s="345"/>
      <c r="D161" s="345" t="s">
        <v>62</v>
      </c>
      <c r="E161" s="346">
        <v>342244211</v>
      </c>
      <c r="F161" s="719" t="s">
        <v>933</v>
      </c>
      <c r="G161" s="719"/>
      <c r="H161" s="719"/>
      <c r="I161" s="719"/>
      <c r="J161" s="63" t="s">
        <v>63</v>
      </c>
      <c r="K161" s="347">
        <f>SUM(K162:K164)</f>
        <v>4.984</v>
      </c>
      <c r="L161" s="726"/>
      <c r="M161" s="726"/>
      <c r="N161" s="720">
        <f>ROUND(L161*K161,2)</f>
        <v>0</v>
      </c>
      <c r="O161" s="720"/>
      <c r="P161" s="720"/>
      <c r="Q161" s="720"/>
      <c r="R161" s="238"/>
      <c r="T161" s="45"/>
    </row>
    <row r="162" spans="2:28" s="248" customFormat="1" outlineLevel="1">
      <c r="B162" s="247"/>
      <c r="E162" s="349" t="s">
        <v>82</v>
      </c>
      <c r="F162" s="717" t="s">
        <v>2523</v>
      </c>
      <c r="G162" s="718">
        <f>(0.3*2+1.1)*2.1+0.9*2+1.86*3.77+(1.4*2+0.25)*2.1</f>
        <v>18.787200000000002</v>
      </c>
      <c r="H162" s="718">
        <f>(0.3*2+1.1)*2.1+0.9*2+1.86*3.77+(1.4*2+0.25)*2.1</f>
        <v>18.787200000000002</v>
      </c>
      <c r="I162" s="718">
        <f>(0.3*2+1.1)*2.1+0.9*2+1.86*3.77+(1.4*2+0.25)*2.1</f>
        <v>18.787200000000002</v>
      </c>
      <c r="J162" s="64"/>
      <c r="K162" s="350">
        <f>0.9*2</f>
        <v>1.8</v>
      </c>
      <c r="L162" s="196"/>
      <c r="M162" s="196"/>
      <c r="R162" s="249"/>
      <c r="T162" s="45"/>
      <c r="V162" s="402"/>
      <c r="W162" s="42"/>
      <c r="X162" s="42"/>
    </row>
    <row r="163" spans="2:28" s="248" customFormat="1" outlineLevel="1">
      <c r="B163" s="247"/>
      <c r="E163" s="349" t="s">
        <v>83</v>
      </c>
      <c r="F163" s="717" t="s">
        <v>2524</v>
      </c>
      <c r="G163" s="718">
        <f>(0.4+1.35)*3.38+1.06*2.76+(3.165+3.2+0.9+1.5*2)*3.26+(2.685*2+0.9)*2.16</f>
        <v>55.847700000000003</v>
      </c>
      <c r="H163" s="718">
        <f>(0.4+1.35)*3.38+1.06*2.76+(3.165+3.2+0.9+1.5*2)*3.26+(2.685*2+0.9)*2.16</f>
        <v>55.847700000000003</v>
      </c>
      <c r="I163" s="718">
        <f>(0.4+1.35)*3.38+1.06*2.76+(3.165+3.2+0.9+1.5*2)*3.26+(2.685*2+0.9)*2.16</f>
        <v>55.847700000000003</v>
      </c>
      <c r="J163" s="64"/>
      <c r="K163" s="350">
        <f>(1.35)*3.38</f>
        <v>4.5629999999999997</v>
      </c>
      <c r="L163" s="196"/>
      <c r="M163" s="196"/>
      <c r="R163" s="249"/>
      <c r="T163" s="45"/>
      <c r="V163" s="402"/>
      <c r="W163" s="42"/>
      <c r="X163" s="42"/>
    </row>
    <row r="164" spans="2:28" s="248" customFormat="1" outlineLevel="1">
      <c r="B164" s="247"/>
      <c r="E164" s="349" t="s">
        <v>392</v>
      </c>
      <c r="F164" s="717" t="s">
        <v>2525</v>
      </c>
      <c r="G164" s="718" t="e">
        <f>(0.7*1.97*(2+7))*F164</f>
        <v>#VALUE!</v>
      </c>
      <c r="H164" s="718" t="e">
        <f>(0.7*1.97*(2+7))*G164</f>
        <v>#VALUE!</v>
      </c>
      <c r="I164" s="718" t="e">
        <f>(0.7*1.97*(2+7))*H164</f>
        <v>#VALUE!</v>
      </c>
      <c r="J164" s="64">
        <v>-1</v>
      </c>
      <c r="K164" s="350">
        <f>(0.7*1.97)*J164</f>
        <v>-1.379</v>
      </c>
      <c r="L164" s="196"/>
      <c r="M164" s="196"/>
      <c r="R164" s="249"/>
      <c r="T164" s="45"/>
      <c r="V164" s="402"/>
      <c r="W164" s="42"/>
      <c r="X164" s="42"/>
    </row>
    <row r="165" spans="2:28" outlineLevel="1">
      <c r="B165" s="237"/>
      <c r="C165" s="345"/>
      <c r="D165" s="345" t="s">
        <v>62</v>
      </c>
      <c r="E165" s="346">
        <v>317944323</v>
      </c>
      <c r="F165" s="719" t="s">
        <v>393</v>
      </c>
      <c r="G165" s="719"/>
      <c r="H165" s="719"/>
      <c r="I165" s="719"/>
      <c r="J165" s="63" t="s">
        <v>66</v>
      </c>
      <c r="K165" s="347">
        <f>SUM(K166:K167)</f>
        <v>0.33153999999999995</v>
      </c>
      <c r="L165" s="726"/>
      <c r="M165" s="726"/>
      <c r="N165" s="720">
        <f>ROUND(L165*K165,2)</f>
        <v>0</v>
      </c>
      <c r="O165" s="720"/>
      <c r="P165" s="720"/>
      <c r="Q165" s="720"/>
      <c r="R165" s="238"/>
      <c r="T165" s="45"/>
    </row>
    <row r="166" spans="2:28" s="248" customFormat="1" outlineLevel="1">
      <c r="B166" s="247"/>
      <c r="E166" s="349" t="s">
        <v>82</v>
      </c>
      <c r="F166" s="717" t="s">
        <v>2029</v>
      </c>
      <c r="G166" s="718"/>
      <c r="H166" s="718"/>
      <c r="I166" s="718"/>
      <c r="J166" s="64"/>
      <c r="K166" s="350">
        <f>((3*1.9)*10.6+(2.15*2)*18.8+(2.5+3)*22.4)/1000</f>
        <v>0.26445999999999997</v>
      </c>
      <c r="L166" s="196"/>
      <c r="M166" s="196"/>
      <c r="R166" s="249"/>
      <c r="T166" s="45"/>
      <c r="V166" s="402"/>
      <c r="W166" s="42"/>
      <c r="X166" s="42"/>
    </row>
    <row r="167" spans="2:28" s="248" customFormat="1" outlineLevel="1">
      <c r="B167" s="247"/>
      <c r="E167" s="349" t="s">
        <v>83</v>
      </c>
      <c r="F167" s="717" t="s">
        <v>948</v>
      </c>
      <c r="G167" s="718"/>
      <c r="H167" s="718"/>
      <c r="I167" s="718"/>
      <c r="J167" s="64"/>
      <c r="K167" s="350">
        <f>((1.3*2*2)*12.9)/1000</f>
        <v>6.7080000000000001E-2</v>
      </c>
      <c r="L167" s="196"/>
      <c r="M167" s="196"/>
      <c r="R167" s="249"/>
      <c r="T167" s="45"/>
      <c r="V167" s="402"/>
      <c r="W167" s="42"/>
      <c r="X167" s="42"/>
    </row>
    <row r="168" spans="2:28" s="341" customFormat="1" ht="12.75">
      <c r="B168" s="340"/>
      <c r="C168" s="344"/>
      <c r="D168" s="344" t="s">
        <v>950</v>
      </c>
      <c r="E168" s="344"/>
      <c r="F168" s="344"/>
      <c r="G168" s="344"/>
      <c r="H168" s="344"/>
      <c r="I168" s="344"/>
      <c r="J168" s="61"/>
      <c r="K168" s="344"/>
      <c r="L168" s="72"/>
      <c r="M168" s="72"/>
      <c r="N168" s="734">
        <f>SUM(N169:Q174)</f>
        <v>0</v>
      </c>
      <c r="O168" s="734"/>
      <c r="P168" s="734"/>
      <c r="Q168" s="734"/>
      <c r="R168" s="342"/>
      <c r="T168" s="62">
        <f>SUM(N168:Q174)/2</f>
        <v>0</v>
      </c>
      <c r="U168" s="352"/>
      <c r="V168" s="400"/>
      <c r="W168" s="401"/>
      <c r="X168" s="401"/>
      <c r="Y168" s="369"/>
    </row>
    <row r="169" spans="2:28" outlineLevel="1">
      <c r="B169" s="237"/>
      <c r="C169" s="345"/>
      <c r="D169" s="345" t="s">
        <v>62</v>
      </c>
      <c r="E169" s="346">
        <v>434311115</v>
      </c>
      <c r="F169" s="719" t="s">
        <v>1002</v>
      </c>
      <c r="G169" s="719"/>
      <c r="H169" s="719"/>
      <c r="I169" s="719"/>
      <c r="J169" s="63" t="s">
        <v>68</v>
      </c>
      <c r="K169" s="347">
        <f>SUM(K170:K170)</f>
        <v>9.0399999999999991</v>
      </c>
      <c r="L169" s="726"/>
      <c r="M169" s="726"/>
      <c r="N169" s="720">
        <f>ROUND(L169*K169,2)</f>
        <v>0</v>
      </c>
      <c r="O169" s="720"/>
      <c r="P169" s="720"/>
      <c r="Q169" s="720"/>
      <c r="R169" s="238"/>
      <c r="T169" s="45"/>
    </row>
    <row r="170" spans="2:28" s="248" customFormat="1" outlineLevel="1">
      <c r="B170" s="247"/>
      <c r="E170" s="349" t="s">
        <v>1199</v>
      </c>
      <c r="F170" s="717"/>
      <c r="G170" s="718"/>
      <c r="H170" s="718"/>
      <c r="I170" s="718"/>
      <c r="J170" s="64">
        <v>0.28499999999999998</v>
      </c>
      <c r="K170" s="350">
        <f>4*2.26</f>
        <v>9.0399999999999991</v>
      </c>
      <c r="L170" s="196"/>
      <c r="M170" s="196"/>
      <c r="R170" s="249"/>
      <c r="T170" s="45"/>
      <c r="V170" s="402"/>
      <c r="W170" s="42"/>
      <c r="X170" s="42"/>
    </row>
    <row r="171" spans="2:28" outlineLevel="1">
      <c r="B171" s="237"/>
      <c r="C171" s="345"/>
      <c r="D171" s="345" t="s">
        <v>62</v>
      </c>
      <c r="E171" s="346">
        <v>434351141</v>
      </c>
      <c r="F171" s="719" t="s">
        <v>1005</v>
      </c>
      <c r="G171" s="719"/>
      <c r="H171" s="719"/>
      <c r="I171" s="719"/>
      <c r="J171" s="63" t="s">
        <v>63</v>
      </c>
      <c r="K171" s="347">
        <f>SUM(K172:K172)</f>
        <v>1.3559999999999999</v>
      </c>
      <c r="L171" s="726"/>
      <c r="M171" s="726"/>
      <c r="N171" s="720">
        <f>ROUND(L171*K171,2)</f>
        <v>0</v>
      </c>
      <c r="O171" s="720"/>
      <c r="P171" s="720"/>
      <c r="Q171" s="720"/>
      <c r="R171" s="238"/>
      <c r="T171" s="45"/>
    </row>
    <row r="172" spans="2:28" s="248" customFormat="1" outlineLevel="1">
      <c r="B172" s="247"/>
      <c r="E172" s="349" t="s">
        <v>1199</v>
      </c>
      <c r="F172" s="717"/>
      <c r="G172" s="718"/>
      <c r="H172" s="718"/>
      <c r="I172" s="718"/>
      <c r="J172" s="64">
        <v>0.15</v>
      </c>
      <c r="K172" s="350">
        <f>4*2.26*J172</f>
        <v>1.3559999999999999</v>
      </c>
      <c r="L172" s="196"/>
      <c r="M172" s="196"/>
      <c r="R172" s="249"/>
      <c r="T172" s="45"/>
      <c r="V172" s="402"/>
      <c r="W172" s="42"/>
      <c r="X172" s="42"/>
    </row>
    <row r="173" spans="2:28" outlineLevel="1">
      <c r="B173" s="237"/>
      <c r="C173" s="345"/>
      <c r="D173" s="345" t="s">
        <v>62</v>
      </c>
      <c r="E173" s="346">
        <v>434351142</v>
      </c>
      <c r="F173" s="719" t="s">
        <v>1006</v>
      </c>
      <c r="G173" s="719"/>
      <c r="H173" s="719"/>
      <c r="I173" s="719"/>
      <c r="J173" s="63" t="s">
        <v>63</v>
      </c>
      <c r="K173" s="347">
        <f>K171</f>
        <v>1.3559999999999999</v>
      </c>
      <c r="L173" s="726"/>
      <c r="M173" s="726"/>
      <c r="N173" s="720">
        <f>ROUND(L173*K173,2)</f>
        <v>0</v>
      </c>
      <c r="O173" s="720"/>
      <c r="P173" s="720"/>
      <c r="Q173" s="720"/>
      <c r="R173" s="238"/>
      <c r="T173" s="45"/>
    </row>
    <row r="174" spans="2:28" outlineLevel="1">
      <c r="B174" s="237"/>
      <c r="C174" s="345"/>
      <c r="D174" s="345" t="s">
        <v>69</v>
      </c>
      <c r="E174" s="346" t="s">
        <v>1007</v>
      </c>
      <c r="F174" s="719" t="s">
        <v>1008</v>
      </c>
      <c r="G174" s="719"/>
      <c r="H174" s="719"/>
      <c r="I174" s="719"/>
      <c r="J174" s="63" t="s">
        <v>63</v>
      </c>
      <c r="K174" s="347">
        <f>+K170*J170+K171</f>
        <v>3.9323999999999995</v>
      </c>
      <c r="L174" s="726"/>
      <c r="M174" s="726"/>
      <c r="N174" s="720">
        <f>ROUND(L174*K174,2)</f>
        <v>0</v>
      </c>
      <c r="O174" s="720"/>
      <c r="P174" s="720"/>
      <c r="Q174" s="720"/>
      <c r="R174" s="238"/>
      <c r="T174" s="45"/>
    </row>
    <row r="175" spans="2:28" s="341" customFormat="1" ht="12.75">
      <c r="B175" s="340"/>
      <c r="C175" s="344"/>
      <c r="D175" s="344" t="s">
        <v>47</v>
      </c>
      <c r="E175" s="344"/>
      <c r="F175" s="344"/>
      <c r="G175" s="344"/>
      <c r="H175" s="344"/>
      <c r="I175" s="344"/>
      <c r="J175" s="61"/>
      <c r="K175" s="344"/>
      <c r="L175" s="72"/>
      <c r="M175" s="72"/>
      <c r="N175" s="734">
        <f>SUM(N176:Q207)</f>
        <v>0</v>
      </c>
      <c r="O175" s="734"/>
      <c r="P175" s="734"/>
      <c r="Q175" s="734"/>
      <c r="R175" s="342"/>
      <c r="T175" s="45">
        <f>SUM(N175:Q207)/2</f>
        <v>0</v>
      </c>
      <c r="U175" s="248"/>
      <c r="V175" s="398"/>
      <c r="W175" s="399"/>
      <c r="X175" s="399"/>
    </row>
    <row r="176" spans="2:28" ht="27" customHeight="1" outlineLevel="1">
      <c r="B176" s="237"/>
      <c r="C176" s="345"/>
      <c r="D176" s="345" t="s">
        <v>62</v>
      </c>
      <c r="E176" s="346">
        <v>611315418</v>
      </c>
      <c r="F176" s="719" t="s">
        <v>1047</v>
      </c>
      <c r="G176" s="719"/>
      <c r="H176" s="719"/>
      <c r="I176" s="719"/>
      <c r="J176" s="63" t="s">
        <v>63</v>
      </c>
      <c r="K176" s="347">
        <f>SUM(K177:K178)</f>
        <v>154.82</v>
      </c>
      <c r="L176" s="726"/>
      <c r="M176" s="726"/>
      <c r="N176" s="720">
        <f>ROUND(L176*K176,2)</f>
        <v>0</v>
      </c>
      <c r="O176" s="720"/>
      <c r="P176" s="720"/>
      <c r="Q176" s="720"/>
      <c r="R176" s="238"/>
      <c r="T176" s="45"/>
      <c r="U176" s="403"/>
      <c r="V176" s="402"/>
      <c r="W176" s="42"/>
      <c r="X176" s="42"/>
      <c r="Y176" s="248"/>
      <c r="Z176" s="248"/>
      <c r="AA176" s="248"/>
      <c r="AB176" s="248"/>
    </row>
    <row r="177" spans="2:29" s="248" customFormat="1" outlineLevel="1">
      <c r="B177" s="247"/>
      <c r="E177" s="349" t="s">
        <v>633</v>
      </c>
      <c r="F177" s="717" t="s">
        <v>2497</v>
      </c>
      <c r="G177" s="718">
        <f>80.02-14.25+102.21+30.61+62.21-6.91</f>
        <v>253.88999999999996</v>
      </c>
      <c r="H177" s="718">
        <f>80.02-14.25+102.21+30.61+62.21-6.91</f>
        <v>253.88999999999996</v>
      </c>
      <c r="I177" s="718">
        <f>80.02-14.25+102.21+30.61+62.21-6.91</f>
        <v>253.88999999999996</v>
      </c>
      <c r="J177" s="64"/>
      <c r="K177" s="350">
        <f>20+30.61</f>
        <v>50.61</v>
      </c>
      <c r="L177" s="196"/>
      <c r="M177" s="196"/>
      <c r="R177" s="249"/>
      <c r="T177" s="45"/>
      <c r="V177" s="402"/>
      <c r="W177" s="42"/>
      <c r="X177" s="42"/>
    </row>
    <row r="178" spans="2:29" s="248" customFormat="1" ht="11.25" customHeight="1" outlineLevel="1">
      <c r="B178" s="247"/>
      <c r="E178" s="349" t="s">
        <v>634</v>
      </c>
      <c r="F178" s="717" t="s">
        <v>2498</v>
      </c>
      <c r="G178" s="718">
        <f>43.92+156.64+80.64</f>
        <v>281.2</v>
      </c>
      <c r="H178" s="718">
        <f>43.92+156.64+80.64</f>
        <v>281.2</v>
      </c>
      <c r="I178" s="718">
        <f>43.92+156.64+80.64</f>
        <v>281.2</v>
      </c>
      <c r="J178" s="64"/>
      <c r="K178" s="350">
        <f>34+24.54+43.31+2.36</f>
        <v>104.21</v>
      </c>
      <c r="L178" s="196"/>
      <c r="M178" s="196"/>
      <c r="R178" s="249"/>
      <c r="T178" s="45"/>
      <c r="V178" s="402"/>
      <c r="W178" s="42"/>
      <c r="X178" s="42"/>
    </row>
    <row r="179" spans="2:29" ht="27" customHeight="1" outlineLevel="1">
      <c r="B179" s="237"/>
      <c r="C179" s="345"/>
      <c r="D179" s="345" t="s">
        <v>62</v>
      </c>
      <c r="E179" s="346">
        <v>612315418</v>
      </c>
      <c r="F179" s="719" t="s">
        <v>1048</v>
      </c>
      <c r="G179" s="719"/>
      <c r="H179" s="719"/>
      <c r="I179" s="719"/>
      <c r="J179" s="63" t="s">
        <v>63</v>
      </c>
      <c r="K179" s="347">
        <f>SUM(K180:K181)</f>
        <v>318.14800000000002</v>
      </c>
      <c r="L179" s="726"/>
      <c r="M179" s="726"/>
      <c r="N179" s="720">
        <f>ROUND(L179*K179,2)</f>
        <v>0</v>
      </c>
      <c r="O179" s="720"/>
      <c r="P179" s="720"/>
      <c r="Q179" s="720"/>
      <c r="R179" s="238"/>
      <c r="T179" s="45"/>
      <c r="U179" s="403"/>
      <c r="V179" s="402"/>
      <c r="W179" s="42"/>
      <c r="X179" s="42"/>
      <c r="Y179" s="248"/>
      <c r="Z179" s="248"/>
      <c r="AA179" s="248"/>
      <c r="AB179" s="248"/>
    </row>
    <row r="180" spans="2:29" s="248" customFormat="1" outlineLevel="1">
      <c r="B180" s="247"/>
      <c r="E180" s="349" t="s">
        <v>637</v>
      </c>
      <c r="F180" s="717" t="s">
        <v>2455</v>
      </c>
      <c r="G180" s="718">
        <f>(6.66+3.62)*2*3.8+(4.57+6.66)*2*3.8+(4.9+3.7+1.3)*2*3.77+(5.9+3.7+4.7+5.9+6.1+6.6+6.3+3.2+5.6+5.4+4+2.5)*2*3</f>
        <v>597.52200000000005</v>
      </c>
      <c r="H180" s="718">
        <f>(6.66+3.62)*2*3.8+(4.57+6.66)*2*3.8+(4.9+3.7+1.3)*2*3.77+(5.9+3.7+4.7+5.9+6.1+6.6+6.3+3.2+5.6+5.4+4+2.5)*2*3</f>
        <v>597.52200000000005</v>
      </c>
      <c r="I180" s="718">
        <f>(6.66+3.62)*2*3.8+(4.57+6.66)*2*3.8+(4.9+3.7+1.3)*2*3.77+(5.9+3.7+4.7+5.9+6.1+6.6+6.3+3.2+5.6+5.4+4+2.5)*2*3</f>
        <v>597.52200000000005</v>
      </c>
      <c r="J180" s="64"/>
      <c r="K180" s="350">
        <f>(5.6+5.4)*2*3</f>
        <v>66</v>
      </c>
      <c r="L180" s="196"/>
      <c r="M180" s="196"/>
      <c r="R180" s="249"/>
      <c r="T180" s="45"/>
      <c r="V180" s="402"/>
      <c r="W180" s="42"/>
      <c r="X180" s="42"/>
    </row>
    <row r="181" spans="2:29" s="248" customFormat="1" outlineLevel="1">
      <c r="B181" s="247"/>
      <c r="E181" s="349" t="s">
        <v>638</v>
      </c>
      <c r="F181" s="717" t="s">
        <v>2500</v>
      </c>
      <c r="G181" s="718">
        <f>(5.1+5.6+2.95+5.8+5.8+3.8+11.3+1.1)*2*2.76+(4.5+5.1+5+5.2+6.9+6.3+6+3.5+5.9+5.7+3.6+4.1+7.8+1.1)*2*3.38+(3.1+4.2)*2*3.26</f>
        <v>754.33199999999999</v>
      </c>
      <c r="H181" s="718">
        <f>(5.1+5.6+2.95+5.8+5.8+3.8+11.3+1.1)*2*2.76+(4.5+5.1+5+5.2+6.9+6.3+6+3.5+5.9+5.7+3.6+4.1+7.8+1.1)*2*3.38+(3.1+4.2)*2*3.26</f>
        <v>754.33199999999999</v>
      </c>
      <c r="I181" s="718">
        <f>(5.1+5.6+2.95+5.8+5.8+3.8+11.3+1.1)*2*2.76+(4.5+5.1+5+5.2+6.9+6.3+6+3.5+5.9+5.7+3.6+4.1+7.8+1.1)*2*3.38+(3.1+4.2)*2*3.26</f>
        <v>754.33199999999999</v>
      </c>
      <c r="J181" s="64"/>
      <c r="K181" s="350">
        <f>(6.9+6.3+6+3.5+5.9+5.7+1.9+1.1)*2*3.38</f>
        <v>252.14800000000002</v>
      </c>
      <c r="L181" s="196"/>
      <c r="M181" s="196"/>
      <c r="R181" s="249"/>
      <c r="T181" s="45"/>
      <c r="V181" s="42"/>
      <c r="W181" s="42"/>
      <c r="X181" s="42"/>
      <c r="AC181" s="351"/>
    </row>
    <row r="182" spans="2:29" outlineLevel="1">
      <c r="B182" s="237"/>
      <c r="C182" s="345"/>
      <c r="D182" s="345" t="s">
        <v>62</v>
      </c>
      <c r="E182" s="346">
        <v>612311141</v>
      </c>
      <c r="F182" s="719" t="s">
        <v>1052</v>
      </c>
      <c r="G182" s="719"/>
      <c r="H182" s="719"/>
      <c r="I182" s="719"/>
      <c r="J182" s="63" t="s">
        <v>63</v>
      </c>
      <c r="K182" s="347">
        <f>SUM(K183:K184)</f>
        <v>30.960279999999997</v>
      </c>
      <c r="L182" s="726"/>
      <c r="M182" s="726"/>
      <c r="N182" s="720">
        <f>ROUND(L182*K182,2)</f>
        <v>0</v>
      </c>
      <c r="O182" s="720"/>
      <c r="P182" s="720"/>
      <c r="Q182" s="720"/>
      <c r="R182" s="238"/>
      <c r="T182" s="45"/>
      <c r="U182" s="403"/>
      <c r="V182" s="402"/>
      <c r="W182" s="42"/>
    </row>
    <row r="183" spans="2:29" s="248" customFormat="1" outlineLevel="1">
      <c r="B183" s="247"/>
      <c r="E183" s="349" t="s">
        <v>403</v>
      </c>
      <c r="F183" s="717" t="s">
        <v>2296</v>
      </c>
      <c r="G183" s="718">
        <f t="shared" ref="G183:I184" si="2">7.8*4.4-7.35+10.9*0.2+11.2*0.13</f>
        <v>30.605999999999998</v>
      </c>
      <c r="H183" s="718">
        <f t="shared" si="2"/>
        <v>30.605999999999998</v>
      </c>
      <c r="I183" s="718">
        <f t="shared" si="2"/>
        <v>30.605999999999998</v>
      </c>
      <c r="J183" s="64"/>
      <c r="K183" s="350">
        <f>K157</f>
        <v>17.792279999999998</v>
      </c>
      <c r="L183" s="196"/>
      <c r="M183" s="196"/>
      <c r="R183" s="249"/>
      <c r="T183" s="45"/>
      <c r="V183" s="402"/>
      <c r="W183" s="42"/>
      <c r="X183" s="42"/>
    </row>
    <row r="184" spans="2:29" s="248" customFormat="1" outlineLevel="1">
      <c r="B184" s="247"/>
      <c r="E184" s="349" t="s">
        <v>431</v>
      </c>
      <c r="F184" s="717" t="s">
        <v>2297</v>
      </c>
      <c r="G184" s="718">
        <f t="shared" si="2"/>
        <v>30.605999999999998</v>
      </c>
      <c r="H184" s="718">
        <f t="shared" si="2"/>
        <v>30.605999999999998</v>
      </c>
      <c r="I184" s="718">
        <f t="shared" si="2"/>
        <v>30.605999999999998</v>
      </c>
      <c r="J184" s="64"/>
      <c r="K184" s="350">
        <f>(K155+K161)*2</f>
        <v>13.167999999999999</v>
      </c>
      <c r="L184" s="196"/>
      <c r="M184" s="196"/>
      <c r="R184" s="249"/>
      <c r="T184" s="45"/>
      <c r="V184" s="402"/>
      <c r="W184" s="42"/>
      <c r="X184" s="42"/>
    </row>
    <row r="185" spans="2:29" outlineLevel="1">
      <c r="B185" s="237"/>
      <c r="C185" s="345"/>
      <c r="D185" s="345" t="s">
        <v>62</v>
      </c>
      <c r="E185" s="346">
        <v>622325111</v>
      </c>
      <c r="F185" s="719" t="s">
        <v>1053</v>
      </c>
      <c r="G185" s="719"/>
      <c r="H185" s="719"/>
      <c r="I185" s="719"/>
      <c r="J185" s="63" t="s">
        <v>63</v>
      </c>
      <c r="K185" s="347">
        <f>SUM(K186:K187)</f>
        <v>48.15</v>
      </c>
      <c r="L185" s="726"/>
      <c r="M185" s="726"/>
      <c r="N185" s="720">
        <f>ROUND(L185*K185,2)</f>
        <v>0</v>
      </c>
      <c r="O185" s="720"/>
      <c r="P185" s="720"/>
      <c r="Q185" s="720"/>
      <c r="R185" s="238"/>
      <c r="T185" s="45"/>
      <c r="U185" s="403"/>
      <c r="V185" s="402"/>
      <c r="W185" s="42"/>
    </row>
    <row r="186" spans="2:29" s="248" customFormat="1" outlineLevel="1">
      <c r="B186" s="247"/>
      <c r="E186" s="349" t="s">
        <v>1055</v>
      </c>
      <c r="F186" s="717"/>
      <c r="G186" s="718"/>
      <c r="H186" s="718"/>
      <c r="I186" s="718"/>
      <c r="J186" s="64"/>
      <c r="K186" s="350">
        <f>35-(3*2.45)</f>
        <v>27.65</v>
      </c>
      <c r="L186" s="196"/>
      <c r="M186" s="196"/>
      <c r="R186" s="249"/>
      <c r="T186" s="45"/>
      <c r="V186" s="402"/>
      <c r="W186" s="42"/>
      <c r="X186" s="42"/>
    </row>
    <row r="187" spans="2:29" s="248" customFormat="1" outlineLevel="1">
      <c r="B187" s="247"/>
      <c r="E187" s="349" t="s">
        <v>1057</v>
      </c>
      <c r="F187" s="717"/>
      <c r="G187" s="718"/>
      <c r="H187" s="718"/>
      <c r="I187" s="718"/>
      <c r="J187" s="64"/>
      <c r="K187" s="350">
        <v>20.5</v>
      </c>
      <c r="L187" s="196"/>
      <c r="M187" s="196"/>
      <c r="R187" s="249"/>
      <c r="T187" s="45"/>
      <c r="V187" s="402"/>
      <c r="W187" s="42"/>
      <c r="X187" s="42"/>
    </row>
    <row r="188" spans="2:29" outlineLevel="1">
      <c r="B188" s="237"/>
      <c r="C188" s="345"/>
      <c r="D188" s="345" t="s">
        <v>62</v>
      </c>
      <c r="E188" s="346">
        <v>622131121</v>
      </c>
      <c r="F188" s="719" t="s">
        <v>401</v>
      </c>
      <c r="G188" s="719"/>
      <c r="H188" s="719"/>
      <c r="I188" s="719"/>
      <c r="J188" s="63" t="s">
        <v>63</v>
      </c>
      <c r="K188" s="347">
        <f>SUM(K189:K189)</f>
        <v>17.792279999999998</v>
      </c>
      <c r="L188" s="726"/>
      <c r="M188" s="726"/>
      <c r="N188" s="720">
        <f>ROUND(L188*K188,2)</f>
        <v>0</v>
      </c>
      <c r="O188" s="720"/>
      <c r="P188" s="720"/>
      <c r="Q188" s="720"/>
      <c r="R188" s="238"/>
      <c r="T188" s="45"/>
      <c r="U188" s="403"/>
      <c r="V188" s="402"/>
      <c r="W188" s="42"/>
    </row>
    <row r="189" spans="2:29" s="248" customFormat="1" ht="11.25" customHeight="1" outlineLevel="1">
      <c r="B189" s="247"/>
      <c r="E189" s="349" t="s">
        <v>403</v>
      </c>
      <c r="F189" s="717" t="s">
        <v>187</v>
      </c>
      <c r="G189" s="718">
        <f>7.8*4.4-7.35+10.9*0.2+11.2*0.13</f>
        <v>30.605999999999998</v>
      </c>
      <c r="H189" s="718">
        <f>7.8*4.4-7.35+10.9*0.2+11.2*0.13</f>
        <v>30.605999999999998</v>
      </c>
      <c r="I189" s="718">
        <f>7.8*4.4-7.35+10.9*0.2+11.2*0.13</f>
        <v>30.605999999999998</v>
      </c>
      <c r="J189" s="64"/>
      <c r="K189" s="350">
        <f>K183</f>
        <v>17.792279999999998</v>
      </c>
      <c r="L189" s="196"/>
      <c r="M189" s="196"/>
      <c r="R189" s="249"/>
      <c r="T189" s="45"/>
      <c r="V189" s="402"/>
      <c r="W189" s="42"/>
      <c r="X189" s="42"/>
    </row>
    <row r="190" spans="2:29" outlineLevel="1">
      <c r="B190" s="237"/>
      <c r="C190" s="345"/>
      <c r="D190" s="345" t="s">
        <v>62</v>
      </c>
      <c r="E190" s="346">
        <v>622811002</v>
      </c>
      <c r="F190" s="719" t="s">
        <v>1058</v>
      </c>
      <c r="G190" s="719"/>
      <c r="H190" s="719"/>
      <c r="I190" s="719"/>
      <c r="J190" s="63" t="s">
        <v>63</v>
      </c>
      <c r="K190" s="347">
        <f>SUM(K191:K191)</f>
        <v>17.792279999999998</v>
      </c>
      <c r="L190" s="726"/>
      <c r="M190" s="726"/>
      <c r="N190" s="720">
        <f>ROUND(L190*K190,2)</f>
        <v>0</v>
      </c>
      <c r="O190" s="720"/>
      <c r="P190" s="720"/>
      <c r="Q190" s="720"/>
      <c r="R190" s="238"/>
      <c r="T190" s="45"/>
      <c r="U190" s="403"/>
      <c r="V190" s="402"/>
      <c r="W190" s="42"/>
    </row>
    <row r="191" spans="2:29" s="248" customFormat="1" outlineLevel="1">
      <c r="B191" s="247"/>
      <c r="E191" s="349" t="s">
        <v>403</v>
      </c>
      <c r="F191" s="717" t="s">
        <v>239</v>
      </c>
      <c r="G191" s="718"/>
      <c r="H191" s="718"/>
      <c r="I191" s="718"/>
      <c r="J191" s="64"/>
      <c r="K191" s="350">
        <f>K189</f>
        <v>17.792279999999998</v>
      </c>
      <c r="L191" s="196"/>
      <c r="M191" s="196"/>
      <c r="R191" s="249"/>
      <c r="T191" s="45"/>
      <c r="V191" s="402"/>
      <c r="W191" s="42"/>
      <c r="X191" s="42"/>
    </row>
    <row r="192" spans="2:29" outlineLevel="1">
      <c r="B192" s="237"/>
      <c r="C192" s="345"/>
      <c r="D192" s="345" t="s">
        <v>62</v>
      </c>
      <c r="E192" s="346" t="s">
        <v>1059</v>
      </c>
      <c r="F192" s="719" t="s">
        <v>1060</v>
      </c>
      <c r="G192" s="719"/>
      <c r="H192" s="719"/>
      <c r="I192" s="719"/>
      <c r="J192" s="63" t="s">
        <v>63</v>
      </c>
      <c r="K192" s="347">
        <f>SUM(K193:K193)</f>
        <v>17.792279999999998</v>
      </c>
      <c r="L192" s="726"/>
      <c r="M192" s="726"/>
      <c r="N192" s="720">
        <f>ROUND(L192*K192,2)</f>
        <v>0</v>
      </c>
      <c r="O192" s="720"/>
      <c r="P192" s="720"/>
      <c r="Q192" s="720"/>
      <c r="R192" s="238"/>
      <c r="T192" s="45"/>
      <c r="U192" s="403"/>
      <c r="V192" s="402"/>
      <c r="W192" s="42"/>
    </row>
    <row r="193" spans="2:24" s="248" customFormat="1" outlineLevel="1">
      <c r="B193" s="247"/>
      <c r="E193" s="349" t="s">
        <v>403</v>
      </c>
      <c r="F193" s="717" t="s">
        <v>239</v>
      </c>
      <c r="G193" s="718"/>
      <c r="H193" s="718"/>
      <c r="I193" s="718"/>
      <c r="J193" s="64"/>
      <c r="K193" s="350">
        <f>K191</f>
        <v>17.792279999999998</v>
      </c>
      <c r="L193" s="196"/>
      <c r="M193" s="196"/>
      <c r="R193" s="249"/>
      <c r="T193" s="45"/>
      <c r="V193" s="402"/>
      <c r="W193" s="42"/>
      <c r="X193" s="42"/>
    </row>
    <row r="194" spans="2:24" outlineLevel="1">
      <c r="B194" s="237"/>
      <c r="C194" s="345"/>
      <c r="D194" s="345" t="s">
        <v>62</v>
      </c>
      <c r="E194" s="346">
        <v>622381002</v>
      </c>
      <c r="F194" s="719" t="s">
        <v>1061</v>
      </c>
      <c r="G194" s="719"/>
      <c r="H194" s="719"/>
      <c r="I194" s="719"/>
      <c r="J194" s="63" t="s">
        <v>63</v>
      </c>
      <c r="K194" s="347">
        <f>SUM(K195:K195)</f>
        <v>17.792279999999998</v>
      </c>
      <c r="L194" s="726"/>
      <c r="M194" s="726"/>
      <c r="N194" s="720">
        <f>ROUND(L194*K194,2)</f>
        <v>0</v>
      </c>
      <c r="O194" s="720"/>
      <c r="P194" s="720"/>
      <c r="Q194" s="720"/>
      <c r="R194" s="238"/>
      <c r="T194" s="45"/>
      <c r="U194" s="403"/>
      <c r="V194" s="402"/>
      <c r="W194" s="42"/>
    </row>
    <row r="195" spans="2:24" s="248" customFormat="1" outlineLevel="1">
      <c r="B195" s="247"/>
      <c r="E195" s="349" t="s">
        <v>403</v>
      </c>
      <c r="F195" s="717" t="s">
        <v>239</v>
      </c>
      <c r="G195" s="718"/>
      <c r="H195" s="718"/>
      <c r="I195" s="718"/>
      <c r="J195" s="64"/>
      <c r="K195" s="350">
        <f>K193</f>
        <v>17.792279999999998</v>
      </c>
      <c r="L195" s="196"/>
      <c r="M195" s="196"/>
      <c r="R195" s="249"/>
      <c r="T195" s="45"/>
      <c r="V195" s="402"/>
      <c r="W195" s="42"/>
      <c r="X195" s="42"/>
    </row>
    <row r="196" spans="2:24" outlineLevel="1">
      <c r="B196" s="237"/>
      <c r="C196" s="345"/>
      <c r="D196" s="345" t="s">
        <v>62</v>
      </c>
      <c r="E196" s="346">
        <v>632481213</v>
      </c>
      <c r="F196" s="719" t="s">
        <v>406</v>
      </c>
      <c r="G196" s="719"/>
      <c r="H196" s="719"/>
      <c r="I196" s="719"/>
      <c r="J196" s="63" t="s">
        <v>63</v>
      </c>
      <c r="K196" s="347">
        <f>SUM(K197:K198)</f>
        <v>52.97</v>
      </c>
      <c r="L196" s="726"/>
      <c r="M196" s="726"/>
      <c r="N196" s="720">
        <f>ROUND(L196*K196,2)</f>
        <v>0</v>
      </c>
      <c r="O196" s="720"/>
      <c r="P196" s="720"/>
      <c r="Q196" s="720"/>
      <c r="R196" s="238"/>
      <c r="T196" s="45"/>
      <c r="U196" s="403"/>
      <c r="V196" s="402"/>
      <c r="W196" s="42"/>
    </row>
    <row r="197" spans="2:24" s="248" customFormat="1" outlineLevel="1">
      <c r="B197" s="247"/>
      <c r="E197" s="349" t="s">
        <v>1068</v>
      </c>
      <c r="F197" s="717" t="s">
        <v>110</v>
      </c>
      <c r="G197" s="718"/>
      <c r="H197" s="718"/>
      <c r="I197" s="718"/>
      <c r="J197" s="64">
        <v>1</v>
      </c>
      <c r="K197" s="350">
        <f>20+30.61</f>
        <v>50.61</v>
      </c>
      <c r="L197" s="196"/>
      <c r="M197" s="196"/>
      <c r="R197" s="249"/>
      <c r="T197" s="45"/>
      <c r="V197" s="402"/>
      <c r="W197" s="42"/>
      <c r="X197" s="42"/>
    </row>
    <row r="198" spans="2:24" s="248" customFormat="1" ht="11.25" customHeight="1" outlineLevel="1">
      <c r="B198" s="247"/>
      <c r="E198" s="349" t="s">
        <v>1070</v>
      </c>
      <c r="F198" s="717" t="s">
        <v>110</v>
      </c>
      <c r="G198" s="718"/>
      <c r="H198" s="718"/>
      <c r="I198" s="718"/>
      <c r="J198" s="64">
        <v>1</v>
      </c>
      <c r="K198" s="350">
        <f>2.36</f>
        <v>2.36</v>
      </c>
      <c r="L198" s="196"/>
      <c r="M198" s="196"/>
      <c r="R198" s="249"/>
      <c r="T198" s="45"/>
      <c r="V198" s="402"/>
      <c r="W198" s="42"/>
      <c r="X198" s="42"/>
    </row>
    <row r="199" spans="2:24" ht="27" customHeight="1" outlineLevel="1">
      <c r="B199" s="237"/>
      <c r="C199" s="345"/>
      <c r="D199" s="345" t="s">
        <v>62</v>
      </c>
      <c r="E199" s="346">
        <v>631311115</v>
      </c>
      <c r="F199" s="719" t="s">
        <v>240</v>
      </c>
      <c r="G199" s="719"/>
      <c r="H199" s="719"/>
      <c r="I199" s="719"/>
      <c r="J199" s="63" t="s">
        <v>64</v>
      </c>
      <c r="K199" s="347">
        <f>SUM(K200:K203)</f>
        <v>3.3497000000000003</v>
      </c>
      <c r="L199" s="726"/>
      <c r="M199" s="726"/>
      <c r="N199" s="720">
        <f>ROUND(L199*K199,2)</f>
        <v>0</v>
      </c>
      <c r="O199" s="720"/>
      <c r="P199" s="720"/>
      <c r="Q199" s="720"/>
      <c r="R199" s="238"/>
      <c r="T199" s="45"/>
      <c r="U199" s="403"/>
      <c r="V199" s="402"/>
      <c r="W199" s="42"/>
    </row>
    <row r="200" spans="2:24" s="375" customFormat="1" ht="11.25" customHeight="1" outlineLevel="1">
      <c r="B200" s="404"/>
      <c r="E200" s="768" t="s">
        <v>1075</v>
      </c>
      <c r="F200" s="768"/>
      <c r="G200" s="768"/>
      <c r="H200" s="768"/>
      <c r="I200" s="768"/>
      <c r="J200" s="146"/>
      <c r="K200" s="405"/>
      <c r="L200" s="198"/>
      <c r="M200" s="198"/>
      <c r="R200" s="406"/>
      <c r="T200" s="144"/>
      <c r="V200" s="407"/>
      <c r="W200" s="408"/>
      <c r="X200" s="408"/>
    </row>
    <row r="201" spans="2:24" s="248" customFormat="1" ht="11.25" customHeight="1" outlineLevel="1">
      <c r="B201" s="247"/>
      <c r="E201" s="349" t="s">
        <v>1070</v>
      </c>
      <c r="F201" s="717" t="s">
        <v>110</v>
      </c>
      <c r="G201" s="718"/>
      <c r="H201" s="718"/>
      <c r="I201" s="718"/>
      <c r="J201" s="64">
        <v>0.05</v>
      </c>
      <c r="K201" s="350">
        <f>(3.03+4.4+7.62+6.73+2.36)*J201</f>
        <v>1.2070000000000001</v>
      </c>
      <c r="L201" s="196"/>
      <c r="M201" s="196"/>
      <c r="R201" s="249"/>
      <c r="T201" s="45"/>
      <c r="V201" s="402"/>
      <c r="W201" s="42"/>
      <c r="X201" s="42"/>
    </row>
    <row r="202" spans="2:24" s="375" customFormat="1" ht="11.25" customHeight="1" outlineLevel="1">
      <c r="B202" s="404"/>
      <c r="E202" s="768" t="s">
        <v>1076</v>
      </c>
      <c r="F202" s="768"/>
      <c r="G202" s="768"/>
      <c r="H202" s="768"/>
      <c r="I202" s="768"/>
      <c r="J202" s="146"/>
      <c r="K202" s="405"/>
      <c r="L202" s="198"/>
      <c r="M202" s="198"/>
      <c r="R202" s="406"/>
      <c r="T202" s="144"/>
      <c r="V202" s="407"/>
      <c r="W202" s="408"/>
      <c r="X202" s="408"/>
    </row>
    <row r="203" spans="2:24" s="248" customFormat="1" outlineLevel="1">
      <c r="B203" s="247"/>
      <c r="E203" s="349" t="s">
        <v>1068</v>
      </c>
      <c r="F203" s="717" t="s">
        <v>110</v>
      </c>
      <c r="G203" s="718"/>
      <c r="H203" s="718"/>
      <c r="I203" s="718"/>
      <c r="J203" s="64">
        <v>7.0000000000000007E-2</v>
      </c>
      <c r="K203" s="350">
        <f>(30.61)*J203</f>
        <v>2.1427</v>
      </c>
      <c r="L203" s="196"/>
      <c r="M203" s="196"/>
      <c r="R203" s="249"/>
      <c r="T203" s="45"/>
      <c r="V203" s="402"/>
      <c r="W203" s="42"/>
      <c r="X203" s="42"/>
    </row>
    <row r="204" spans="2:24" outlineLevel="1">
      <c r="B204" s="237"/>
      <c r="C204" s="345"/>
      <c r="D204" s="345" t="s">
        <v>62</v>
      </c>
      <c r="E204" s="346">
        <v>631319232</v>
      </c>
      <c r="F204" s="719" t="s">
        <v>241</v>
      </c>
      <c r="G204" s="719"/>
      <c r="H204" s="719"/>
      <c r="I204" s="719"/>
      <c r="J204" s="63" t="s">
        <v>64</v>
      </c>
      <c r="K204" s="347">
        <f>SUM(K203:K203)</f>
        <v>2.1427</v>
      </c>
      <c r="L204" s="726"/>
      <c r="M204" s="726"/>
      <c r="N204" s="720">
        <f>ROUND(L204*K204,2)</f>
        <v>0</v>
      </c>
      <c r="O204" s="720"/>
      <c r="P204" s="720"/>
      <c r="Q204" s="720"/>
      <c r="R204" s="238"/>
      <c r="T204" s="45"/>
      <c r="U204" s="403"/>
      <c r="V204" s="402"/>
      <c r="W204" s="42"/>
    </row>
    <row r="205" spans="2:24" outlineLevel="1">
      <c r="B205" s="237"/>
      <c r="C205" s="345"/>
      <c r="D205" s="345" t="s">
        <v>62</v>
      </c>
      <c r="E205" s="346">
        <v>985113131</v>
      </c>
      <c r="F205" s="719" t="s">
        <v>1077</v>
      </c>
      <c r="G205" s="719"/>
      <c r="H205" s="719"/>
      <c r="I205" s="719"/>
      <c r="J205" s="63" t="s">
        <v>63</v>
      </c>
      <c r="K205" s="347">
        <f>K174</f>
        <v>3.9323999999999995</v>
      </c>
      <c r="L205" s="726"/>
      <c r="M205" s="726"/>
      <c r="N205" s="720">
        <f>ROUND(L205*K205,2)</f>
        <v>0</v>
      </c>
      <c r="O205" s="720"/>
      <c r="P205" s="720"/>
      <c r="Q205" s="720"/>
      <c r="R205" s="238"/>
      <c r="T205" s="45"/>
      <c r="U205" s="403"/>
      <c r="V205" s="402"/>
      <c r="W205" s="42"/>
    </row>
    <row r="206" spans="2:24" outlineLevel="1">
      <c r="B206" s="237"/>
      <c r="C206" s="345"/>
      <c r="D206" s="345" t="s">
        <v>62</v>
      </c>
      <c r="E206" s="346">
        <v>631362021</v>
      </c>
      <c r="F206" s="719" t="s">
        <v>409</v>
      </c>
      <c r="G206" s="719"/>
      <c r="H206" s="719"/>
      <c r="I206" s="719"/>
      <c r="J206" s="63" t="s">
        <v>66</v>
      </c>
      <c r="K206" s="347">
        <f>SUM(K207:K207)</f>
        <v>8.6903999999999995E-2</v>
      </c>
      <c r="L206" s="726"/>
      <c r="M206" s="726"/>
      <c r="N206" s="720">
        <f>ROUND(L206*K206,2)</f>
        <v>0</v>
      </c>
      <c r="O206" s="720"/>
      <c r="P206" s="720"/>
      <c r="Q206" s="720"/>
      <c r="R206" s="238"/>
      <c r="T206" s="45"/>
      <c r="U206" s="403"/>
      <c r="V206" s="402"/>
      <c r="W206" s="42"/>
    </row>
    <row r="207" spans="2:24" s="248" customFormat="1" ht="11.25" customHeight="1" outlineLevel="1">
      <c r="B207" s="247"/>
      <c r="E207" s="349" t="s">
        <v>1070</v>
      </c>
      <c r="F207" s="717" t="s">
        <v>110</v>
      </c>
      <c r="G207" s="718"/>
      <c r="H207" s="718"/>
      <c r="I207" s="718"/>
      <c r="J207" s="64">
        <v>3.5999999999999999E-3</v>
      </c>
      <c r="K207" s="350">
        <f>(3.03+4.4+7.62+6.73+2.36)*J207</f>
        <v>8.6903999999999995E-2</v>
      </c>
      <c r="L207" s="196"/>
      <c r="M207" s="196"/>
      <c r="R207" s="249"/>
      <c r="T207" s="45"/>
      <c r="V207" s="402"/>
      <c r="W207" s="42"/>
      <c r="X207" s="42"/>
    </row>
    <row r="208" spans="2:24" s="341" customFormat="1" ht="12.75">
      <c r="B208" s="340"/>
      <c r="C208" s="344"/>
      <c r="D208" s="344" t="s">
        <v>98</v>
      </c>
      <c r="E208" s="344"/>
      <c r="F208" s="344"/>
      <c r="G208" s="344"/>
      <c r="H208" s="344"/>
      <c r="I208" s="344"/>
      <c r="J208" s="61"/>
      <c r="K208" s="344"/>
      <c r="L208" s="72"/>
      <c r="M208" s="72"/>
      <c r="N208" s="734">
        <f>SUM(N209:Q210)</f>
        <v>0</v>
      </c>
      <c r="O208" s="734"/>
      <c r="P208" s="734"/>
      <c r="Q208" s="734"/>
      <c r="R208" s="342"/>
      <c r="T208" s="45">
        <f>SUM(N208:Q210)/2</f>
        <v>0</v>
      </c>
      <c r="U208" s="248"/>
      <c r="V208" s="398"/>
      <c r="W208" s="399"/>
      <c r="X208" s="399"/>
    </row>
    <row r="209" spans="2:24" outlineLevel="1">
      <c r="B209" s="237"/>
      <c r="C209" s="345"/>
      <c r="D209" s="345" t="s">
        <v>62</v>
      </c>
      <c r="E209" s="346">
        <v>629991011</v>
      </c>
      <c r="F209" s="719" t="s">
        <v>159</v>
      </c>
      <c r="G209" s="719"/>
      <c r="H209" s="719"/>
      <c r="I209" s="719"/>
      <c r="J209" s="63" t="s">
        <v>63</v>
      </c>
      <c r="K209" s="347">
        <f>SUM(K210:K210)</f>
        <v>25.164000000000001</v>
      </c>
      <c r="L209" s="726"/>
      <c r="M209" s="726"/>
      <c r="N209" s="720">
        <f>ROUND(L209*K209,2)</f>
        <v>0</v>
      </c>
      <c r="O209" s="720"/>
      <c r="P209" s="720"/>
      <c r="Q209" s="720"/>
      <c r="R209" s="238"/>
      <c r="T209" s="45"/>
    </row>
    <row r="210" spans="2:24" s="248" customFormat="1" ht="22.5" outlineLevel="1">
      <c r="B210" s="247"/>
      <c r="E210" s="349" t="s">
        <v>160</v>
      </c>
      <c r="F210" s="717" t="s">
        <v>2473</v>
      </c>
      <c r="G210" s="718" t="e">
        <f>(2.85*2.05+1.6*2.3+1.7*2.05+1.6*2.05+2.23*1.65+3.06*2.45+1.6*2.91+3.06*2.45+2.26*2.25+6.23*3+1*1.67*3+1.06*1.7+1.16*1.7+1.1*1.7+1.25*1.85*4+0.65*1.8*2+1.17*1.8+1*1.37*4+1*1.87+1.06*1.8*7)*F210</f>
        <v>#VALUE!</v>
      </c>
      <c r="H210" s="718" t="e">
        <f>(2.85*2.05+1.6*2.3+1.7*2.05+1.6*2.05+2.23*1.65+3.06*2.45+1.6*2.91+3.06*2.45+2.26*2.25+6.23*3+1*1.67*3+1.06*1.7+1.16*1.7+1.1*1.7+1.25*1.85*4+0.65*1.8*2+1.17*1.8+1*1.37*4+1*1.87+1.06*1.8*7)*G210</f>
        <v>#VALUE!</v>
      </c>
      <c r="I210" s="718" t="e">
        <f>(2.85*2.05+1.6*2.3+1.7*2.05+1.6*2.05+2.23*1.65+3.06*2.45+1.6*2.91+3.06*2.45+2.26*2.25+6.23*3+1*1.67*3+1.06*1.7+1.16*1.7+1.1*1.7+1.25*1.85*4+0.65*1.8*2+1.17*1.8+1*1.37*4+1*1.87+1.06*1.8*7)*H210</f>
        <v>#VALUE!</v>
      </c>
      <c r="J210" s="64">
        <v>2</v>
      </c>
      <c r="K210" s="350">
        <f>(3.06*2.45+2.26*2.25)*J210</f>
        <v>25.164000000000001</v>
      </c>
      <c r="L210" s="196"/>
      <c r="M210" s="196"/>
      <c r="R210" s="249"/>
      <c r="T210" s="45"/>
      <c r="V210" s="402"/>
      <c r="W210" s="42"/>
      <c r="X210" s="42"/>
    </row>
    <row r="211" spans="2:24" s="341" customFormat="1" ht="12.75">
      <c r="B211" s="340"/>
      <c r="C211" s="344"/>
      <c r="D211" s="344" t="s">
        <v>74</v>
      </c>
      <c r="E211" s="344"/>
      <c r="F211" s="344"/>
      <c r="G211" s="344"/>
      <c r="H211" s="344"/>
      <c r="I211" s="344"/>
      <c r="J211" s="61"/>
      <c r="K211" s="344"/>
      <c r="L211" s="72"/>
      <c r="M211" s="72"/>
      <c r="N211" s="734">
        <f>SUM(N212:Q223)</f>
        <v>0</v>
      </c>
      <c r="O211" s="734"/>
      <c r="P211" s="734"/>
      <c r="Q211" s="734"/>
      <c r="R211" s="342"/>
      <c r="T211" s="45">
        <f>SUM(N211:Q223)/2</f>
        <v>0</v>
      </c>
      <c r="U211" s="248"/>
      <c r="V211" s="398"/>
      <c r="W211" s="399"/>
      <c r="X211" s="399"/>
    </row>
    <row r="212" spans="2:24" outlineLevel="1">
      <c r="B212" s="237"/>
      <c r="C212" s="345"/>
      <c r="D212" s="345" t="s">
        <v>62</v>
      </c>
      <c r="E212" s="346">
        <v>949101111</v>
      </c>
      <c r="F212" s="719" t="s">
        <v>161</v>
      </c>
      <c r="G212" s="719"/>
      <c r="H212" s="719"/>
      <c r="I212" s="719"/>
      <c r="J212" s="63" t="s">
        <v>63</v>
      </c>
      <c r="K212" s="347">
        <f>K213</f>
        <v>30.61</v>
      </c>
      <c r="L212" s="726"/>
      <c r="M212" s="726"/>
      <c r="N212" s="720">
        <f>ROUND(L212*K212,2)</f>
        <v>0</v>
      </c>
      <c r="O212" s="720"/>
      <c r="P212" s="720"/>
      <c r="Q212" s="720"/>
      <c r="R212" s="238"/>
      <c r="T212" s="45"/>
    </row>
    <row r="213" spans="2:24" s="248" customFormat="1" ht="22.5" outlineLevel="1">
      <c r="B213" s="247"/>
      <c r="E213" s="349" t="s">
        <v>162</v>
      </c>
      <c r="F213" s="717"/>
      <c r="G213" s="718"/>
      <c r="H213" s="718"/>
      <c r="I213" s="718"/>
      <c r="J213" s="64"/>
      <c r="K213" s="350">
        <f>30.61</f>
        <v>30.61</v>
      </c>
      <c r="L213" s="196"/>
      <c r="M213" s="196"/>
      <c r="R213" s="249"/>
      <c r="T213" s="45"/>
      <c r="V213" s="402"/>
      <c r="W213" s="42"/>
      <c r="X213" s="42"/>
    </row>
    <row r="214" spans="2:24" outlineLevel="1">
      <c r="B214" s="237"/>
      <c r="C214" s="345"/>
      <c r="D214" s="345" t="s">
        <v>62</v>
      </c>
      <c r="E214" s="346">
        <v>941311111</v>
      </c>
      <c r="F214" s="719" t="s">
        <v>111</v>
      </c>
      <c r="G214" s="719"/>
      <c r="H214" s="719"/>
      <c r="I214" s="719"/>
      <c r="J214" s="63" t="s">
        <v>63</v>
      </c>
      <c r="K214" s="347">
        <f>K215</f>
        <v>48.15</v>
      </c>
      <c r="L214" s="726"/>
      <c r="M214" s="726"/>
      <c r="N214" s="720">
        <f>ROUND(L214*K214,2)</f>
        <v>0</v>
      </c>
      <c r="O214" s="720"/>
      <c r="P214" s="720"/>
      <c r="Q214" s="720"/>
      <c r="R214" s="238"/>
      <c r="T214" s="45"/>
    </row>
    <row r="215" spans="2:24" s="248" customFormat="1" outlineLevel="1">
      <c r="B215" s="247"/>
      <c r="E215" s="349" t="s">
        <v>122</v>
      </c>
      <c r="F215" s="717" t="s">
        <v>187</v>
      </c>
      <c r="G215" s="718" t="e">
        <f>42*F215</f>
        <v>#VALUE!</v>
      </c>
      <c r="H215" s="718" t="e">
        <f>42*G215</f>
        <v>#VALUE!</v>
      </c>
      <c r="I215" s="718" t="e">
        <f>42*H215</f>
        <v>#VALUE!</v>
      </c>
      <c r="J215" s="64"/>
      <c r="K215" s="350">
        <f>K185</f>
        <v>48.15</v>
      </c>
      <c r="L215" s="196"/>
      <c r="M215" s="196"/>
      <c r="R215" s="249"/>
      <c r="T215" s="45"/>
      <c r="V215" s="402"/>
      <c r="W215" s="42"/>
      <c r="X215" s="42"/>
    </row>
    <row r="216" spans="2:24" ht="27" customHeight="1" outlineLevel="1">
      <c r="B216" s="237"/>
      <c r="C216" s="345"/>
      <c r="D216" s="345" t="s">
        <v>62</v>
      </c>
      <c r="E216" s="346">
        <v>941311211</v>
      </c>
      <c r="F216" s="719" t="s">
        <v>112</v>
      </c>
      <c r="G216" s="719"/>
      <c r="H216" s="719"/>
      <c r="I216" s="719"/>
      <c r="J216" s="63" t="s">
        <v>63</v>
      </c>
      <c r="K216" s="347">
        <f>K217</f>
        <v>2889</v>
      </c>
      <c r="L216" s="726"/>
      <c r="M216" s="726"/>
      <c r="N216" s="720">
        <f>ROUND(L216*K216,2)</f>
        <v>0</v>
      </c>
      <c r="O216" s="720"/>
      <c r="P216" s="720"/>
      <c r="Q216" s="720"/>
      <c r="R216" s="238"/>
      <c r="T216" s="45"/>
    </row>
    <row r="217" spans="2:24" s="248" customFormat="1" outlineLevel="1">
      <c r="B217" s="247"/>
      <c r="E217" s="349" t="s">
        <v>0</v>
      </c>
      <c r="F217" s="717" t="s">
        <v>2299</v>
      </c>
      <c r="G217" s="718"/>
      <c r="H217" s="718"/>
      <c r="I217" s="718"/>
      <c r="J217" s="64">
        <v>60</v>
      </c>
      <c r="K217" s="350">
        <f>K214*J217</f>
        <v>2889</v>
      </c>
      <c r="L217" s="196"/>
      <c r="M217" s="196"/>
      <c r="R217" s="249"/>
      <c r="T217" s="45"/>
      <c r="V217" s="402"/>
      <c r="W217" s="42"/>
      <c r="X217" s="42"/>
    </row>
    <row r="218" spans="2:24" outlineLevel="1">
      <c r="B218" s="237"/>
      <c r="C218" s="345"/>
      <c r="D218" s="345" t="s">
        <v>62</v>
      </c>
      <c r="E218" s="346" t="s">
        <v>84</v>
      </c>
      <c r="F218" s="719" t="s">
        <v>85</v>
      </c>
      <c r="G218" s="719"/>
      <c r="H218" s="719"/>
      <c r="I218" s="719"/>
      <c r="J218" s="63" t="s">
        <v>63</v>
      </c>
      <c r="K218" s="347">
        <f>K219</f>
        <v>48.15</v>
      </c>
      <c r="L218" s="726"/>
      <c r="M218" s="726"/>
      <c r="N218" s="720">
        <f>ROUND(L218*K218,2)</f>
        <v>0</v>
      </c>
      <c r="O218" s="720"/>
      <c r="P218" s="720"/>
      <c r="Q218" s="720"/>
      <c r="R218" s="238"/>
      <c r="T218" s="45"/>
    </row>
    <row r="219" spans="2:24" s="248" customFormat="1" outlineLevel="1">
      <c r="B219" s="247"/>
      <c r="E219" s="349" t="s">
        <v>0</v>
      </c>
      <c r="F219" s="717" t="s">
        <v>187</v>
      </c>
      <c r="G219" s="718"/>
      <c r="H219" s="718"/>
      <c r="I219" s="718"/>
      <c r="J219" s="64"/>
      <c r="K219" s="350">
        <f>K214</f>
        <v>48.15</v>
      </c>
      <c r="L219" s="196"/>
      <c r="M219" s="196"/>
      <c r="R219" s="249"/>
      <c r="T219" s="45"/>
      <c r="V219" s="402"/>
      <c r="W219" s="42"/>
      <c r="X219" s="42"/>
    </row>
    <row r="220" spans="2:24" outlineLevel="1">
      <c r="B220" s="237"/>
      <c r="C220" s="345"/>
      <c r="D220" s="345" t="s">
        <v>62</v>
      </c>
      <c r="E220" s="346" t="s">
        <v>86</v>
      </c>
      <c r="F220" s="719" t="s">
        <v>87</v>
      </c>
      <c r="G220" s="719"/>
      <c r="H220" s="719"/>
      <c r="I220" s="719"/>
      <c r="J220" s="63" t="s">
        <v>63</v>
      </c>
      <c r="K220" s="347">
        <f>K221</f>
        <v>2889</v>
      </c>
      <c r="L220" s="726"/>
      <c r="M220" s="726"/>
      <c r="N220" s="720">
        <f>ROUND(L220*K220,2)</f>
        <v>0</v>
      </c>
      <c r="O220" s="720"/>
      <c r="P220" s="720"/>
      <c r="Q220" s="720"/>
      <c r="R220" s="238"/>
      <c r="T220" s="45"/>
    </row>
    <row r="221" spans="2:24" s="248" customFormat="1" ht="11.25" customHeight="1" outlineLevel="1">
      <c r="B221" s="247"/>
      <c r="E221" s="349" t="s">
        <v>0</v>
      </c>
      <c r="F221" s="717" t="s">
        <v>2299</v>
      </c>
      <c r="G221" s="718"/>
      <c r="H221" s="718"/>
      <c r="I221" s="718"/>
      <c r="J221" s="64">
        <v>60</v>
      </c>
      <c r="K221" s="350">
        <f>K218*J221</f>
        <v>2889</v>
      </c>
      <c r="L221" s="196"/>
      <c r="M221" s="196"/>
      <c r="R221" s="249"/>
      <c r="T221" s="45"/>
      <c r="V221" s="402"/>
      <c r="W221" s="42"/>
      <c r="X221" s="42"/>
    </row>
    <row r="222" spans="2:24" ht="27" customHeight="1" outlineLevel="1">
      <c r="B222" s="237"/>
      <c r="C222" s="345"/>
      <c r="D222" s="345" t="s">
        <v>62</v>
      </c>
      <c r="E222" s="346">
        <v>943311811</v>
      </c>
      <c r="F222" s="719" t="s">
        <v>113</v>
      </c>
      <c r="G222" s="719"/>
      <c r="H222" s="719"/>
      <c r="I222" s="719"/>
      <c r="J222" s="63" t="s">
        <v>63</v>
      </c>
      <c r="K222" s="347">
        <f>K212</f>
        <v>30.61</v>
      </c>
      <c r="L222" s="726"/>
      <c r="M222" s="726"/>
      <c r="N222" s="720">
        <f>ROUND(L222*K222,2)</f>
        <v>0</v>
      </c>
      <c r="O222" s="720"/>
      <c r="P222" s="720"/>
      <c r="Q222" s="720"/>
      <c r="R222" s="238"/>
      <c r="T222" s="45"/>
    </row>
    <row r="223" spans="2:24" outlineLevel="1">
      <c r="B223" s="237"/>
      <c r="C223" s="345"/>
      <c r="D223" s="345" t="s">
        <v>62</v>
      </c>
      <c r="E223" s="346" t="s">
        <v>88</v>
      </c>
      <c r="F223" s="719" t="s">
        <v>89</v>
      </c>
      <c r="G223" s="719"/>
      <c r="H223" s="719"/>
      <c r="I223" s="719"/>
      <c r="J223" s="63" t="s">
        <v>63</v>
      </c>
      <c r="K223" s="347">
        <f>K218</f>
        <v>48.15</v>
      </c>
      <c r="L223" s="726"/>
      <c r="M223" s="726"/>
      <c r="N223" s="720">
        <f>ROUND(L223*K223,2)</f>
        <v>0</v>
      </c>
      <c r="O223" s="720"/>
      <c r="P223" s="720"/>
      <c r="Q223" s="720"/>
      <c r="R223" s="238"/>
      <c r="T223" s="45"/>
    </row>
    <row r="224" spans="2:24" s="341" customFormat="1" ht="12.75">
      <c r="B224" s="340"/>
      <c r="C224" s="344"/>
      <c r="D224" s="344" t="s">
        <v>75</v>
      </c>
      <c r="E224" s="344"/>
      <c r="F224" s="344"/>
      <c r="G224" s="344"/>
      <c r="H224" s="344"/>
      <c r="I224" s="344"/>
      <c r="J224" s="61"/>
      <c r="K224" s="344"/>
      <c r="L224" s="72"/>
      <c r="M224" s="72"/>
      <c r="N224" s="734">
        <f>SUM(N225)</f>
        <v>0</v>
      </c>
      <c r="O224" s="734"/>
      <c r="P224" s="734"/>
      <c r="Q224" s="734"/>
      <c r="R224" s="342"/>
      <c r="T224" s="45">
        <f>SUM(N224:Q225)/2</f>
        <v>0</v>
      </c>
      <c r="U224" s="248"/>
      <c r="V224" s="398"/>
      <c r="W224" s="399"/>
      <c r="X224" s="399"/>
    </row>
    <row r="225" spans="2:28" ht="11.25" customHeight="1" outlineLevel="1">
      <c r="B225" s="237"/>
      <c r="C225" s="345"/>
      <c r="D225" s="345" t="s">
        <v>69</v>
      </c>
      <c r="E225" s="346" t="s">
        <v>196</v>
      </c>
      <c r="F225" s="719" t="s">
        <v>1110</v>
      </c>
      <c r="G225" s="719"/>
      <c r="H225" s="719"/>
      <c r="I225" s="719"/>
      <c r="J225" s="63" t="s">
        <v>70</v>
      </c>
      <c r="K225" s="66">
        <f>N154+N168+N175+N208+N211</f>
        <v>0</v>
      </c>
      <c r="L225" s="759"/>
      <c r="M225" s="759"/>
      <c r="N225" s="720">
        <f>ROUND(L225*K225,2)</f>
        <v>0</v>
      </c>
      <c r="O225" s="720"/>
      <c r="P225" s="720"/>
      <c r="Q225" s="720"/>
      <c r="R225" s="238"/>
      <c r="T225" s="45"/>
    </row>
    <row r="226" spans="2:28" s="341" customFormat="1" ht="15">
      <c r="B226" s="340"/>
      <c r="C226" s="323"/>
      <c r="D226" s="323" t="s">
        <v>48</v>
      </c>
      <c r="E226" s="323"/>
      <c r="F226" s="323"/>
      <c r="G226" s="323"/>
      <c r="H226" s="323"/>
      <c r="I226" s="323"/>
      <c r="J226" s="60"/>
      <c r="K226" s="323"/>
      <c r="L226" s="73"/>
      <c r="M226" s="73"/>
      <c r="N226" s="767">
        <f>N227+N233+N240+N250+N263+N271+N286+N293+N298</f>
        <v>0</v>
      </c>
      <c r="O226" s="767"/>
      <c r="P226" s="767"/>
      <c r="Q226" s="767"/>
      <c r="R226" s="342"/>
      <c r="T226" s="45">
        <f>SUM(N226:Q307)/3</f>
        <v>0</v>
      </c>
      <c r="U226" s="248"/>
      <c r="V226" s="398"/>
      <c r="W226" s="399"/>
      <c r="X226" s="399"/>
    </row>
    <row r="227" spans="2:28" s="341" customFormat="1" ht="12.75" collapsed="1">
      <c r="B227" s="340"/>
      <c r="C227" s="344"/>
      <c r="D227" s="344" t="s">
        <v>49</v>
      </c>
      <c r="E227" s="344"/>
      <c r="F227" s="344"/>
      <c r="G227" s="344"/>
      <c r="H227" s="344"/>
      <c r="I227" s="344"/>
      <c r="J227" s="61"/>
      <c r="K227" s="344"/>
      <c r="L227" s="72"/>
      <c r="M227" s="72"/>
      <c r="N227" s="734">
        <f>SUM(N228:Q232)</f>
        <v>0</v>
      </c>
      <c r="O227" s="734"/>
      <c r="P227" s="734"/>
      <c r="Q227" s="734"/>
      <c r="R227" s="342"/>
      <c r="T227" s="45">
        <f>SUM(N227:Q232)/2</f>
        <v>0</v>
      </c>
      <c r="U227" s="248"/>
      <c r="V227" s="398"/>
      <c r="W227" s="399"/>
      <c r="X227" s="399"/>
    </row>
    <row r="228" spans="2:28" outlineLevel="1">
      <c r="B228" s="237"/>
      <c r="C228" s="345"/>
      <c r="D228" s="345" t="s">
        <v>62</v>
      </c>
      <c r="E228" s="346">
        <v>711191201</v>
      </c>
      <c r="F228" s="719" t="s">
        <v>411</v>
      </c>
      <c r="G228" s="719"/>
      <c r="H228" s="719"/>
      <c r="I228" s="719"/>
      <c r="J228" s="63" t="s">
        <v>63</v>
      </c>
      <c r="K228" s="347">
        <f>SUM(K229:K229)</f>
        <v>2.36</v>
      </c>
      <c r="L228" s="726"/>
      <c r="M228" s="726"/>
      <c r="N228" s="720">
        <f>ROUND(L228*K228,2)</f>
        <v>0</v>
      </c>
      <c r="O228" s="720"/>
      <c r="P228" s="720"/>
      <c r="Q228" s="720"/>
      <c r="R228" s="238"/>
      <c r="T228" s="45"/>
    </row>
    <row r="229" spans="2:28" s="248" customFormat="1" outlineLevel="1">
      <c r="B229" s="247"/>
      <c r="E229" s="349" t="s">
        <v>1070</v>
      </c>
      <c r="F229" s="717" t="s">
        <v>110</v>
      </c>
      <c r="G229" s="718"/>
      <c r="H229" s="718"/>
      <c r="I229" s="718"/>
      <c r="J229" s="64"/>
      <c r="K229" s="350">
        <f>(2.36)</f>
        <v>2.36</v>
      </c>
      <c r="L229" s="196"/>
      <c r="M229" s="196"/>
      <c r="R229" s="249"/>
      <c r="T229" s="45"/>
      <c r="V229" s="402"/>
      <c r="W229" s="42"/>
      <c r="X229" s="42"/>
    </row>
    <row r="230" spans="2:28" outlineLevel="1">
      <c r="B230" s="237"/>
      <c r="C230" s="383"/>
      <c r="D230" s="383" t="s">
        <v>65</v>
      </c>
      <c r="E230" s="384" t="s">
        <v>710</v>
      </c>
      <c r="F230" s="751" t="s">
        <v>711</v>
      </c>
      <c r="G230" s="751"/>
      <c r="H230" s="751"/>
      <c r="I230" s="751"/>
      <c r="J230" s="65" t="s">
        <v>412</v>
      </c>
      <c r="K230" s="385">
        <f>SUM(K231:K231)</f>
        <v>9.345600000000001</v>
      </c>
      <c r="L230" s="726"/>
      <c r="M230" s="726"/>
      <c r="N230" s="752">
        <f>ROUND(L230*K230,2)</f>
        <v>0</v>
      </c>
      <c r="O230" s="720"/>
      <c r="P230" s="720"/>
      <c r="Q230" s="720"/>
      <c r="R230" s="238"/>
      <c r="T230" s="45"/>
    </row>
    <row r="231" spans="2:28" s="248" customFormat="1" outlineLevel="1">
      <c r="B231" s="247"/>
      <c r="E231" s="349" t="s">
        <v>700</v>
      </c>
      <c r="F231" s="717" t="s">
        <v>703</v>
      </c>
      <c r="G231" s="718"/>
      <c r="H231" s="718"/>
      <c r="I231" s="718"/>
      <c r="J231" s="64">
        <f>1.8*2*1.1</f>
        <v>3.9600000000000004</v>
      </c>
      <c r="K231" s="350">
        <f>(K228)*J231</f>
        <v>9.345600000000001</v>
      </c>
      <c r="L231" s="196"/>
      <c r="M231" s="196"/>
      <c r="R231" s="249"/>
      <c r="T231" s="45"/>
      <c r="V231" s="402"/>
      <c r="W231" s="42"/>
      <c r="X231" s="42"/>
    </row>
    <row r="232" spans="2:28" outlineLevel="1">
      <c r="B232" s="237"/>
      <c r="C232" s="345"/>
      <c r="D232" s="345" t="s">
        <v>62</v>
      </c>
      <c r="E232" s="346">
        <v>998711202</v>
      </c>
      <c r="F232" s="719" t="s">
        <v>1111</v>
      </c>
      <c r="G232" s="719"/>
      <c r="H232" s="719"/>
      <c r="I232" s="719"/>
      <c r="J232" s="63" t="s">
        <v>70</v>
      </c>
      <c r="K232" s="66">
        <f>SUM(N228:Q231)</f>
        <v>0</v>
      </c>
      <c r="L232" s="759"/>
      <c r="M232" s="759"/>
      <c r="N232" s="720">
        <f>ROUND(L232*K232,2)</f>
        <v>0</v>
      </c>
      <c r="O232" s="720"/>
      <c r="P232" s="720"/>
      <c r="Q232" s="720"/>
      <c r="R232" s="238"/>
      <c r="T232" s="45"/>
    </row>
    <row r="233" spans="2:28" s="341" customFormat="1" ht="12.75">
      <c r="B233" s="340"/>
      <c r="C233" s="344"/>
      <c r="D233" s="344" t="s">
        <v>50</v>
      </c>
      <c r="E233" s="344"/>
      <c r="F233" s="344"/>
      <c r="G233" s="344"/>
      <c r="H233" s="344"/>
      <c r="I233" s="344"/>
      <c r="J233" s="61"/>
      <c r="K233" s="344"/>
      <c r="L233" s="72"/>
      <c r="M233" s="72"/>
      <c r="N233" s="734">
        <f>SUM(N234:Q239)</f>
        <v>0</v>
      </c>
      <c r="O233" s="734"/>
      <c r="P233" s="734"/>
      <c r="Q233" s="734"/>
      <c r="R233" s="342"/>
      <c r="T233" s="45">
        <f>SUM(N233:Q239)/2</f>
        <v>0</v>
      </c>
      <c r="U233" s="248"/>
      <c r="V233" s="398"/>
      <c r="W233" s="399"/>
      <c r="X233" s="399"/>
    </row>
    <row r="234" spans="2:28" outlineLevel="1">
      <c r="B234" s="237"/>
      <c r="C234" s="345"/>
      <c r="D234" s="345"/>
      <c r="E234" s="346"/>
      <c r="F234" s="719"/>
      <c r="G234" s="719"/>
      <c r="H234" s="719"/>
      <c r="I234" s="719"/>
      <c r="J234" s="63"/>
      <c r="K234" s="347"/>
      <c r="L234" s="766"/>
      <c r="M234" s="766"/>
      <c r="N234" s="720"/>
      <c r="O234" s="720"/>
      <c r="P234" s="720"/>
      <c r="Q234" s="720"/>
      <c r="R234" s="238"/>
      <c r="T234" s="78"/>
      <c r="U234" s="236"/>
    </row>
    <row r="235" spans="2:28" s="374" customFormat="1" outlineLevel="1">
      <c r="B235" s="370"/>
      <c r="C235" s="371"/>
      <c r="D235" s="371"/>
      <c r="E235" s="753" t="s">
        <v>2012</v>
      </c>
      <c r="F235" s="754"/>
      <c r="G235" s="754"/>
      <c r="H235" s="754"/>
      <c r="I235" s="755"/>
      <c r="J235" s="145"/>
      <c r="K235" s="372"/>
      <c r="L235" s="756"/>
      <c r="M235" s="756"/>
      <c r="N235" s="757"/>
      <c r="O235" s="757"/>
      <c r="P235" s="757"/>
      <c r="Q235" s="757"/>
      <c r="R235" s="373"/>
      <c r="T235" s="144"/>
      <c r="U235" s="375"/>
      <c r="V235" s="407"/>
      <c r="W235" s="408"/>
      <c r="X235" s="408"/>
      <c r="Y235" s="375"/>
      <c r="Z235" s="375"/>
      <c r="AA235" s="375"/>
      <c r="AB235" s="375"/>
    </row>
    <row r="236" spans="2:28" outlineLevel="1">
      <c r="B236" s="237"/>
      <c r="C236" s="345"/>
      <c r="D236" s="345" t="s">
        <v>62</v>
      </c>
      <c r="E236" s="346" t="s">
        <v>71</v>
      </c>
      <c r="F236" s="719" t="s">
        <v>72</v>
      </c>
      <c r="G236" s="719"/>
      <c r="H236" s="719"/>
      <c r="I236" s="719"/>
      <c r="J236" s="63" t="s">
        <v>63</v>
      </c>
      <c r="K236" s="347">
        <f>SUM(K237:K237)</f>
        <v>30.61</v>
      </c>
      <c r="L236" s="726"/>
      <c r="M236" s="726"/>
      <c r="N236" s="720">
        <f>ROUND(L236*K236,2)</f>
        <v>0</v>
      </c>
      <c r="O236" s="720"/>
      <c r="P236" s="720"/>
      <c r="Q236" s="720"/>
      <c r="R236" s="238"/>
      <c r="T236" s="45"/>
    </row>
    <row r="237" spans="2:28" s="248" customFormat="1" outlineLevel="1">
      <c r="B237" s="247"/>
      <c r="E237" s="349" t="s">
        <v>1068</v>
      </c>
      <c r="F237" s="717" t="s">
        <v>110</v>
      </c>
      <c r="G237" s="718"/>
      <c r="H237" s="718"/>
      <c r="I237" s="718"/>
      <c r="J237" s="64" t="s">
        <v>413</v>
      </c>
      <c r="K237" s="350">
        <f>(30.61)</f>
        <v>30.61</v>
      </c>
      <c r="L237" s="196"/>
      <c r="M237" s="196"/>
      <c r="R237" s="249"/>
      <c r="T237" s="45"/>
      <c r="V237" s="402"/>
      <c r="W237" s="42"/>
      <c r="X237" s="42"/>
    </row>
    <row r="238" spans="2:28" ht="11.25" customHeight="1" outlineLevel="1">
      <c r="B238" s="237"/>
      <c r="C238" s="383"/>
      <c r="D238" s="383" t="s">
        <v>65</v>
      </c>
      <c r="E238" s="384" t="s">
        <v>414</v>
      </c>
      <c r="F238" s="751" t="s">
        <v>415</v>
      </c>
      <c r="G238" s="751"/>
      <c r="H238" s="751"/>
      <c r="I238" s="751"/>
      <c r="J238" s="65" t="s">
        <v>63</v>
      </c>
      <c r="K238" s="385">
        <f>(K237)*1.05</f>
        <v>32.140500000000003</v>
      </c>
      <c r="L238" s="726"/>
      <c r="M238" s="726"/>
      <c r="N238" s="752">
        <f>ROUND(L238*K238,2)</f>
        <v>0</v>
      </c>
      <c r="O238" s="720"/>
      <c r="P238" s="720"/>
      <c r="Q238" s="720"/>
      <c r="R238" s="238"/>
      <c r="T238" s="45"/>
    </row>
    <row r="239" spans="2:28" outlineLevel="1">
      <c r="B239" s="237"/>
      <c r="C239" s="345"/>
      <c r="D239" s="345" t="s">
        <v>62</v>
      </c>
      <c r="E239" s="346">
        <v>998713202</v>
      </c>
      <c r="F239" s="719" t="s">
        <v>1113</v>
      </c>
      <c r="G239" s="719"/>
      <c r="H239" s="719"/>
      <c r="I239" s="719"/>
      <c r="J239" s="63" t="s">
        <v>70</v>
      </c>
      <c r="K239" s="66">
        <f>SUM(N234:Q238)</f>
        <v>0</v>
      </c>
      <c r="L239" s="759"/>
      <c r="M239" s="759"/>
      <c r="N239" s="720">
        <f>ROUND(L239*K239,2)</f>
        <v>0</v>
      </c>
      <c r="O239" s="720"/>
      <c r="P239" s="720"/>
      <c r="Q239" s="720"/>
      <c r="R239" s="238"/>
      <c r="T239" s="45"/>
    </row>
    <row r="240" spans="2:28" s="341" customFormat="1" ht="12.75">
      <c r="B240" s="340"/>
      <c r="C240" s="344"/>
      <c r="D240" s="344" t="s">
        <v>52</v>
      </c>
      <c r="E240" s="344"/>
      <c r="F240" s="344"/>
      <c r="G240" s="344"/>
      <c r="H240" s="344"/>
      <c r="I240" s="344"/>
      <c r="J240" s="61"/>
      <c r="K240" s="344"/>
      <c r="L240" s="72"/>
      <c r="M240" s="72"/>
      <c r="N240" s="734">
        <f>SUM(N241:Q249)</f>
        <v>0</v>
      </c>
      <c r="O240" s="734"/>
      <c r="P240" s="734"/>
      <c r="Q240" s="734"/>
      <c r="R240" s="342"/>
      <c r="T240" s="45">
        <f>SUM(N240:Q249)/2</f>
        <v>0</v>
      </c>
      <c r="U240" s="248"/>
      <c r="V240" s="398"/>
      <c r="W240" s="399"/>
      <c r="X240" s="399"/>
    </row>
    <row r="241" spans="2:24" outlineLevel="1">
      <c r="B241" s="237"/>
      <c r="C241" s="345"/>
      <c r="D241" s="345" t="s">
        <v>62</v>
      </c>
      <c r="E241" s="346" t="s">
        <v>1119</v>
      </c>
      <c r="F241" s="719" t="s">
        <v>1120</v>
      </c>
      <c r="G241" s="719"/>
      <c r="H241" s="719"/>
      <c r="I241" s="719"/>
      <c r="J241" s="63" t="s">
        <v>63</v>
      </c>
      <c r="K241" s="347">
        <f>SUM(K242:K242)</f>
        <v>4.7024999999999997</v>
      </c>
      <c r="L241" s="726"/>
      <c r="M241" s="726"/>
      <c r="N241" s="720">
        <f>ROUND(L241*K241,2)</f>
        <v>0</v>
      </c>
      <c r="O241" s="720"/>
      <c r="P241" s="720"/>
      <c r="Q241" s="720"/>
      <c r="R241" s="238"/>
      <c r="T241" s="78"/>
      <c r="U241" s="236"/>
    </row>
    <row r="242" spans="2:24" s="248" customFormat="1" outlineLevel="1">
      <c r="B242" s="247"/>
      <c r="E242" s="349" t="s">
        <v>1116</v>
      </c>
      <c r="F242" s="717" t="s">
        <v>2526</v>
      </c>
      <c r="G242" s="718">
        <f>(0.9+0.9+1.86+0.97+1+1.275)*1.5</f>
        <v>10.357499999999998</v>
      </c>
      <c r="H242" s="718">
        <f>(0.9+0.9+1.86+0.97+1+1.275)*1.5</f>
        <v>10.357499999999998</v>
      </c>
      <c r="I242" s="718">
        <f>(0.9+0.9+1.86+0.97+1+1.275)*1.5</f>
        <v>10.357499999999998</v>
      </c>
      <c r="J242" s="64"/>
      <c r="K242" s="350">
        <f>(1.86+1.275)*1.5</f>
        <v>4.7024999999999997</v>
      </c>
      <c r="L242" s="196"/>
      <c r="M242" s="196"/>
      <c r="R242" s="249"/>
      <c r="T242" s="45"/>
      <c r="V242" s="402"/>
      <c r="W242" s="42"/>
      <c r="X242" s="42"/>
    </row>
    <row r="243" spans="2:24" ht="27" customHeight="1" outlineLevel="1">
      <c r="B243" s="237"/>
      <c r="C243" s="345"/>
      <c r="D243" s="345" t="s">
        <v>62</v>
      </c>
      <c r="E243" s="346">
        <v>763132122</v>
      </c>
      <c r="F243" s="719" t="s">
        <v>1128</v>
      </c>
      <c r="G243" s="719"/>
      <c r="H243" s="719"/>
      <c r="I243" s="719"/>
      <c r="J243" s="63" t="s">
        <v>63</v>
      </c>
      <c r="K243" s="347">
        <f>SUM(K244:K245)</f>
        <v>104.21</v>
      </c>
      <c r="L243" s="726"/>
      <c r="M243" s="726"/>
      <c r="N243" s="720">
        <f>ROUND(L243*K243,2)</f>
        <v>0</v>
      </c>
      <c r="O243" s="720"/>
      <c r="P243" s="720"/>
      <c r="Q243" s="720"/>
      <c r="R243" s="238"/>
      <c r="T243" s="78"/>
      <c r="U243" s="236"/>
    </row>
    <row r="244" spans="2:24" s="248" customFormat="1" ht="11.25" customHeight="1" outlineLevel="1">
      <c r="B244" s="247"/>
      <c r="E244" s="349" t="s">
        <v>1097</v>
      </c>
      <c r="F244" s="717" t="s">
        <v>110</v>
      </c>
      <c r="G244" s="718"/>
      <c r="H244" s="718"/>
      <c r="I244" s="718"/>
      <c r="J244" s="64"/>
      <c r="K244" s="350">
        <f>34+24.54+43.31</f>
        <v>101.85</v>
      </c>
      <c r="L244" s="196"/>
      <c r="M244" s="196"/>
      <c r="R244" s="249"/>
      <c r="T244" s="45"/>
      <c r="V244" s="402"/>
      <c r="W244" s="42"/>
      <c r="X244" s="42"/>
    </row>
    <row r="245" spans="2:24" s="248" customFormat="1" ht="11.25" customHeight="1" outlineLevel="1">
      <c r="B245" s="247"/>
      <c r="E245" s="349" t="s">
        <v>1098</v>
      </c>
      <c r="F245" s="717" t="s">
        <v>110</v>
      </c>
      <c r="G245" s="718"/>
      <c r="H245" s="718"/>
      <c r="I245" s="718"/>
      <c r="J245" s="64"/>
      <c r="K245" s="350">
        <f>2.36</f>
        <v>2.36</v>
      </c>
      <c r="L245" s="196"/>
      <c r="M245" s="196"/>
      <c r="R245" s="249"/>
      <c r="T245" s="45"/>
      <c r="V245" s="402"/>
      <c r="W245" s="42"/>
      <c r="X245" s="42"/>
    </row>
    <row r="246" spans="2:24" outlineLevel="1">
      <c r="B246" s="237"/>
      <c r="C246" s="345"/>
      <c r="D246" s="345" t="s">
        <v>62</v>
      </c>
      <c r="E246" s="346">
        <v>763131751</v>
      </c>
      <c r="F246" s="719" t="s">
        <v>432</v>
      </c>
      <c r="G246" s="719"/>
      <c r="H246" s="719"/>
      <c r="I246" s="719"/>
      <c r="J246" s="63" t="s">
        <v>63</v>
      </c>
      <c r="K246" s="347">
        <f>SUM(K247:K247)</f>
        <v>104.21</v>
      </c>
      <c r="L246" s="726"/>
      <c r="M246" s="726"/>
      <c r="N246" s="720">
        <f>ROUND(L246*K246,2)</f>
        <v>0</v>
      </c>
      <c r="O246" s="720"/>
      <c r="P246" s="720"/>
      <c r="Q246" s="720"/>
      <c r="R246" s="238"/>
      <c r="T246" s="45"/>
    </row>
    <row r="247" spans="2:24" s="248" customFormat="1" ht="11.25" customHeight="1" outlineLevel="1">
      <c r="B247" s="247"/>
      <c r="E247" s="349" t="s">
        <v>433</v>
      </c>
      <c r="F247" s="717" t="s">
        <v>158</v>
      </c>
      <c r="G247" s="718"/>
      <c r="H247" s="718"/>
      <c r="I247" s="718"/>
      <c r="J247" s="64"/>
      <c r="K247" s="350">
        <f>K243</f>
        <v>104.21</v>
      </c>
      <c r="L247" s="196"/>
      <c r="M247" s="196"/>
      <c r="R247" s="249"/>
      <c r="T247" s="45"/>
      <c r="V247" s="402"/>
      <c r="W247" s="42"/>
      <c r="X247" s="42"/>
    </row>
    <row r="248" spans="2:24" outlineLevel="1">
      <c r="B248" s="237"/>
      <c r="C248" s="383"/>
      <c r="D248" s="383" t="s">
        <v>65</v>
      </c>
      <c r="E248" s="384">
        <v>28329012</v>
      </c>
      <c r="F248" s="751" t="s">
        <v>117</v>
      </c>
      <c r="G248" s="751"/>
      <c r="H248" s="751"/>
      <c r="I248" s="751"/>
      <c r="J248" s="65" t="s">
        <v>63</v>
      </c>
      <c r="K248" s="385">
        <f>K246*1.2</f>
        <v>125.05199999999999</v>
      </c>
      <c r="L248" s="726"/>
      <c r="M248" s="726"/>
      <c r="N248" s="752">
        <f>ROUND(L248*K248,2)</f>
        <v>0</v>
      </c>
      <c r="O248" s="720"/>
      <c r="P248" s="720"/>
      <c r="Q248" s="720"/>
      <c r="R248" s="238"/>
      <c r="T248" s="45"/>
    </row>
    <row r="249" spans="2:24" outlineLevel="1">
      <c r="B249" s="237"/>
      <c r="C249" s="345"/>
      <c r="D249" s="345" t="s">
        <v>62</v>
      </c>
      <c r="E249" s="346">
        <v>998763402</v>
      </c>
      <c r="F249" s="719" t="s">
        <v>1138</v>
      </c>
      <c r="G249" s="719"/>
      <c r="H249" s="719"/>
      <c r="I249" s="719"/>
      <c r="J249" s="63" t="s">
        <v>70</v>
      </c>
      <c r="K249" s="66">
        <f>SUM(N241:Q248)</f>
        <v>0</v>
      </c>
      <c r="L249" s="759"/>
      <c r="M249" s="759"/>
      <c r="N249" s="720">
        <f>ROUND(L249*K249,2)</f>
        <v>0</v>
      </c>
      <c r="O249" s="720"/>
      <c r="P249" s="720"/>
      <c r="Q249" s="720"/>
      <c r="R249" s="238"/>
      <c r="T249" s="45"/>
    </row>
    <row r="250" spans="2:24" s="341" customFormat="1" ht="12.75">
      <c r="B250" s="340"/>
      <c r="C250" s="344"/>
      <c r="D250" s="344" t="s">
        <v>123</v>
      </c>
      <c r="E250" s="344"/>
      <c r="F250" s="344"/>
      <c r="G250" s="344"/>
      <c r="H250" s="344"/>
      <c r="I250" s="344"/>
      <c r="J250" s="61"/>
      <c r="K250" s="344"/>
      <c r="L250" s="72"/>
      <c r="M250" s="72"/>
      <c r="N250" s="734">
        <f>SUM(N251:Q262)</f>
        <v>0</v>
      </c>
      <c r="O250" s="734"/>
      <c r="P250" s="734"/>
      <c r="Q250" s="734"/>
      <c r="R250" s="342"/>
      <c r="T250" s="45">
        <f>SUM(N250:Q262)/2</f>
        <v>0</v>
      </c>
      <c r="U250" s="248"/>
      <c r="V250" s="398"/>
      <c r="W250" s="399"/>
      <c r="X250" s="399"/>
    </row>
    <row r="251" spans="2:24" outlineLevel="1">
      <c r="B251" s="237"/>
      <c r="C251" s="345"/>
      <c r="D251" s="345" t="s">
        <v>62</v>
      </c>
      <c r="E251" s="346">
        <v>771121011</v>
      </c>
      <c r="F251" s="719" t="s">
        <v>447</v>
      </c>
      <c r="G251" s="719"/>
      <c r="H251" s="719"/>
      <c r="I251" s="719"/>
      <c r="J251" s="63" t="s">
        <v>63</v>
      </c>
      <c r="K251" s="347">
        <f>SUM(K252:K252)</f>
        <v>2.36</v>
      </c>
      <c r="L251" s="726"/>
      <c r="M251" s="726"/>
      <c r="N251" s="720">
        <f>ROUND(L251*K251,2)</f>
        <v>0</v>
      </c>
      <c r="O251" s="720"/>
      <c r="P251" s="720"/>
      <c r="Q251" s="720"/>
      <c r="R251" s="238"/>
      <c r="T251" s="45"/>
    </row>
    <row r="252" spans="2:24" s="248" customFormat="1" ht="11.25" customHeight="1" outlineLevel="1">
      <c r="B252" s="247"/>
      <c r="E252" s="349" t="s">
        <v>1070</v>
      </c>
      <c r="F252" s="717" t="s">
        <v>110</v>
      </c>
      <c r="G252" s="718"/>
      <c r="H252" s="718"/>
      <c r="I252" s="718"/>
      <c r="J252" s="64"/>
      <c r="K252" s="350">
        <f>(2.36)</f>
        <v>2.36</v>
      </c>
      <c r="L252" s="196"/>
      <c r="M252" s="196"/>
      <c r="R252" s="249"/>
      <c r="T252" s="45"/>
      <c r="V252" s="402"/>
      <c r="W252" s="42"/>
      <c r="X252" s="42"/>
    </row>
    <row r="253" spans="2:24" outlineLevel="1">
      <c r="B253" s="237"/>
      <c r="C253" s="345"/>
      <c r="D253" s="345" t="s">
        <v>62</v>
      </c>
      <c r="E253" s="346">
        <v>771151021</v>
      </c>
      <c r="F253" s="719" t="s">
        <v>1145</v>
      </c>
      <c r="G253" s="719"/>
      <c r="H253" s="719"/>
      <c r="I253" s="719"/>
      <c r="J253" s="63" t="s">
        <v>63</v>
      </c>
      <c r="K253" s="347">
        <f>K251</f>
        <v>2.36</v>
      </c>
      <c r="L253" s="726"/>
      <c r="M253" s="726"/>
      <c r="N253" s="720">
        <f>ROUND(L253*K253,2)</f>
        <v>0</v>
      </c>
      <c r="O253" s="720"/>
      <c r="P253" s="720"/>
      <c r="Q253" s="720"/>
      <c r="R253" s="238"/>
      <c r="T253" s="45"/>
    </row>
    <row r="254" spans="2:24" outlineLevel="1">
      <c r="B254" s="237"/>
      <c r="C254" s="345"/>
      <c r="D254" s="345" t="s">
        <v>62</v>
      </c>
      <c r="E254" s="346">
        <v>771591112</v>
      </c>
      <c r="F254" s="719" t="s">
        <v>167</v>
      </c>
      <c r="G254" s="719"/>
      <c r="H254" s="719"/>
      <c r="I254" s="719"/>
      <c r="J254" s="63" t="s">
        <v>63</v>
      </c>
      <c r="K254" s="347">
        <f>SUM(K255:K255)</f>
        <v>2.36</v>
      </c>
      <c r="L254" s="726"/>
      <c r="M254" s="726"/>
      <c r="N254" s="720">
        <f>ROUND(L254*K254,2)</f>
        <v>0</v>
      </c>
      <c r="O254" s="720"/>
      <c r="P254" s="720"/>
      <c r="Q254" s="720"/>
      <c r="R254" s="238"/>
      <c r="T254" s="45"/>
    </row>
    <row r="255" spans="2:24" s="248" customFormat="1" outlineLevel="1">
      <c r="B255" s="247"/>
      <c r="E255" s="349" t="s">
        <v>440</v>
      </c>
      <c r="F255" s="717" t="s">
        <v>110</v>
      </c>
      <c r="G255" s="718"/>
      <c r="H255" s="718"/>
      <c r="I255" s="718"/>
      <c r="J255" s="64"/>
      <c r="K255" s="350">
        <f>2.36</f>
        <v>2.36</v>
      </c>
      <c r="L255" s="196"/>
      <c r="M255" s="196"/>
      <c r="R255" s="249"/>
      <c r="T255" s="45"/>
      <c r="V255" s="402"/>
      <c r="W255" s="42"/>
      <c r="X255" s="42"/>
    </row>
    <row r="256" spans="2:24" outlineLevel="1">
      <c r="B256" s="237"/>
      <c r="C256" s="345"/>
      <c r="D256" s="345" t="s">
        <v>62</v>
      </c>
      <c r="E256" s="346">
        <v>771591264</v>
      </c>
      <c r="F256" s="719" t="s">
        <v>168</v>
      </c>
      <c r="G256" s="719"/>
      <c r="H256" s="719"/>
      <c r="I256" s="719"/>
      <c r="J256" s="63" t="s">
        <v>68</v>
      </c>
      <c r="K256" s="347">
        <f>2*(1.87+1.2)</f>
        <v>6.1400000000000006</v>
      </c>
      <c r="L256" s="726"/>
      <c r="M256" s="726"/>
      <c r="N256" s="720">
        <f>ROUND(L256*K256,2)</f>
        <v>0</v>
      </c>
      <c r="O256" s="720"/>
      <c r="P256" s="720"/>
      <c r="Q256" s="720"/>
      <c r="R256" s="238"/>
      <c r="T256" s="45"/>
    </row>
    <row r="257" spans="2:24" outlineLevel="1">
      <c r="B257" s="237"/>
      <c r="C257" s="345"/>
      <c r="D257" s="345" t="s">
        <v>62</v>
      </c>
      <c r="E257" s="346">
        <v>771574114</v>
      </c>
      <c r="F257" s="719" t="s">
        <v>441</v>
      </c>
      <c r="G257" s="719"/>
      <c r="H257" s="719"/>
      <c r="I257" s="719"/>
      <c r="J257" s="63" t="s">
        <v>63</v>
      </c>
      <c r="K257" s="347">
        <f>SUM(K258:K258)</f>
        <v>2.36</v>
      </c>
      <c r="L257" s="726"/>
      <c r="M257" s="726"/>
      <c r="N257" s="720">
        <f>ROUND(L257*K257,2)</f>
        <v>0</v>
      </c>
      <c r="O257" s="720"/>
      <c r="P257" s="720"/>
      <c r="Q257" s="720"/>
      <c r="R257" s="238"/>
      <c r="T257" s="45"/>
    </row>
    <row r="258" spans="2:24" s="248" customFormat="1" ht="11.25" customHeight="1" outlineLevel="1">
      <c r="B258" s="247"/>
      <c r="E258" s="349" t="s">
        <v>1147</v>
      </c>
      <c r="F258" s="717" t="s">
        <v>110</v>
      </c>
      <c r="G258" s="718"/>
      <c r="H258" s="718"/>
      <c r="I258" s="718"/>
      <c r="J258" s="64"/>
      <c r="K258" s="350">
        <f>K254</f>
        <v>2.36</v>
      </c>
      <c r="L258" s="196"/>
      <c r="M258" s="196"/>
      <c r="R258" s="249"/>
      <c r="T258" s="45"/>
      <c r="V258" s="402"/>
      <c r="W258" s="42"/>
      <c r="X258" s="42"/>
    </row>
    <row r="259" spans="2:24" outlineLevel="1">
      <c r="B259" s="237"/>
      <c r="C259" s="383"/>
      <c r="D259" s="383" t="s">
        <v>65</v>
      </c>
      <c r="E259" s="384">
        <v>59761012</v>
      </c>
      <c r="F259" s="751" t="s">
        <v>442</v>
      </c>
      <c r="G259" s="751"/>
      <c r="H259" s="751"/>
      <c r="I259" s="751"/>
      <c r="J259" s="65" t="s">
        <v>63</v>
      </c>
      <c r="K259" s="385">
        <f>K257*1.1</f>
        <v>2.5960000000000001</v>
      </c>
      <c r="L259" s="726"/>
      <c r="M259" s="726"/>
      <c r="N259" s="752">
        <f>ROUND(L259*K259,2)</f>
        <v>0</v>
      </c>
      <c r="O259" s="720"/>
      <c r="P259" s="720"/>
      <c r="Q259" s="720"/>
      <c r="R259" s="238"/>
      <c r="T259" s="45"/>
    </row>
    <row r="260" spans="2:24" outlineLevel="1">
      <c r="B260" s="237"/>
      <c r="C260" s="345"/>
      <c r="D260" s="345" t="s">
        <v>62</v>
      </c>
      <c r="E260" s="346">
        <v>771591115</v>
      </c>
      <c r="F260" s="719" t="s">
        <v>443</v>
      </c>
      <c r="G260" s="719"/>
      <c r="H260" s="719"/>
      <c r="I260" s="719"/>
      <c r="J260" s="63" t="s">
        <v>68</v>
      </c>
      <c r="K260" s="347">
        <f>SUM(K261:K261)</f>
        <v>6.1400000000000006</v>
      </c>
      <c r="L260" s="726"/>
      <c r="M260" s="726"/>
      <c r="N260" s="720">
        <f>ROUND(L260*K260,2)</f>
        <v>0</v>
      </c>
      <c r="O260" s="720"/>
      <c r="P260" s="720"/>
      <c r="Q260" s="720"/>
      <c r="R260" s="238"/>
      <c r="T260" s="45"/>
    </row>
    <row r="261" spans="2:24" s="248" customFormat="1" outlineLevel="1">
      <c r="B261" s="247"/>
      <c r="E261" s="349"/>
      <c r="F261" s="717" t="s">
        <v>110</v>
      </c>
      <c r="G261" s="718"/>
      <c r="H261" s="718"/>
      <c r="I261" s="718"/>
      <c r="J261" s="64"/>
      <c r="K261" s="350">
        <f>K256</f>
        <v>6.1400000000000006</v>
      </c>
      <c r="L261" s="196"/>
      <c r="M261" s="196"/>
      <c r="R261" s="249"/>
      <c r="T261" s="45"/>
      <c r="V261" s="402"/>
      <c r="W261" s="42"/>
      <c r="X261" s="42"/>
    </row>
    <row r="262" spans="2:24" outlineLevel="1">
      <c r="B262" s="237"/>
      <c r="C262" s="345"/>
      <c r="D262" s="345" t="s">
        <v>62</v>
      </c>
      <c r="E262" s="346">
        <v>998771202</v>
      </c>
      <c r="F262" s="719" t="s">
        <v>1149</v>
      </c>
      <c r="G262" s="719"/>
      <c r="H262" s="719"/>
      <c r="I262" s="719"/>
      <c r="J262" s="63" t="s">
        <v>70</v>
      </c>
      <c r="K262" s="66">
        <f>SUM(N251:Q261)</f>
        <v>0</v>
      </c>
      <c r="L262" s="759"/>
      <c r="M262" s="759"/>
      <c r="N262" s="720">
        <f>ROUND(L262*K262,2)</f>
        <v>0</v>
      </c>
      <c r="O262" s="720"/>
      <c r="P262" s="720"/>
      <c r="Q262" s="720"/>
      <c r="R262" s="238"/>
      <c r="T262" s="45"/>
    </row>
    <row r="263" spans="2:24" s="341" customFormat="1" ht="12.75">
      <c r="B263" s="340"/>
      <c r="C263" s="344"/>
      <c r="D263" s="344" t="s">
        <v>1154</v>
      </c>
      <c r="E263" s="344"/>
      <c r="F263" s="344"/>
      <c r="G263" s="344"/>
      <c r="H263" s="344"/>
      <c r="I263" s="344"/>
      <c r="J263" s="61"/>
      <c r="K263" s="344"/>
      <c r="L263" s="72"/>
      <c r="M263" s="72"/>
      <c r="N263" s="734">
        <f>SUM(N264:Q270)</f>
        <v>0</v>
      </c>
      <c r="O263" s="734"/>
      <c r="P263" s="734"/>
      <c r="Q263" s="734"/>
      <c r="R263" s="342"/>
      <c r="T263" s="45">
        <f>SUM(N263:Q270)/2</f>
        <v>0</v>
      </c>
      <c r="U263" s="248"/>
      <c r="V263" s="398"/>
      <c r="W263" s="399"/>
      <c r="X263" s="399"/>
    </row>
    <row r="264" spans="2:24" ht="11.25" customHeight="1" outlineLevel="1">
      <c r="B264" s="237"/>
      <c r="C264" s="345"/>
      <c r="D264" s="345" t="s">
        <v>62</v>
      </c>
      <c r="E264" s="346">
        <v>773511260</v>
      </c>
      <c r="F264" s="719" t="s">
        <v>1155</v>
      </c>
      <c r="G264" s="719"/>
      <c r="H264" s="719"/>
      <c r="I264" s="719"/>
      <c r="J264" s="63" t="s">
        <v>63</v>
      </c>
      <c r="K264" s="347">
        <f>SUM(K265:K265)</f>
        <v>50.61</v>
      </c>
      <c r="L264" s="726"/>
      <c r="M264" s="726"/>
      <c r="N264" s="720">
        <f>ROUND(L264*K264,2)</f>
        <v>0</v>
      </c>
      <c r="O264" s="720"/>
      <c r="P264" s="720"/>
      <c r="Q264" s="720"/>
      <c r="R264" s="238"/>
      <c r="T264" s="45"/>
    </row>
    <row r="265" spans="2:24" s="248" customFormat="1" outlineLevel="1">
      <c r="B265" s="247"/>
      <c r="E265" s="349" t="s">
        <v>1068</v>
      </c>
      <c r="F265" s="717" t="s">
        <v>110</v>
      </c>
      <c r="G265" s="718"/>
      <c r="H265" s="718"/>
      <c r="I265" s="718"/>
      <c r="J265" s="64"/>
      <c r="K265" s="350">
        <f>(20+30.61)</f>
        <v>50.61</v>
      </c>
      <c r="L265" s="196"/>
      <c r="M265" s="196"/>
      <c r="R265" s="249"/>
      <c r="T265" s="45"/>
      <c r="V265" s="402"/>
      <c r="W265" s="42"/>
      <c r="X265" s="42"/>
    </row>
    <row r="266" spans="2:24" ht="27" customHeight="1" outlineLevel="1">
      <c r="B266" s="237"/>
      <c r="C266" s="345"/>
      <c r="D266" s="345" t="s">
        <v>62</v>
      </c>
      <c r="E266" s="346">
        <v>773413200</v>
      </c>
      <c r="F266" s="719" t="s">
        <v>1156</v>
      </c>
      <c r="G266" s="719"/>
      <c r="H266" s="719"/>
      <c r="I266" s="719"/>
      <c r="J266" s="63" t="s">
        <v>68</v>
      </c>
      <c r="K266" s="347">
        <f>(5.5+5.6+6+3.2)*2</f>
        <v>40.6</v>
      </c>
      <c r="L266" s="726"/>
      <c r="M266" s="726"/>
      <c r="N266" s="720">
        <f>ROUND(L266*K266,2)</f>
        <v>0</v>
      </c>
      <c r="O266" s="720"/>
      <c r="P266" s="720"/>
      <c r="Q266" s="720"/>
      <c r="R266" s="238"/>
      <c r="T266" s="45"/>
    </row>
    <row r="267" spans="2:24" outlineLevel="1">
      <c r="B267" s="237"/>
      <c r="C267" s="345"/>
      <c r="D267" s="345" t="s">
        <v>62</v>
      </c>
      <c r="E267" s="346" t="s">
        <v>1958</v>
      </c>
      <c r="F267" s="719" t="s">
        <v>1959</v>
      </c>
      <c r="G267" s="719"/>
      <c r="H267" s="719"/>
      <c r="I267" s="719"/>
      <c r="J267" s="63" t="s">
        <v>63</v>
      </c>
      <c r="K267" s="347">
        <f>SUM(K268:K269)</f>
        <v>56.7</v>
      </c>
      <c r="L267" s="726"/>
      <c r="M267" s="726"/>
      <c r="N267" s="720">
        <f>ROUND(L267*K267,2)</f>
        <v>0</v>
      </c>
      <c r="O267" s="720"/>
      <c r="P267" s="720"/>
      <c r="Q267" s="720"/>
      <c r="R267" s="238"/>
      <c r="T267" s="45"/>
    </row>
    <row r="268" spans="2:24" s="248" customFormat="1" outlineLevel="1">
      <c r="B268" s="247"/>
      <c r="E268" s="349" t="s">
        <v>756</v>
      </c>
      <c r="F268" s="717" t="s">
        <v>158</v>
      </c>
      <c r="G268" s="718"/>
      <c r="H268" s="718"/>
      <c r="I268" s="718"/>
      <c r="J268" s="64"/>
      <c r="K268" s="350">
        <f>K264</f>
        <v>50.61</v>
      </c>
      <c r="L268" s="196"/>
      <c r="M268" s="196"/>
      <c r="R268" s="249"/>
      <c r="T268" s="45"/>
      <c r="V268" s="402"/>
      <c r="W268" s="42"/>
      <c r="X268" s="42"/>
    </row>
    <row r="269" spans="2:24" s="248" customFormat="1" ht="11.25" customHeight="1" outlineLevel="1">
      <c r="B269" s="247"/>
      <c r="E269" s="349" t="s">
        <v>1148</v>
      </c>
      <c r="F269" s="717" t="s">
        <v>158</v>
      </c>
      <c r="G269" s="718"/>
      <c r="H269" s="718"/>
      <c r="I269" s="718"/>
      <c r="J269" s="64">
        <v>0.15</v>
      </c>
      <c r="K269" s="350">
        <f>K266*J269</f>
        <v>6.09</v>
      </c>
      <c r="L269" s="196"/>
      <c r="M269" s="196"/>
      <c r="R269" s="249"/>
      <c r="T269" s="45"/>
      <c r="V269" s="402"/>
      <c r="W269" s="42"/>
      <c r="X269" s="42"/>
    </row>
    <row r="270" spans="2:24" outlineLevel="1">
      <c r="B270" s="237"/>
      <c r="C270" s="345"/>
      <c r="D270" s="345" t="s">
        <v>62</v>
      </c>
      <c r="E270" s="346">
        <v>998773202</v>
      </c>
      <c r="F270" s="719" t="s">
        <v>1157</v>
      </c>
      <c r="G270" s="719"/>
      <c r="H270" s="719"/>
      <c r="I270" s="719"/>
      <c r="J270" s="63" t="s">
        <v>70</v>
      </c>
      <c r="K270" s="66">
        <f>SUM(N264:Q267)</f>
        <v>0</v>
      </c>
      <c r="L270" s="759"/>
      <c r="M270" s="759"/>
      <c r="N270" s="720">
        <f>ROUND(L270*K270,2)</f>
        <v>0</v>
      </c>
      <c r="O270" s="720"/>
      <c r="P270" s="720"/>
      <c r="Q270" s="720"/>
      <c r="R270" s="238"/>
      <c r="T270" s="45"/>
    </row>
    <row r="271" spans="2:24" s="341" customFormat="1" ht="12.75">
      <c r="B271" s="340"/>
      <c r="C271" s="344"/>
      <c r="D271" s="344" t="s">
        <v>53</v>
      </c>
      <c r="E271" s="344"/>
      <c r="F271" s="344"/>
      <c r="G271" s="344"/>
      <c r="H271" s="344"/>
      <c r="I271" s="344"/>
      <c r="J271" s="61"/>
      <c r="K271" s="344"/>
      <c r="L271" s="72"/>
      <c r="M271" s="72"/>
      <c r="N271" s="734">
        <f>SUM(N272:Q285)</f>
        <v>0</v>
      </c>
      <c r="O271" s="734"/>
      <c r="P271" s="734"/>
      <c r="Q271" s="734"/>
      <c r="R271" s="342"/>
      <c r="T271" s="45">
        <f>SUM(N271:Q285)/2</f>
        <v>0</v>
      </c>
      <c r="U271" s="248"/>
      <c r="V271" s="398"/>
      <c r="W271" s="399"/>
      <c r="X271" s="399"/>
    </row>
    <row r="272" spans="2:24" outlineLevel="1">
      <c r="B272" s="237"/>
      <c r="C272" s="345"/>
      <c r="D272" s="345" t="s">
        <v>62</v>
      </c>
      <c r="E272" s="346">
        <v>775413115</v>
      </c>
      <c r="F272" s="719" t="s">
        <v>1160</v>
      </c>
      <c r="G272" s="719"/>
      <c r="H272" s="719"/>
      <c r="I272" s="719"/>
      <c r="J272" s="63" t="s">
        <v>68</v>
      </c>
      <c r="K272" s="347">
        <f>SUM(K273)</f>
        <v>68</v>
      </c>
      <c r="L272" s="726"/>
      <c r="M272" s="726"/>
      <c r="N272" s="720">
        <f>ROUND(L272*K272,2)</f>
        <v>0</v>
      </c>
      <c r="O272" s="720"/>
      <c r="P272" s="720"/>
      <c r="Q272" s="720"/>
      <c r="R272" s="238"/>
      <c r="T272" s="45"/>
    </row>
    <row r="273" spans="2:24" s="248" customFormat="1" outlineLevel="1">
      <c r="B273" s="247"/>
      <c r="E273" s="349" t="s">
        <v>1161</v>
      </c>
      <c r="F273" s="717" t="s">
        <v>110</v>
      </c>
      <c r="G273" s="718"/>
      <c r="H273" s="718"/>
      <c r="I273" s="718"/>
      <c r="J273" s="64"/>
      <c r="K273" s="350">
        <f>(5.7+5.9+3.5+5.7+6.3+6.9)*2</f>
        <v>68</v>
      </c>
      <c r="L273" s="196"/>
      <c r="M273" s="196"/>
      <c r="R273" s="249"/>
      <c r="T273" s="45"/>
      <c r="V273" s="402"/>
      <c r="W273" s="42"/>
      <c r="X273" s="42"/>
    </row>
    <row r="274" spans="2:24" ht="13.5" customHeight="1" outlineLevel="1">
      <c r="B274" s="237"/>
      <c r="C274" s="383"/>
      <c r="D274" s="383" t="s">
        <v>65</v>
      </c>
      <c r="E274" s="384">
        <v>61418155</v>
      </c>
      <c r="F274" s="751" t="s">
        <v>1162</v>
      </c>
      <c r="G274" s="751"/>
      <c r="H274" s="751"/>
      <c r="I274" s="751"/>
      <c r="J274" s="65" t="s">
        <v>68</v>
      </c>
      <c r="K274" s="385">
        <f>K272*1.1</f>
        <v>74.800000000000011</v>
      </c>
      <c r="L274" s="726"/>
      <c r="M274" s="726"/>
      <c r="N274" s="752">
        <f>ROUND(L274*K274,2)</f>
        <v>0</v>
      </c>
      <c r="O274" s="720"/>
      <c r="P274" s="720"/>
      <c r="Q274" s="720"/>
      <c r="R274" s="238"/>
      <c r="T274" s="45"/>
    </row>
    <row r="275" spans="2:24" outlineLevel="1">
      <c r="B275" s="237"/>
      <c r="C275" s="345"/>
      <c r="D275" s="345" t="s">
        <v>62</v>
      </c>
      <c r="E275" s="346">
        <v>762526110</v>
      </c>
      <c r="F275" s="760" t="s">
        <v>1962</v>
      </c>
      <c r="G275" s="761"/>
      <c r="H275" s="761"/>
      <c r="I275" s="762"/>
      <c r="J275" s="63" t="s">
        <v>63</v>
      </c>
      <c r="K275" s="347">
        <f>SUM(K276:K276)</f>
        <v>101.85</v>
      </c>
      <c r="L275" s="726"/>
      <c r="M275" s="726"/>
      <c r="N275" s="763">
        <f>ROUND(L275*K275,2)</f>
        <v>0</v>
      </c>
      <c r="O275" s="764"/>
      <c r="P275" s="764"/>
      <c r="Q275" s="765"/>
      <c r="R275" s="238"/>
      <c r="T275" s="45"/>
    </row>
    <row r="276" spans="2:24" s="248" customFormat="1" ht="11.25" customHeight="1" outlineLevel="1">
      <c r="B276" s="247"/>
      <c r="E276" s="349" t="s">
        <v>1164</v>
      </c>
      <c r="F276" s="717" t="s">
        <v>110</v>
      </c>
      <c r="G276" s="718"/>
      <c r="H276" s="718"/>
      <c r="I276" s="718"/>
      <c r="J276" s="64"/>
      <c r="K276" s="350">
        <f>34+24.54+43.31</f>
        <v>101.85</v>
      </c>
      <c r="L276" s="196"/>
      <c r="M276" s="196"/>
      <c r="R276" s="249"/>
      <c r="T276" s="45"/>
      <c r="V276" s="402"/>
      <c r="W276" s="42"/>
      <c r="X276" s="42"/>
    </row>
    <row r="277" spans="2:24" outlineLevel="1">
      <c r="B277" s="237"/>
      <c r="C277" s="383"/>
      <c r="D277" s="383" t="s">
        <v>65</v>
      </c>
      <c r="E277" s="384">
        <v>60515111</v>
      </c>
      <c r="F277" s="751" t="s">
        <v>1963</v>
      </c>
      <c r="G277" s="751"/>
      <c r="H277" s="751"/>
      <c r="I277" s="751"/>
      <c r="J277" s="65" t="s">
        <v>64</v>
      </c>
      <c r="K277" s="385">
        <f>K275/0.55*0.1*0.025</f>
        <v>0.4629545454545454</v>
      </c>
      <c r="L277" s="726"/>
      <c r="M277" s="726"/>
      <c r="N277" s="752">
        <f>ROUND(L277*K277,2)</f>
        <v>0</v>
      </c>
      <c r="O277" s="720"/>
      <c r="P277" s="720"/>
      <c r="Q277" s="720"/>
      <c r="R277" s="238"/>
      <c r="T277" s="45"/>
    </row>
    <row r="278" spans="2:24" outlineLevel="1">
      <c r="B278" s="237"/>
      <c r="C278" s="345"/>
      <c r="D278" s="345" t="s">
        <v>62</v>
      </c>
      <c r="E278" s="346">
        <v>762524104</v>
      </c>
      <c r="F278" s="760" t="s">
        <v>1964</v>
      </c>
      <c r="G278" s="761"/>
      <c r="H278" s="761"/>
      <c r="I278" s="762"/>
      <c r="J278" s="63" t="s">
        <v>63</v>
      </c>
      <c r="K278" s="347">
        <f>K275</f>
        <v>101.85</v>
      </c>
      <c r="L278" s="726"/>
      <c r="M278" s="726"/>
      <c r="N278" s="763">
        <f>ROUND(L278*K278,2)</f>
        <v>0</v>
      </c>
      <c r="O278" s="764"/>
      <c r="P278" s="764"/>
      <c r="Q278" s="765"/>
      <c r="R278" s="238"/>
      <c r="T278" s="45"/>
    </row>
    <row r="279" spans="2:24" ht="13.5" customHeight="1" outlineLevel="1">
      <c r="B279" s="237"/>
      <c r="C279" s="383"/>
      <c r="D279" s="383" t="s">
        <v>65</v>
      </c>
      <c r="E279" s="384">
        <v>61189990</v>
      </c>
      <c r="F279" s="751" t="s">
        <v>1163</v>
      </c>
      <c r="G279" s="751"/>
      <c r="H279" s="751"/>
      <c r="I279" s="751"/>
      <c r="J279" s="65" t="s">
        <v>63</v>
      </c>
      <c r="K279" s="385">
        <f>SUM(K280:K280)</f>
        <v>44.814000000000007</v>
      </c>
      <c r="L279" s="726"/>
      <c r="M279" s="726"/>
      <c r="N279" s="752">
        <f>ROUND(L279*K279,2)</f>
        <v>0</v>
      </c>
      <c r="O279" s="720"/>
      <c r="P279" s="720"/>
      <c r="Q279" s="720"/>
      <c r="R279" s="238"/>
      <c r="T279" s="45"/>
    </row>
    <row r="280" spans="2:24" s="248" customFormat="1" ht="11.25" customHeight="1" outlineLevel="1">
      <c r="B280" s="247"/>
      <c r="E280" s="349" t="s">
        <v>1164</v>
      </c>
      <c r="F280" s="717" t="s">
        <v>110</v>
      </c>
      <c r="G280" s="718"/>
      <c r="H280" s="718"/>
      <c r="I280" s="718"/>
      <c r="J280" s="141">
        <v>0.4</v>
      </c>
      <c r="K280" s="350">
        <f>(34+24.54+43.31)*J280*1.1</f>
        <v>44.814000000000007</v>
      </c>
      <c r="L280" s="196"/>
      <c r="M280" s="196"/>
      <c r="R280" s="249"/>
      <c r="T280" s="45"/>
      <c r="V280" s="402"/>
      <c r="W280" s="42"/>
      <c r="X280" s="42"/>
    </row>
    <row r="281" spans="2:24" outlineLevel="1">
      <c r="B281" s="237"/>
      <c r="C281" s="345"/>
      <c r="D281" s="345" t="s">
        <v>62</v>
      </c>
      <c r="E281" s="346">
        <v>775591311</v>
      </c>
      <c r="F281" s="719" t="s">
        <v>1165</v>
      </c>
      <c r="G281" s="719"/>
      <c r="H281" s="719"/>
      <c r="I281" s="719"/>
      <c r="J281" s="63" t="s">
        <v>63</v>
      </c>
      <c r="K281" s="347">
        <f>K278</f>
        <v>101.85</v>
      </c>
      <c r="L281" s="726"/>
      <c r="M281" s="726"/>
      <c r="N281" s="720">
        <f>ROUND(L281*K281,2)</f>
        <v>0</v>
      </c>
      <c r="O281" s="720"/>
      <c r="P281" s="720"/>
      <c r="Q281" s="720"/>
      <c r="R281" s="238"/>
      <c r="T281" s="45"/>
    </row>
    <row r="282" spans="2:24" outlineLevel="1">
      <c r="B282" s="237"/>
      <c r="C282" s="345"/>
      <c r="D282" s="345" t="s">
        <v>62</v>
      </c>
      <c r="E282" s="346">
        <v>775591314</v>
      </c>
      <c r="F282" s="719" t="s">
        <v>1166</v>
      </c>
      <c r="G282" s="719"/>
      <c r="H282" s="719"/>
      <c r="I282" s="719"/>
      <c r="J282" s="63" t="s">
        <v>63</v>
      </c>
      <c r="K282" s="347">
        <f>K281</f>
        <v>101.85</v>
      </c>
      <c r="L282" s="726"/>
      <c r="M282" s="726"/>
      <c r="N282" s="720">
        <f>ROUND(L282*K282,2)</f>
        <v>0</v>
      </c>
      <c r="O282" s="720"/>
      <c r="P282" s="720"/>
      <c r="Q282" s="720"/>
      <c r="R282" s="238"/>
      <c r="T282" s="45"/>
    </row>
    <row r="283" spans="2:24" outlineLevel="1">
      <c r="B283" s="237"/>
      <c r="C283" s="345"/>
      <c r="D283" s="345" t="s">
        <v>62</v>
      </c>
      <c r="E283" s="346" t="s">
        <v>1167</v>
      </c>
      <c r="F283" s="719" t="s">
        <v>1168</v>
      </c>
      <c r="G283" s="719"/>
      <c r="H283" s="719"/>
      <c r="I283" s="719"/>
      <c r="J283" s="63" t="s">
        <v>63</v>
      </c>
      <c r="K283" s="347">
        <f>K282</f>
        <v>101.85</v>
      </c>
      <c r="L283" s="726"/>
      <c r="M283" s="726"/>
      <c r="N283" s="720">
        <f>ROUND(L283*K283,2)</f>
        <v>0</v>
      </c>
      <c r="O283" s="720"/>
      <c r="P283" s="720"/>
      <c r="Q283" s="720"/>
      <c r="R283" s="238"/>
      <c r="T283" s="45"/>
    </row>
    <row r="284" spans="2:24" outlineLevel="1">
      <c r="B284" s="237"/>
      <c r="C284" s="345"/>
      <c r="D284" s="345" t="s">
        <v>62</v>
      </c>
      <c r="E284" s="346">
        <v>776991141</v>
      </c>
      <c r="F284" s="719" t="s">
        <v>448</v>
      </c>
      <c r="G284" s="719"/>
      <c r="H284" s="719"/>
      <c r="I284" s="719"/>
      <c r="J284" s="63" t="s">
        <v>63</v>
      </c>
      <c r="K284" s="347">
        <f>K283</f>
        <v>101.85</v>
      </c>
      <c r="L284" s="726"/>
      <c r="M284" s="726"/>
      <c r="N284" s="720">
        <f>ROUND(L284*K284,2)</f>
        <v>0</v>
      </c>
      <c r="O284" s="720"/>
      <c r="P284" s="720"/>
      <c r="Q284" s="720"/>
      <c r="R284" s="238"/>
      <c r="T284" s="45"/>
    </row>
    <row r="285" spans="2:24" outlineLevel="1">
      <c r="B285" s="237"/>
      <c r="C285" s="345"/>
      <c r="D285" s="345" t="s">
        <v>62</v>
      </c>
      <c r="E285" s="346">
        <v>998775202</v>
      </c>
      <c r="F285" s="719" t="s">
        <v>1152</v>
      </c>
      <c r="G285" s="719"/>
      <c r="H285" s="719"/>
      <c r="I285" s="719"/>
      <c r="J285" s="63" t="s">
        <v>70</v>
      </c>
      <c r="K285" s="66">
        <f>SUM(N272:Q284)</f>
        <v>0</v>
      </c>
      <c r="L285" s="759"/>
      <c r="M285" s="759"/>
      <c r="N285" s="720">
        <f>ROUND(L285*K285,2)</f>
        <v>0</v>
      </c>
      <c r="O285" s="720"/>
      <c r="P285" s="720"/>
      <c r="Q285" s="720"/>
      <c r="R285" s="238"/>
      <c r="T285" s="45"/>
    </row>
    <row r="286" spans="2:24" s="341" customFormat="1" ht="12.75">
      <c r="B286" s="340"/>
      <c r="C286" s="344"/>
      <c r="D286" s="344" t="s">
        <v>171</v>
      </c>
      <c r="E286" s="344"/>
      <c r="F286" s="344"/>
      <c r="G286" s="344"/>
      <c r="H286" s="344"/>
      <c r="I286" s="344"/>
      <c r="J286" s="61"/>
      <c r="K286" s="344"/>
      <c r="L286" s="72"/>
      <c r="M286" s="72"/>
      <c r="N286" s="734">
        <f>SUM(N287:Q292)</f>
        <v>0</v>
      </c>
      <c r="O286" s="734"/>
      <c r="P286" s="734"/>
      <c r="Q286" s="734"/>
      <c r="R286" s="342"/>
      <c r="T286" s="45">
        <f>SUM(N286:Q292)/2</f>
        <v>0</v>
      </c>
      <c r="U286" s="248"/>
      <c r="V286" s="398"/>
      <c r="W286" s="399"/>
      <c r="X286" s="399"/>
    </row>
    <row r="287" spans="2:24" outlineLevel="1">
      <c r="B287" s="237"/>
      <c r="C287" s="345"/>
      <c r="D287" s="345" t="s">
        <v>62</v>
      </c>
      <c r="E287" s="346">
        <v>781121011</v>
      </c>
      <c r="F287" s="719" t="s">
        <v>1178</v>
      </c>
      <c r="G287" s="719"/>
      <c r="H287" s="719"/>
      <c r="I287" s="719"/>
      <c r="J287" s="63" t="s">
        <v>63</v>
      </c>
      <c r="K287" s="347">
        <f>SUM(K288:K288)</f>
        <v>18.36</v>
      </c>
      <c r="L287" s="726"/>
      <c r="M287" s="726"/>
      <c r="N287" s="720">
        <f>ROUND(L287*K287,2)</f>
        <v>0</v>
      </c>
      <c r="O287" s="720"/>
      <c r="P287" s="720"/>
      <c r="Q287" s="720"/>
      <c r="R287" s="238"/>
      <c r="T287" s="45"/>
    </row>
    <row r="288" spans="2:24" s="410" customFormat="1" outlineLevel="1">
      <c r="B288" s="409"/>
      <c r="E288" s="349" t="s">
        <v>1177</v>
      </c>
      <c r="F288" s="717" t="s">
        <v>2528</v>
      </c>
      <c r="G288" s="718" t="e">
        <f>(2.6*2+0.9*2+1*3+1.5*3+3.1+1.4+2.3+0.9+1.9+1.3+1.2*2+1.8*3+1.7*3+1.7*2+2.9+1.6+2.6+1.3+2.4)*2*F288</f>
        <v>#VALUE!</v>
      </c>
      <c r="H288" s="718" t="e">
        <f>(2.6*2+0.9*2+1*3+1.5*3+3.1+1.4+2.3+0.9+1.9+1.3+1.2*2+1.8*3+1.7*3+1.7*2+2.9+1.6+2.6+1.3+2.4)*2*G288</f>
        <v>#VALUE!</v>
      </c>
      <c r="I288" s="718" t="e">
        <f>(2.6*2+0.9*2+1*3+1.5*3+3.1+1.4+2.3+0.9+1.9+1.3+1.2*2+1.8*3+1.7*3+1.7*2+2.9+1.6+2.6+1.3+2.4)*2*H288</f>
        <v>#VALUE!</v>
      </c>
      <c r="J288" s="64">
        <v>1.8</v>
      </c>
      <c r="K288" s="350">
        <f>(5.1)*2*J288</f>
        <v>18.36</v>
      </c>
      <c r="L288" s="200"/>
      <c r="M288" s="200"/>
      <c r="R288" s="411"/>
      <c r="T288" s="45"/>
      <c r="U288" s="248"/>
      <c r="V288" s="412"/>
      <c r="W288" s="413"/>
      <c r="X288" s="413"/>
    </row>
    <row r="289" spans="2:24" ht="30.75" customHeight="1" outlineLevel="1">
      <c r="B289" s="237"/>
      <c r="C289" s="345"/>
      <c r="D289" s="345" t="s">
        <v>62</v>
      </c>
      <c r="E289" s="346">
        <v>781474115</v>
      </c>
      <c r="F289" s="719" t="s">
        <v>452</v>
      </c>
      <c r="G289" s="719"/>
      <c r="H289" s="719"/>
      <c r="I289" s="719"/>
      <c r="J289" s="63" t="s">
        <v>63</v>
      </c>
      <c r="K289" s="347">
        <f>K287</f>
        <v>18.36</v>
      </c>
      <c r="L289" s="726"/>
      <c r="M289" s="726"/>
      <c r="N289" s="720">
        <f>ROUND(L289*K289,2)</f>
        <v>0</v>
      </c>
      <c r="O289" s="720"/>
      <c r="P289" s="720"/>
      <c r="Q289" s="720"/>
      <c r="R289" s="238"/>
      <c r="T289" s="45"/>
    </row>
    <row r="290" spans="2:24" outlineLevel="1">
      <c r="B290" s="237"/>
      <c r="C290" s="383"/>
      <c r="D290" s="383" t="s">
        <v>65</v>
      </c>
      <c r="E290" s="384">
        <v>59761068</v>
      </c>
      <c r="F290" s="751" t="s">
        <v>453</v>
      </c>
      <c r="G290" s="751"/>
      <c r="H290" s="751"/>
      <c r="I290" s="751"/>
      <c r="J290" s="65" t="s">
        <v>63</v>
      </c>
      <c r="K290" s="385">
        <f>K289*1.1</f>
        <v>20.196000000000002</v>
      </c>
      <c r="L290" s="726"/>
      <c r="M290" s="726"/>
      <c r="N290" s="752">
        <f>ROUND(L290*K290,2)</f>
        <v>0</v>
      </c>
      <c r="O290" s="720"/>
      <c r="P290" s="720"/>
      <c r="Q290" s="720"/>
      <c r="R290" s="238"/>
      <c r="T290" s="45"/>
    </row>
    <row r="291" spans="2:24" outlineLevel="1">
      <c r="B291" s="237"/>
      <c r="C291" s="345"/>
      <c r="D291" s="345" t="s">
        <v>69</v>
      </c>
      <c r="E291" s="346" t="s">
        <v>172</v>
      </c>
      <c r="F291" s="719" t="s">
        <v>2323</v>
      </c>
      <c r="G291" s="719"/>
      <c r="H291" s="719"/>
      <c r="I291" s="719"/>
      <c r="J291" s="63" t="s">
        <v>68</v>
      </c>
      <c r="K291" s="347">
        <f>K288/J288</f>
        <v>10.199999999999999</v>
      </c>
      <c r="L291" s="726"/>
      <c r="M291" s="726"/>
      <c r="N291" s="720">
        <f>ROUND(L291*K291,2)</f>
        <v>0</v>
      </c>
      <c r="O291" s="720"/>
      <c r="P291" s="720"/>
      <c r="Q291" s="720"/>
      <c r="R291" s="238"/>
      <c r="T291" s="45"/>
    </row>
    <row r="292" spans="2:24" outlineLevel="1">
      <c r="B292" s="237"/>
      <c r="C292" s="345"/>
      <c r="D292" s="345" t="s">
        <v>62</v>
      </c>
      <c r="E292" s="346">
        <v>998781202</v>
      </c>
      <c r="F292" s="719" t="s">
        <v>1179</v>
      </c>
      <c r="G292" s="719"/>
      <c r="H292" s="719"/>
      <c r="I292" s="719"/>
      <c r="J292" s="63" t="s">
        <v>70</v>
      </c>
      <c r="K292" s="66">
        <f>SUM(N287:Q291)</f>
        <v>0</v>
      </c>
      <c r="L292" s="759"/>
      <c r="M292" s="759"/>
      <c r="N292" s="720">
        <f>ROUND(L292*K292,2)</f>
        <v>0</v>
      </c>
      <c r="O292" s="720"/>
      <c r="P292" s="720"/>
      <c r="Q292" s="720"/>
      <c r="R292" s="238"/>
      <c r="T292" s="45"/>
    </row>
    <row r="293" spans="2:24" s="341" customFormat="1" ht="12.75">
      <c r="B293" s="340"/>
      <c r="C293" s="344"/>
      <c r="D293" s="344" t="s">
        <v>105</v>
      </c>
      <c r="E293" s="344"/>
      <c r="F293" s="344"/>
      <c r="G293" s="344"/>
      <c r="H293" s="344"/>
      <c r="I293" s="344"/>
      <c r="J293" s="61"/>
      <c r="K293" s="344"/>
      <c r="L293" s="72"/>
      <c r="M293" s="72"/>
      <c r="N293" s="734">
        <f>SUM(N294:Q297)</f>
        <v>0</v>
      </c>
      <c r="O293" s="734"/>
      <c r="P293" s="734"/>
      <c r="Q293" s="734"/>
      <c r="R293" s="342"/>
      <c r="T293" s="45">
        <f>SUM(N293:Q297)/2</f>
        <v>0</v>
      </c>
      <c r="U293" s="248"/>
      <c r="V293" s="398"/>
      <c r="W293" s="399"/>
      <c r="X293" s="399"/>
    </row>
    <row r="294" spans="2:24" outlineLevel="1">
      <c r="B294" s="237"/>
      <c r="C294" s="345"/>
      <c r="D294" s="345" t="s">
        <v>62</v>
      </c>
      <c r="E294" s="346">
        <v>783801503</v>
      </c>
      <c r="F294" s="719" t="s">
        <v>1063</v>
      </c>
      <c r="G294" s="719"/>
      <c r="H294" s="719"/>
      <c r="I294" s="719"/>
      <c r="J294" s="63" t="s">
        <v>63</v>
      </c>
      <c r="K294" s="347">
        <f>SUM(K295)</f>
        <v>48.15</v>
      </c>
      <c r="L294" s="726"/>
      <c r="M294" s="726"/>
      <c r="N294" s="720">
        <f>ROUND(L294*K294,2)</f>
        <v>0</v>
      </c>
      <c r="O294" s="720"/>
      <c r="P294" s="720"/>
      <c r="Q294" s="720"/>
      <c r="R294" s="238"/>
      <c r="T294" s="45"/>
    </row>
    <row r="295" spans="2:24" s="248" customFormat="1" outlineLevel="1">
      <c r="B295" s="247"/>
      <c r="E295" s="349" t="s">
        <v>1062</v>
      </c>
      <c r="F295" s="717" t="s">
        <v>158</v>
      </c>
      <c r="G295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H295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I295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J295" s="64"/>
      <c r="K295" s="350">
        <f>K185</f>
        <v>48.15</v>
      </c>
      <c r="L295" s="196"/>
      <c r="M295" s="196"/>
      <c r="R295" s="249"/>
      <c r="T295" s="45"/>
      <c r="V295" s="402"/>
      <c r="W295" s="42"/>
      <c r="X295" s="42"/>
    </row>
    <row r="296" spans="2:24" outlineLevel="1">
      <c r="B296" s="237"/>
      <c r="C296" s="345"/>
      <c r="D296" s="345" t="s">
        <v>62</v>
      </c>
      <c r="E296" s="346" t="s">
        <v>1064</v>
      </c>
      <c r="F296" s="719" t="s">
        <v>1065</v>
      </c>
      <c r="G296" s="719"/>
      <c r="H296" s="719"/>
      <c r="I296" s="719"/>
      <c r="J296" s="63" t="s">
        <v>63</v>
      </c>
      <c r="K296" s="347">
        <f>K294</f>
        <v>48.15</v>
      </c>
      <c r="L296" s="726"/>
      <c r="M296" s="726"/>
      <c r="N296" s="720">
        <f>ROUND(L296*K296,2)</f>
        <v>0</v>
      </c>
      <c r="O296" s="720"/>
      <c r="P296" s="720"/>
      <c r="Q296" s="720"/>
      <c r="R296" s="238"/>
      <c r="T296" s="45"/>
    </row>
    <row r="297" spans="2:24" outlineLevel="1">
      <c r="B297" s="237"/>
      <c r="C297" s="345"/>
      <c r="D297" s="345" t="s">
        <v>62</v>
      </c>
      <c r="E297" s="346" t="s">
        <v>1066</v>
      </c>
      <c r="F297" s="719" t="s">
        <v>407</v>
      </c>
      <c r="G297" s="719"/>
      <c r="H297" s="719"/>
      <c r="I297" s="719"/>
      <c r="J297" s="63" t="s">
        <v>63</v>
      </c>
      <c r="K297" s="347">
        <f>K296</f>
        <v>48.15</v>
      </c>
      <c r="L297" s="726"/>
      <c r="M297" s="726"/>
      <c r="N297" s="720">
        <f>ROUND(L297*K297,2)</f>
        <v>0</v>
      </c>
      <c r="O297" s="720"/>
      <c r="P297" s="720"/>
      <c r="Q297" s="720"/>
      <c r="R297" s="238"/>
      <c r="T297" s="45"/>
    </row>
    <row r="298" spans="2:24" s="341" customFormat="1" ht="12.75">
      <c r="B298" s="340"/>
      <c r="C298" s="344"/>
      <c r="D298" s="344" t="s">
        <v>54</v>
      </c>
      <c r="E298" s="344"/>
      <c r="F298" s="344"/>
      <c r="G298" s="344"/>
      <c r="H298" s="344"/>
      <c r="I298" s="344"/>
      <c r="J298" s="61"/>
      <c r="K298" s="344"/>
      <c r="L298" s="72"/>
      <c r="M298" s="72"/>
      <c r="N298" s="734">
        <f>SUM(N299:Q307)</f>
        <v>0</v>
      </c>
      <c r="O298" s="734"/>
      <c r="P298" s="734"/>
      <c r="Q298" s="734"/>
      <c r="R298" s="342"/>
      <c r="T298" s="45">
        <f>SUM(N298:Q307)/2</f>
        <v>0</v>
      </c>
      <c r="U298" s="248"/>
      <c r="V298" s="398"/>
      <c r="W298" s="399"/>
      <c r="X298" s="399"/>
    </row>
    <row r="299" spans="2:24" outlineLevel="1">
      <c r="B299" s="237"/>
      <c r="C299" s="345"/>
      <c r="D299" s="345" t="s">
        <v>62</v>
      </c>
      <c r="E299" s="346" t="s">
        <v>90</v>
      </c>
      <c r="F299" s="719" t="s">
        <v>91</v>
      </c>
      <c r="G299" s="719"/>
      <c r="H299" s="719"/>
      <c r="I299" s="719"/>
      <c r="J299" s="63" t="s">
        <v>63</v>
      </c>
      <c r="K299" s="347">
        <f>SUM(K300:K302)</f>
        <v>594.48077999999998</v>
      </c>
      <c r="L299" s="726"/>
      <c r="M299" s="726"/>
      <c r="N299" s="720">
        <f>ROUND(L299*K299,2)</f>
        <v>0</v>
      </c>
      <c r="O299" s="720"/>
      <c r="P299" s="720"/>
      <c r="Q299" s="720"/>
      <c r="R299" s="238"/>
      <c r="T299" s="45"/>
    </row>
    <row r="300" spans="2:24" s="248" customFormat="1" outlineLevel="1">
      <c r="B300" s="247"/>
      <c r="E300" s="349" t="s">
        <v>103</v>
      </c>
      <c r="F300" s="717" t="s">
        <v>158</v>
      </c>
      <c r="G300" s="718"/>
      <c r="H300" s="718"/>
      <c r="I300" s="718"/>
      <c r="J300" s="64"/>
      <c r="K300" s="350">
        <f>K176+K179+K182</f>
        <v>503.92828000000003</v>
      </c>
      <c r="L300" s="196"/>
      <c r="M300" s="196"/>
      <c r="R300" s="249"/>
      <c r="T300" s="45"/>
      <c r="V300" s="402"/>
      <c r="W300" s="42"/>
      <c r="X300" s="42"/>
    </row>
    <row r="301" spans="2:24" s="248" customFormat="1" outlineLevel="1">
      <c r="B301" s="247"/>
      <c r="E301" s="349" t="s">
        <v>104</v>
      </c>
      <c r="F301" s="717" t="s">
        <v>158</v>
      </c>
      <c r="G301" s="718"/>
      <c r="H301" s="718"/>
      <c r="I301" s="718"/>
      <c r="J301" s="64"/>
      <c r="K301" s="350">
        <f>K241+K243</f>
        <v>108.91249999999999</v>
      </c>
      <c r="L301" s="196"/>
      <c r="M301" s="196"/>
      <c r="R301" s="249"/>
      <c r="T301" s="45"/>
      <c r="V301" s="402"/>
      <c r="W301" s="42"/>
      <c r="X301" s="42"/>
    </row>
    <row r="302" spans="2:24" s="248" customFormat="1" outlineLevel="1">
      <c r="B302" s="247"/>
      <c r="E302" s="349" t="s">
        <v>251</v>
      </c>
      <c r="F302" s="717" t="s">
        <v>158</v>
      </c>
      <c r="G302" s="718"/>
      <c r="H302" s="718"/>
      <c r="I302" s="718"/>
      <c r="J302" s="64">
        <v>-1</v>
      </c>
      <c r="K302" s="350">
        <f>K287*J302</f>
        <v>-18.36</v>
      </c>
      <c r="L302" s="196"/>
      <c r="M302" s="196"/>
      <c r="R302" s="249"/>
      <c r="T302" s="45"/>
      <c r="V302" s="402"/>
      <c r="W302" s="42"/>
      <c r="X302" s="42"/>
    </row>
    <row r="303" spans="2:24" ht="29.25" customHeight="1" outlineLevel="1">
      <c r="B303" s="237"/>
      <c r="C303" s="345"/>
      <c r="D303" s="345" t="s">
        <v>62</v>
      </c>
      <c r="E303" s="346" t="s">
        <v>92</v>
      </c>
      <c r="F303" s="760" t="s">
        <v>93</v>
      </c>
      <c r="G303" s="761"/>
      <c r="H303" s="761"/>
      <c r="I303" s="762"/>
      <c r="J303" s="63" t="s">
        <v>63</v>
      </c>
      <c r="K303" s="347">
        <f>K299</f>
        <v>594.48077999999998</v>
      </c>
      <c r="L303" s="726"/>
      <c r="M303" s="726"/>
      <c r="N303" s="763">
        <f>ROUND(L303*K303,2)</f>
        <v>0</v>
      </c>
      <c r="O303" s="764"/>
      <c r="P303" s="764"/>
      <c r="Q303" s="765"/>
      <c r="R303" s="238"/>
      <c r="T303" s="45"/>
    </row>
    <row r="304" spans="2:24" s="248" customFormat="1" outlineLevel="1">
      <c r="B304" s="247"/>
      <c r="E304" s="349" t="s">
        <v>1187</v>
      </c>
      <c r="F304" s="717" t="s">
        <v>158</v>
      </c>
      <c r="G304" s="718"/>
      <c r="H304" s="718"/>
      <c r="I304" s="718"/>
      <c r="J304" s="64"/>
      <c r="K304" s="350">
        <f>K299</f>
        <v>594.48077999999998</v>
      </c>
      <c r="L304" s="196"/>
      <c r="M304" s="196"/>
      <c r="R304" s="249"/>
      <c r="T304" s="45"/>
      <c r="V304" s="402"/>
      <c r="W304" s="42"/>
      <c r="X304" s="42"/>
    </row>
    <row r="305" spans="2:29" s="248" customFormat="1" outlineLevel="1">
      <c r="B305" s="247"/>
      <c r="E305" s="349" t="s">
        <v>1189</v>
      </c>
      <c r="F305" s="717" t="s">
        <v>158</v>
      </c>
      <c r="G305" s="718"/>
      <c r="H305" s="718"/>
      <c r="I305" s="718"/>
      <c r="J305" s="64">
        <v>-1</v>
      </c>
      <c r="K305" s="350">
        <f>K306*J305</f>
        <v>-116.61</v>
      </c>
      <c r="L305" s="196"/>
      <c r="M305" s="196"/>
      <c r="R305" s="249"/>
      <c r="T305" s="45"/>
      <c r="V305" s="402"/>
      <c r="W305" s="42"/>
      <c r="X305" s="42"/>
    </row>
    <row r="306" spans="2:29" outlineLevel="1">
      <c r="B306" s="237"/>
      <c r="C306" s="345"/>
      <c r="D306" s="345" t="s">
        <v>62</v>
      </c>
      <c r="E306" s="346">
        <v>784341001</v>
      </c>
      <c r="F306" s="719" t="s">
        <v>1196</v>
      </c>
      <c r="G306" s="719"/>
      <c r="H306" s="719"/>
      <c r="I306" s="719"/>
      <c r="J306" s="63" t="s">
        <v>63</v>
      </c>
      <c r="K306" s="347">
        <f>SUM(K307:K307)</f>
        <v>116.61</v>
      </c>
      <c r="L306" s="726"/>
      <c r="M306" s="726"/>
      <c r="N306" s="720">
        <f>ROUND(L306*K306,2)</f>
        <v>0</v>
      </c>
      <c r="O306" s="720"/>
      <c r="P306" s="720"/>
      <c r="Q306" s="720"/>
      <c r="R306" s="238"/>
      <c r="T306" s="45"/>
    </row>
    <row r="307" spans="2:29" s="248" customFormat="1" outlineLevel="1">
      <c r="B307" s="247"/>
      <c r="E307" s="349" t="s">
        <v>1197</v>
      </c>
      <c r="F307" s="717" t="s">
        <v>158</v>
      </c>
      <c r="G307" s="718"/>
      <c r="H307" s="718"/>
      <c r="I307" s="718"/>
      <c r="J307" s="64"/>
      <c r="K307" s="350">
        <f>K177+K180</f>
        <v>116.61</v>
      </c>
      <c r="L307" s="196"/>
      <c r="M307" s="196"/>
      <c r="R307" s="249"/>
      <c r="T307" s="45"/>
      <c r="V307" s="402"/>
      <c r="W307" s="42"/>
      <c r="X307" s="42"/>
    </row>
    <row r="308" spans="2:29" ht="15.75">
      <c r="B308" s="237"/>
      <c r="C308" s="285"/>
      <c r="J308" s="47"/>
      <c r="L308" s="367"/>
      <c r="M308" s="367"/>
      <c r="N308" s="746"/>
      <c r="O308" s="747"/>
      <c r="P308" s="747"/>
      <c r="Q308" s="747"/>
      <c r="R308" s="238"/>
      <c r="V308" s="42"/>
      <c r="W308" s="42"/>
      <c r="X308" s="42"/>
      <c r="Y308" s="248"/>
      <c r="Z308" s="248"/>
      <c r="AA308" s="248"/>
      <c r="AB308" s="248"/>
      <c r="AC308" s="305"/>
    </row>
    <row r="309" spans="2:29" ht="15.75">
      <c r="B309" s="237"/>
      <c r="C309" s="285" t="s">
        <v>2453</v>
      </c>
      <c r="J309" s="47"/>
      <c r="L309" s="367"/>
      <c r="M309" s="367"/>
      <c r="N309" s="681">
        <f>N310+N574</f>
        <v>0</v>
      </c>
      <c r="O309" s="745"/>
      <c r="P309" s="745"/>
      <c r="Q309" s="745"/>
      <c r="R309" s="238"/>
      <c r="T309" s="42">
        <f>SUM(N309:Q1031)/4</f>
        <v>0</v>
      </c>
    </row>
    <row r="310" spans="2:29" s="341" customFormat="1" ht="15">
      <c r="B310" s="340"/>
      <c r="D310" s="323" t="s">
        <v>43</v>
      </c>
      <c r="E310" s="323"/>
      <c r="F310" s="323"/>
      <c r="G310" s="323"/>
      <c r="H310" s="323"/>
      <c r="I310" s="323"/>
      <c r="J310" s="60"/>
      <c r="K310" s="323"/>
      <c r="L310" s="73"/>
      <c r="M310" s="73"/>
      <c r="N310" s="730">
        <f>N311+N332+N368+N418+N471+N554+N558+N572</f>
        <v>0</v>
      </c>
      <c r="O310" s="730"/>
      <c r="P310" s="730"/>
      <c r="Q310" s="730"/>
      <c r="R310" s="342"/>
      <c r="T310" s="45">
        <f>SUM(N310:Q573)/3</f>
        <v>0</v>
      </c>
      <c r="U310" s="248"/>
      <c r="V310" s="398"/>
      <c r="W310" s="399"/>
      <c r="X310" s="399"/>
    </row>
    <row r="311" spans="2:29" s="341" customFormat="1" ht="12.75">
      <c r="B311" s="340"/>
      <c r="C311" s="344"/>
      <c r="D311" s="344" t="s">
        <v>44</v>
      </c>
      <c r="E311" s="344"/>
      <c r="F311" s="344"/>
      <c r="G311" s="344"/>
      <c r="H311" s="344"/>
      <c r="I311" s="344"/>
      <c r="J311" s="61"/>
      <c r="K311" s="344"/>
      <c r="L311" s="72"/>
      <c r="M311" s="72"/>
      <c r="N311" s="734">
        <f>SUM(N312:Q331)</f>
        <v>0</v>
      </c>
      <c r="O311" s="734"/>
      <c r="P311" s="734"/>
      <c r="Q311" s="734"/>
      <c r="R311" s="342"/>
      <c r="T311" s="62">
        <f>SUM(N311:Q331)/2</f>
        <v>0</v>
      </c>
      <c r="U311" s="352"/>
      <c r="V311" s="400"/>
      <c r="W311" s="401"/>
      <c r="X311" s="401"/>
      <c r="Y311" s="369"/>
    </row>
    <row r="312" spans="2:29" ht="27" customHeight="1" outlineLevel="1">
      <c r="B312" s="237"/>
      <c r="C312" s="345"/>
      <c r="D312" s="345" t="s">
        <v>62</v>
      </c>
      <c r="E312" s="346">
        <v>132212131</v>
      </c>
      <c r="F312" s="719" t="s">
        <v>858</v>
      </c>
      <c r="G312" s="719"/>
      <c r="H312" s="719"/>
      <c r="I312" s="719"/>
      <c r="J312" s="63" t="s">
        <v>64</v>
      </c>
      <c r="K312" s="347">
        <f>SUM(K313:K313)</f>
        <v>37.452480000000001</v>
      </c>
      <c r="L312" s="726"/>
      <c r="M312" s="726"/>
      <c r="N312" s="720">
        <f>ROUND(L312*K312,2)</f>
        <v>0</v>
      </c>
      <c r="O312" s="720"/>
      <c r="P312" s="720"/>
      <c r="Q312" s="720"/>
      <c r="R312" s="238"/>
      <c r="T312" s="45"/>
    </row>
    <row r="313" spans="2:29" s="248" customFormat="1" outlineLevel="1">
      <c r="B313" s="247"/>
      <c r="E313" s="349" t="s">
        <v>774</v>
      </c>
      <c r="F313" s="717" t="s">
        <v>863</v>
      </c>
      <c r="G313" s="718">
        <f>(2*1+13.755*0.6)*(1.41+0.15)</f>
        <v>15.994679999999999</v>
      </c>
      <c r="H313" s="718">
        <f>(2*1+13.755*0.6)*(1.41+0.15)</f>
        <v>15.994679999999999</v>
      </c>
      <c r="I313" s="718">
        <f>(2*1+13.755*0.6)*(1.41+0.15)</f>
        <v>15.994679999999999</v>
      </c>
      <c r="J313" s="64"/>
      <c r="K313" s="350">
        <f>(2*1+13.755*(0.6+1))*(1.41+0.15)</f>
        <v>37.452480000000001</v>
      </c>
      <c r="L313" s="196"/>
      <c r="M313" s="196"/>
      <c r="R313" s="249"/>
      <c r="T313" s="45"/>
      <c r="V313" s="402"/>
      <c r="W313" s="42"/>
      <c r="X313" s="42"/>
    </row>
    <row r="314" spans="2:29" s="248" customFormat="1" ht="33.75" outlineLevel="1">
      <c r="B314" s="247"/>
      <c r="E314" s="349" t="s">
        <v>775</v>
      </c>
      <c r="F314" s="717" t="s">
        <v>855</v>
      </c>
      <c r="G314" s="718">
        <f>(3+0.5+0.5)*1.9*1</f>
        <v>7.6</v>
      </c>
      <c r="H314" s="718">
        <f>(3+0.5+0.5)*1.9*1</f>
        <v>7.6</v>
      </c>
      <c r="I314" s="718">
        <f>(3+0.5+0.5)*1.9*1</f>
        <v>7.6</v>
      </c>
      <c r="J314" s="64"/>
      <c r="K314" s="350">
        <f>(3+0.5+0.5)*1.9*1</f>
        <v>7.6</v>
      </c>
      <c r="L314" s="196"/>
      <c r="M314" s="196"/>
      <c r="R314" s="249"/>
      <c r="T314" s="45"/>
      <c r="V314" s="402"/>
      <c r="W314" s="42"/>
      <c r="X314" s="42"/>
    </row>
    <row r="315" spans="2:29" outlineLevel="1">
      <c r="B315" s="237"/>
      <c r="C315" s="345"/>
      <c r="D315" s="345" t="s">
        <v>62</v>
      </c>
      <c r="E315" s="346">
        <v>131213701</v>
      </c>
      <c r="F315" s="719" t="s">
        <v>856</v>
      </c>
      <c r="G315" s="719"/>
      <c r="H315" s="719"/>
      <c r="I315" s="719"/>
      <c r="J315" s="63" t="s">
        <v>64</v>
      </c>
      <c r="K315" s="347">
        <f>SUM(K316:K317)</f>
        <v>44.487712499999994</v>
      </c>
      <c r="L315" s="726"/>
      <c r="M315" s="726"/>
      <c r="N315" s="720">
        <f>ROUND(L315*K315,2)</f>
        <v>0</v>
      </c>
      <c r="O315" s="720"/>
      <c r="P315" s="720"/>
      <c r="Q315" s="720"/>
      <c r="R315" s="238"/>
      <c r="T315" s="45"/>
    </row>
    <row r="316" spans="2:29" s="248" customFormat="1" outlineLevel="1">
      <c r="B316" s="247"/>
      <c r="E316" s="349" t="s">
        <v>857</v>
      </c>
      <c r="F316" s="717" t="s">
        <v>859</v>
      </c>
      <c r="G316" s="718">
        <f>(2.92+1)*(2.8+1+1)*(1.71+0.15)</f>
        <v>34.997759999999992</v>
      </c>
      <c r="H316" s="718">
        <f>(2.92+1)*(2.8+1+1)*(1.71+0.15)</f>
        <v>34.997759999999992</v>
      </c>
      <c r="I316" s="718">
        <f>(2.92+1)*(2.8+1+1)*(1.71+0.15)</f>
        <v>34.997759999999992</v>
      </c>
      <c r="J316" s="64"/>
      <c r="K316" s="350">
        <f>(2.92+1)*(2.8+1+1)*(1.71+0.15)</f>
        <v>34.997759999999992</v>
      </c>
      <c r="L316" s="196"/>
      <c r="M316" s="196"/>
      <c r="R316" s="249"/>
      <c r="T316" s="45"/>
      <c r="V316" s="402"/>
      <c r="W316" s="42"/>
      <c r="X316" s="42"/>
    </row>
    <row r="317" spans="2:29" s="248" customFormat="1" ht="22.5" outlineLevel="1">
      <c r="B317" s="247"/>
      <c r="E317" s="349" t="s">
        <v>867</v>
      </c>
      <c r="F317" s="717" t="s">
        <v>868</v>
      </c>
      <c r="G317" s="718" t="e">
        <f>1.225*16.66*F317</f>
        <v>#VALUE!</v>
      </c>
      <c r="H317" s="718" t="e">
        <f>1.225*16.66*G317</f>
        <v>#VALUE!</v>
      </c>
      <c r="I317" s="718" t="e">
        <f>1.225*16.66*H317</f>
        <v>#VALUE!</v>
      </c>
      <c r="J317" s="64">
        <v>0.46500000000000002</v>
      </c>
      <c r="K317" s="350">
        <f>1.225*16.66*J317</f>
        <v>9.4899525000000011</v>
      </c>
      <c r="L317" s="196"/>
      <c r="M317" s="196"/>
      <c r="R317" s="249"/>
      <c r="T317" s="45"/>
      <c r="V317" s="402"/>
      <c r="W317" s="42"/>
      <c r="X317" s="42"/>
    </row>
    <row r="318" spans="2:29" outlineLevel="1">
      <c r="B318" s="237"/>
      <c r="C318" s="345"/>
      <c r="D318" s="345" t="s">
        <v>62</v>
      </c>
      <c r="E318" s="346">
        <v>132211401</v>
      </c>
      <c r="F318" s="719" t="s">
        <v>391</v>
      </c>
      <c r="G318" s="719"/>
      <c r="H318" s="719"/>
      <c r="I318" s="719"/>
      <c r="J318" s="63" t="s">
        <v>64</v>
      </c>
      <c r="K318" s="347">
        <f>SUM(K319:K319)</f>
        <v>1.0709999999999997</v>
      </c>
      <c r="L318" s="726"/>
      <c r="M318" s="726"/>
      <c r="N318" s="720">
        <f>ROUND(L318*K318,2)</f>
        <v>0</v>
      </c>
      <c r="O318" s="720"/>
      <c r="P318" s="720"/>
      <c r="Q318" s="720"/>
      <c r="R318" s="238"/>
      <c r="T318" s="45"/>
    </row>
    <row r="319" spans="2:29" s="248" customFormat="1" outlineLevel="1">
      <c r="B319" s="247"/>
      <c r="E319" s="349" t="s">
        <v>388</v>
      </c>
      <c r="F319" s="717" t="s">
        <v>860</v>
      </c>
      <c r="G319" s="718">
        <f>3*0.7*0.51</f>
        <v>1.0709999999999997</v>
      </c>
      <c r="H319" s="718">
        <f>3*0.7*0.51</f>
        <v>1.0709999999999997</v>
      </c>
      <c r="I319" s="718">
        <f>3*0.7*0.51</f>
        <v>1.0709999999999997</v>
      </c>
      <c r="J319" s="64"/>
      <c r="K319" s="350">
        <f>3*0.7*0.51</f>
        <v>1.0709999999999997</v>
      </c>
      <c r="L319" s="196"/>
      <c r="M319" s="196"/>
      <c r="R319" s="249"/>
      <c r="T319" s="45"/>
      <c r="V319" s="402"/>
      <c r="W319" s="42"/>
      <c r="X319" s="42"/>
    </row>
    <row r="320" spans="2:29" ht="27" customHeight="1" outlineLevel="1">
      <c r="B320" s="237"/>
      <c r="C320" s="345"/>
      <c r="D320" s="345" t="s">
        <v>62</v>
      </c>
      <c r="E320" s="346">
        <v>162751117</v>
      </c>
      <c r="F320" s="719" t="s">
        <v>189</v>
      </c>
      <c r="G320" s="719"/>
      <c r="H320" s="719"/>
      <c r="I320" s="719"/>
      <c r="J320" s="63" t="s">
        <v>64</v>
      </c>
      <c r="K320" s="347">
        <f>SUM(K321:K321)</f>
        <v>31.202039999999997</v>
      </c>
      <c r="L320" s="726"/>
      <c r="M320" s="726"/>
      <c r="N320" s="720">
        <f>ROUND(L320*K320,2)</f>
        <v>0</v>
      </c>
      <c r="O320" s="720"/>
      <c r="P320" s="720"/>
      <c r="Q320" s="720"/>
      <c r="R320" s="238"/>
      <c r="T320" s="45"/>
    </row>
    <row r="321" spans="2:25" s="248" customFormat="1" ht="22.5" outlineLevel="1">
      <c r="B321" s="247"/>
      <c r="E321" s="349" t="s">
        <v>204</v>
      </c>
      <c r="F321" s="717" t="s">
        <v>187</v>
      </c>
      <c r="G321" s="718"/>
      <c r="H321" s="718"/>
      <c r="I321" s="718"/>
      <c r="J321" s="64"/>
      <c r="K321" s="350">
        <f>K312+K315+K318-K329</f>
        <v>31.202039999999997</v>
      </c>
      <c r="L321" s="196"/>
      <c r="M321" s="196"/>
      <c r="R321" s="249"/>
      <c r="T321" s="45"/>
      <c r="V321" s="402"/>
      <c r="W321" s="42"/>
      <c r="X321" s="42"/>
    </row>
    <row r="322" spans="2:25" ht="27" customHeight="1" outlineLevel="1">
      <c r="B322" s="237"/>
      <c r="C322" s="345"/>
      <c r="D322" s="345" t="s">
        <v>62</v>
      </c>
      <c r="E322" s="346">
        <v>162751119</v>
      </c>
      <c r="F322" s="719" t="s">
        <v>195</v>
      </c>
      <c r="G322" s="719"/>
      <c r="H322" s="719"/>
      <c r="I322" s="719"/>
      <c r="J322" s="63" t="s">
        <v>64</v>
      </c>
      <c r="K322" s="347">
        <f>SUM(K323:K323)</f>
        <v>312.0204</v>
      </c>
      <c r="L322" s="726"/>
      <c r="M322" s="726"/>
      <c r="N322" s="720">
        <f>ROUND(L322*K322,2)</f>
        <v>0</v>
      </c>
      <c r="O322" s="720"/>
      <c r="P322" s="720"/>
      <c r="Q322" s="720"/>
      <c r="R322" s="238"/>
      <c r="T322" s="45"/>
    </row>
    <row r="323" spans="2:25" s="248" customFormat="1" ht="22.5" customHeight="1" outlineLevel="1">
      <c r="B323" s="247"/>
      <c r="E323" s="349" t="s">
        <v>190</v>
      </c>
      <c r="F323" s="717" t="s">
        <v>2273</v>
      </c>
      <c r="G323" s="718"/>
      <c r="H323" s="718"/>
      <c r="I323" s="718"/>
      <c r="J323" s="64">
        <v>10</v>
      </c>
      <c r="K323" s="350">
        <f>K320*J323</f>
        <v>312.0204</v>
      </c>
      <c r="L323" s="196"/>
      <c r="M323" s="196"/>
      <c r="R323" s="249"/>
      <c r="T323" s="45"/>
      <c r="V323" s="402"/>
      <c r="W323" s="42"/>
      <c r="X323" s="42"/>
    </row>
    <row r="324" spans="2:25" outlineLevel="1">
      <c r="B324" s="237"/>
      <c r="C324" s="345"/>
      <c r="D324" s="345" t="s">
        <v>62</v>
      </c>
      <c r="E324" s="346">
        <v>167151111</v>
      </c>
      <c r="F324" s="719" t="s">
        <v>194</v>
      </c>
      <c r="G324" s="719"/>
      <c r="H324" s="719"/>
      <c r="I324" s="719"/>
      <c r="J324" s="63" t="s">
        <v>64</v>
      </c>
      <c r="K324" s="347">
        <f>SUM(K325:K325)</f>
        <v>31.202039999999997</v>
      </c>
      <c r="L324" s="726"/>
      <c r="M324" s="726"/>
      <c r="N324" s="720">
        <f>ROUND(L324*K324,2)</f>
        <v>0</v>
      </c>
      <c r="O324" s="720"/>
      <c r="P324" s="720"/>
      <c r="Q324" s="720"/>
      <c r="R324" s="238"/>
      <c r="T324" s="45"/>
    </row>
    <row r="325" spans="2:25" s="248" customFormat="1" ht="22.5" outlineLevel="1">
      <c r="B325" s="247"/>
      <c r="E325" s="349" t="s">
        <v>188</v>
      </c>
      <c r="F325" s="717" t="s">
        <v>237</v>
      </c>
      <c r="G325" s="718"/>
      <c r="H325" s="718"/>
      <c r="I325" s="718"/>
      <c r="J325" s="64"/>
      <c r="K325" s="350">
        <f>K320</f>
        <v>31.202039999999997</v>
      </c>
      <c r="L325" s="196"/>
      <c r="M325" s="196"/>
      <c r="R325" s="249"/>
      <c r="T325" s="45"/>
      <c r="V325" s="402"/>
      <c r="W325" s="42"/>
      <c r="X325" s="42"/>
    </row>
    <row r="326" spans="2:25" outlineLevel="1">
      <c r="B326" s="237"/>
      <c r="C326" s="345"/>
      <c r="D326" s="345" t="s">
        <v>62</v>
      </c>
      <c r="E326" s="346">
        <v>171251201</v>
      </c>
      <c r="F326" s="719" t="s">
        <v>109</v>
      </c>
      <c r="G326" s="719"/>
      <c r="H326" s="719"/>
      <c r="I326" s="719"/>
      <c r="J326" s="63" t="s">
        <v>64</v>
      </c>
      <c r="K326" s="347">
        <f>K324</f>
        <v>31.202039999999997</v>
      </c>
      <c r="L326" s="726"/>
      <c r="M326" s="726"/>
      <c r="N326" s="720">
        <f>ROUND(L326*K326,2)</f>
        <v>0</v>
      </c>
      <c r="O326" s="720"/>
      <c r="P326" s="720"/>
      <c r="Q326" s="720"/>
      <c r="R326" s="238"/>
      <c r="T326" s="45"/>
    </row>
    <row r="327" spans="2:25" ht="27" customHeight="1" outlineLevel="1">
      <c r="B327" s="237"/>
      <c r="C327" s="345"/>
      <c r="D327" s="345" t="s">
        <v>62</v>
      </c>
      <c r="E327" s="346">
        <v>171201231</v>
      </c>
      <c r="F327" s="719" t="s">
        <v>193</v>
      </c>
      <c r="G327" s="719"/>
      <c r="H327" s="719"/>
      <c r="I327" s="719"/>
      <c r="J327" s="63" t="s">
        <v>66</v>
      </c>
      <c r="K327" s="347">
        <f>SUM(K328:K328)</f>
        <v>49.923263999999996</v>
      </c>
      <c r="L327" s="726"/>
      <c r="M327" s="726"/>
      <c r="N327" s="720">
        <f>ROUND(L327*K327,2)</f>
        <v>0</v>
      </c>
      <c r="O327" s="720"/>
      <c r="P327" s="720"/>
      <c r="Q327" s="720"/>
      <c r="R327" s="238"/>
      <c r="T327" s="45"/>
    </row>
    <row r="328" spans="2:25" s="248" customFormat="1" ht="22.5" outlineLevel="1">
      <c r="B328" s="247"/>
      <c r="E328" s="349" t="s">
        <v>191</v>
      </c>
      <c r="F328" s="717" t="s">
        <v>192</v>
      </c>
      <c r="G328" s="718"/>
      <c r="H328" s="718"/>
      <c r="I328" s="718"/>
      <c r="J328" s="64">
        <v>1.6</v>
      </c>
      <c r="K328" s="350">
        <f>K320*J328</f>
        <v>49.923263999999996</v>
      </c>
      <c r="L328" s="196"/>
      <c r="M328" s="196"/>
      <c r="R328" s="249"/>
      <c r="T328" s="45"/>
      <c r="V328" s="402"/>
      <c r="W328" s="42"/>
      <c r="X328" s="42"/>
    </row>
    <row r="329" spans="2:25" outlineLevel="1">
      <c r="B329" s="237"/>
      <c r="C329" s="345"/>
      <c r="D329" s="345" t="s">
        <v>62</v>
      </c>
      <c r="E329" s="346" t="s">
        <v>108</v>
      </c>
      <c r="F329" s="719" t="s">
        <v>97</v>
      </c>
      <c r="G329" s="719"/>
      <c r="H329" s="719"/>
      <c r="I329" s="719"/>
      <c r="J329" s="63" t="s">
        <v>64</v>
      </c>
      <c r="K329" s="347">
        <f>SUM(K330:K331)</f>
        <v>51.809152499999996</v>
      </c>
      <c r="L329" s="726"/>
      <c r="M329" s="726"/>
      <c r="N329" s="720">
        <f>ROUND(L329*K329,2)</f>
        <v>0</v>
      </c>
      <c r="O329" s="720"/>
      <c r="P329" s="720"/>
      <c r="Q329" s="720"/>
      <c r="R329" s="238"/>
      <c r="T329" s="45"/>
    </row>
    <row r="330" spans="2:25" s="248" customFormat="1" outlineLevel="1">
      <c r="B330" s="247"/>
      <c r="E330" s="349" t="s">
        <v>861</v>
      </c>
      <c r="F330" s="717" t="s">
        <v>187</v>
      </c>
      <c r="G330" s="718">
        <f>G311-(12.2+24.1+4.285)*0.023</f>
        <v>-0.93345499999999981</v>
      </c>
      <c r="H330" s="718">
        <f>H311-(12.2+24.1+4.285)*0.023</f>
        <v>-0.93345499999999981</v>
      </c>
      <c r="I330" s="718">
        <f>I311-(12.2+24.1+4.285)*0.023</f>
        <v>-0.93345499999999981</v>
      </c>
      <c r="J330" s="64"/>
      <c r="K330" s="350">
        <f>K312+K315+K318</f>
        <v>83.011192499999993</v>
      </c>
      <c r="L330" s="196"/>
      <c r="M330" s="196"/>
      <c r="R330" s="249"/>
      <c r="T330" s="45"/>
      <c r="V330" s="402"/>
      <c r="W330" s="42"/>
      <c r="X330" s="42"/>
    </row>
    <row r="331" spans="2:25" s="248" customFormat="1" outlineLevel="1">
      <c r="B331" s="247"/>
      <c r="E331" s="349" t="s">
        <v>862</v>
      </c>
      <c r="F331" s="717" t="s">
        <v>864</v>
      </c>
      <c r="G331" s="718">
        <f>((2*1+13.755*(0.6))*(1.41+0.15)+(2.92)*(2.8)*(1.71+0.15))*-1</f>
        <v>-31.202039999999997</v>
      </c>
      <c r="H331" s="718">
        <f>((2*1+13.755*(0.6))*(1.41+0.15)+(2.92)*(2.8)*(1.71+0.15))*-1</f>
        <v>-31.202039999999997</v>
      </c>
      <c r="I331" s="718">
        <f>((2*1+13.755*(0.6))*(1.41+0.15)+(2.92)*(2.8)*(1.71+0.15))*-1</f>
        <v>-31.202039999999997</v>
      </c>
      <c r="J331" s="64"/>
      <c r="K331" s="350">
        <f>((2*1+13.755*(0.6))*(1.41+0.15)+(2.92)*(2.8)*(1.71+0.15))*-1</f>
        <v>-31.202039999999997</v>
      </c>
      <c r="L331" s="196"/>
      <c r="M331" s="196"/>
      <c r="R331" s="249"/>
      <c r="T331" s="45"/>
      <c r="V331" s="402"/>
      <c r="W331" s="42"/>
      <c r="X331" s="42"/>
    </row>
    <row r="332" spans="2:25" s="341" customFormat="1" ht="12.75">
      <c r="B332" s="340"/>
      <c r="C332" s="344"/>
      <c r="D332" s="344" t="s">
        <v>45</v>
      </c>
      <c r="E332" s="344"/>
      <c r="F332" s="344"/>
      <c r="G332" s="344"/>
      <c r="H332" s="344"/>
      <c r="I332" s="344"/>
      <c r="J332" s="61"/>
      <c r="K332" s="344"/>
      <c r="L332" s="72"/>
      <c r="M332" s="72"/>
      <c r="N332" s="734">
        <f>SUM(N333:Q367)</f>
        <v>0</v>
      </c>
      <c r="O332" s="734"/>
      <c r="P332" s="734"/>
      <c r="Q332" s="734"/>
      <c r="R332" s="342"/>
      <c r="T332" s="62">
        <f>SUM(N332:Q367)/2</f>
        <v>0</v>
      </c>
      <c r="U332" s="352"/>
      <c r="V332" s="400"/>
      <c r="W332" s="401"/>
      <c r="X332" s="401"/>
      <c r="Y332" s="369"/>
    </row>
    <row r="333" spans="2:25" ht="27" customHeight="1" outlineLevel="1">
      <c r="B333" s="237"/>
      <c r="C333" s="345"/>
      <c r="D333" s="345" t="s">
        <v>62</v>
      </c>
      <c r="E333" s="346">
        <v>271532212</v>
      </c>
      <c r="F333" s="719" t="s">
        <v>869</v>
      </c>
      <c r="G333" s="719"/>
      <c r="H333" s="719"/>
      <c r="I333" s="719"/>
      <c r="J333" s="63" t="s">
        <v>64</v>
      </c>
      <c r="K333" s="347">
        <f>SUM(K334:K334)</f>
        <v>6.2048699999999997</v>
      </c>
      <c r="L333" s="726"/>
      <c r="M333" s="726"/>
      <c r="N333" s="720">
        <f>ROUND(L333*K333,2)</f>
        <v>0</v>
      </c>
      <c r="O333" s="720"/>
      <c r="P333" s="720"/>
      <c r="Q333" s="720"/>
      <c r="R333" s="238"/>
      <c r="T333" s="45"/>
    </row>
    <row r="334" spans="2:25" s="248" customFormat="1" ht="22.5" outlineLevel="1">
      <c r="B334" s="247"/>
      <c r="E334" s="349" t="s">
        <v>870</v>
      </c>
      <c r="F334" s="717" t="s">
        <v>871</v>
      </c>
      <c r="G334" s="718" t="e">
        <f>(17.64*(1.38+0.6)+2.205*2.92)*F334</f>
        <v>#VALUE!</v>
      </c>
      <c r="H334" s="718" t="e">
        <f>(17.64*(1.38+0.6)+2.205*2.92)*G334</f>
        <v>#VALUE!</v>
      </c>
      <c r="I334" s="718" t="e">
        <f>(17.64*(1.38+0.6)+2.205*2.92)*H334</f>
        <v>#VALUE!</v>
      </c>
      <c r="J334" s="64">
        <v>0.15</v>
      </c>
      <c r="K334" s="350">
        <f>(17.64*(1.38+0.6)+2.205*2.92)*J334</f>
        <v>6.2048699999999997</v>
      </c>
      <c r="L334" s="196"/>
      <c r="M334" s="196"/>
      <c r="R334" s="249"/>
      <c r="T334" s="45"/>
      <c r="V334" s="402"/>
      <c r="W334" s="42"/>
      <c r="X334" s="42"/>
    </row>
    <row r="335" spans="2:25" outlineLevel="1">
      <c r="B335" s="237"/>
      <c r="C335" s="345"/>
      <c r="D335" s="345" t="s">
        <v>62</v>
      </c>
      <c r="E335" s="346" t="s">
        <v>880</v>
      </c>
      <c r="F335" s="719" t="s">
        <v>881</v>
      </c>
      <c r="G335" s="719"/>
      <c r="H335" s="719"/>
      <c r="I335" s="719"/>
      <c r="J335" s="63" t="s">
        <v>64</v>
      </c>
      <c r="K335" s="347">
        <f>SUM(K336:K336)</f>
        <v>0.6875</v>
      </c>
      <c r="L335" s="726"/>
      <c r="M335" s="726"/>
      <c r="N335" s="720">
        <f>ROUND(L335*K335,2)</f>
        <v>0</v>
      </c>
      <c r="O335" s="720"/>
      <c r="P335" s="720"/>
      <c r="Q335" s="720"/>
      <c r="R335" s="238"/>
      <c r="T335" s="45"/>
    </row>
    <row r="336" spans="2:25" s="248" customFormat="1" outlineLevel="1">
      <c r="B336" s="247"/>
      <c r="E336" s="349" t="s">
        <v>879</v>
      </c>
      <c r="F336" s="717" t="s">
        <v>882</v>
      </c>
      <c r="G336" s="718">
        <f>2.5*2.75*0.1</f>
        <v>0.6875</v>
      </c>
      <c r="H336" s="718">
        <f>2.5*2.75*0.1</f>
        <v>0.6875</v>
      </c>
      <c r="I336" s="718">
        <f>2.5*2.75*0.1</f>
        <v>0.6875</v>
      </c>
      <c r="J336" s="64"/>
      <c r="K336" s="350">
        <f>2.5*2.75*0.1</f>
        <v>0.6875</v>
      </c>
      <c r="L336" s="196"/>
      <c r="M336" s="196"/>
      <c r="R336" s="249"/>
      <c r="T336" s="45"/>
      <c r="V336" s="402"/>
      <c r="W336" s="42"/>
      <c r="X336" s="42"/>
    </row>
    <row r="337" spans="2:24" outlineLevel="1">
      <c r="B337" s="237"/>
      <c r="C337" s="345"/>
      <c r="D337" s="345" t="s">
        <v>62</v>
      </c>
      <c r="E337" s="346">
        <v>274313811</v>
      </c>
      <c r="F337" s="719" t="s">
        <v>872</v>
      </c>
      <c r="G337" s="719"/>
      <c r="H337" s="719"/>
      <c r="I337" s="719"/>
      <c r="J337" s="63" t="s">
        <v>64</v>
      </c>
      <c r="K337" s="347">
        <f>SUM(K338:K339)</f>
        <v>3.1603949999999998</v>
      </c>
      <c r="L337" s="726"/>
      <c r="M337" s="726"/>
      <c r="N337" s="720">
        <f>ROUND(L337*K337,2)</f>
        <v>0</v>
      </c>
      <c r="O337" s="720"/>
      <c r="P337" s="720"/>
      <c r="Q337" s="720"/>
      <c r="R337" s="238"/>
      <c r="T337" s="45"/>
    </row>
    <row r="338" spans="2:24" s="248" customFormat="1" outlineLevel="1">
      <c r="B338" s="247"/>
      <c r="E338" s="349" t="s">
        <v>873</v>
      </c>
      <c r="F338" s="717" t="s">
        <v>875</v>
      </c>
      <c r="G338" s="718">
        <f>1*(1.38+0.6)*0.7</f>
        <v>1.3859999999999999</v>
      </c>
      <c r="H338" s="718">
        <f>1*(1.38+0.6)*0.7</f>
        <v>1.3859999999999999</v>
      </c>
      <c r="I338" s="718">
        <f>1*(1.38+0.6)*0.7</f>
        <v>1.3859999999999999</v>
      </c>
      <c r="J338" s="64"/>
      <c r="K338" s="350">
        <f>1*(1.38+0.6)*0.7</f>
        <v>1.3859999999999999</v>
      </c>
      <c r="L338" s="196"/>
      <c r="M338" s="196"/>
      <c r="R338" s="249"/>
      <c r="T338" s="45"/>
      <c r="V338" s="402"/>
      <c r="W338" s="42"/>
      <c r="X338" s="42"/>
    </row>
    <row r="339" spans="2:24" s="248" customFormat="1" outlineLevel="1">
      <c r="B339" s="247"/>
      <c r="E339" s="349" t="s">
        <v>874</v>
      </c>
      <c r="F339" s="717" t="s">
        <v>876</v>
      </c>
      <c r="G339" s="718">
        <f>13.755*0.6*0.215</f>
        <v>1.7743949999999999</v>
      </c>
      <c r="H339" s="718">
        <f>13.755*0.6*0.215</f>
        <v>1.7743949999999999</v>
      </c>
      <c r="I339" s="718">
        <f>13.755*0.6*0.215</f>
        <v>1.7743949999999999</v>
      </c>
      <c r="J339" s="64"/>
      <c r="K339" s="350">
        <f>13.755*0.6*0.215</f>
        <v>1.7743949999999999</v>
      </c>
      <c r="L339" s="196"/>
      <c r="M339" s="196"/>
      <c r="R339" s="249"/>
      <c r="T339" s="45"/>
      <c r="V339" s="402"/>
      <c r="W339" s="42"/>
      <c r="X339" s="42"/>
    </row>
    <row r="340" spans="2:24" outlineLevel="1">
      <c r="B340" s="237"/>
      <c r="C340" s="345"/>
      <c r="D340" s="345" t="s">
        <v>62</v>
      </c>
      <c r="E340" s="346">
        <v>273321411</v>
      </c>
      <c r="F340" s="719" t="s">
        <v>906</v>
      </c>
      <c r="G340" s="719"/>
      <c r="H340" s="719"/>
      <c r="I340" s="719"/>
      <c r="J340" s="63" t="s">
        <v>64</v>
      </c>
      <c r="K340" s="347">
        <f>SUM(K341:K341)</f>
        <v>3.9574624999999997</v>
      </c>
      <c r="L340" s="726"/>
      <c r="M340" s="726"/>
      <c r="N340" s="720">
        <f>ROUND(L340*K340,2)</f>
        <v>0</v>
      </c>
      <c r="O340" s="720"/>
      <c r="P340" s="720"/>
      <c r="Q340" s="720"/>
      <c r="R340" s="238"/>
      <c r="T340" s="45"/>
    </row>
    <row r="341" spans="2:24" s="248" customFormat="1" ht="22.5" outlineLevel="1">
      <c r="B341" s="247"/>
      <c r="E341" s="349" t="s">
        <v>877</v>
      </c>
      <c r="F341" s="717" t="s">
        <v>878</v>
      </c>
      <c r="G341" s="718">
        <f>(17.64-0.1)*(1.38+0.6-0.175)*0.125</f>
        <v>3.9574624999999997</v>
      </c>
      <c r="H341" s="718">
        <f>(17.64-0.1)*(1.38+0.6-0.175)*0.125</f>
        <v>3.9574624999999997</v>
      </c>
      <c r="I341" s="718">
        <f>(17.64-0.1)*(1.38+0.6-0.175)*0.125</f>
        <v>3.9574624999999997</v>
      </c>
      <c r="J341" s="64"/>
      <c r="K341" s="350">
        <f>(17.64-0.1)*(1.38+0.6-0.175)*0.125</f>
        <v>3.9574624999999997</v>
      </c>
      <c r="L341" s="196"/>
      <c r="M341" s="196"/>
      <c r="R341" s="249"/>
      <c r="T341" s="45"/>
      <c r="V341" s="402"/>
      <c r="W341" s="42"/>
      <c r="X341" s="42"/>
    </row>
    <row r="342" spans="2:24" outlineLevel="1">
      <c r="B342" s="237"/>
      <c r="C342" s="345"/>
      <c r="D342" s="345" t="s">
        <v>62</v>
      </c>
      <c r="E342" s="346">
        <v>273323611</v>
      </c>
      <c r="F342" s="719" t="s">
        <v>2332</v>
      </c>
      <c r="G342" s="719"/>
      <c r="H342" s="719"/>
      <c r="I342" s="719"/>
      <c r="J342" s="63" t="s">
        <v>64</v>
      </c>
      <c r="K342" s="347">
        <f>SUM(K343:K343)</f>
        <v>1.375</v>
      </c>
      <c r="L342" s="726"/>
      <c r="M342" s="726"/>
      <c r="N342" s="720">
        <f>ROUND(L342*K342,2)</f>
        <v>0</v>
      </c>
      <c r="O342" s="720"/>
      <c r="P342" s="720"/>
      <c r="Q342" s="720"/>
      <c r="R342" s="238"/>
      <c r="T342" s="45"/>
    </row>
    <row r="343" spans="2:24" s="248" customFormat="1" outlineLevel="1">
      <c r="B343" s="247"/>
      <c r="E343" s="349" t="s">
        <v>879</v>
      </c>
      <c r="F343" s="717" t="s">
        <v>883</v>
      </c>
      <c r="G343" s="718">
        <f>2.5*2.75*0.2</f>
        <v>1.375</v>
      </c>
      <c r="H343" s="718">
        <f>2.5*2.75*0.2</f>
        <v>1.375</v>
      </c>
      <c r="I343" s="718">
        <f>2.5*2.75*0.2</f>
        <v>1.375</v>
      </c>
      <c r="J343" s="64"/>
      <c r="K343" s="350">
        <f>2.5*2.75*0.2</f>
        <v>1.375</v>
      </c>
      <c r="L343" s="196"/>
      <c r="M343" s="196"/>
      <c r="R343" s="249"/>
      <c r="T343" s="45"/>
      <c r="V343" s="402"/>
      <c r="W343" s="42"/>
      <c r="X343" s="42"/>
    </row>
    <row r="344" spans="2:24" outlineLevel="1">
      <c r="B344" s="237"/>
      <c r="C344" s="345"/>
      <c r="D344" s="345" t="s">
        <v>62</v>
      </c>
      <c r="E344" s="346">
        <v>273351121</v>
      </c>
      <c r="F344" s="719" t="s">
        <v>884</v>
      </c>
      <c r="G344" s="719"/>
      <c r="H344" s="719"/>
      <c r="I344" s="719"/>
      <c r="J344" s="63" t="s">
        <v>63</v>
      </c>
      <c r="K344" s="347">
        <f>SUM(K345:K346)</f>
        <v>5.5681250000000002</v>
      </c>
      <c r="L344" s="726"/>
      <c r="M344" s="726"/>
      <c r="N344" s="720">
        <f>ROUND(L344*K344,2)</f>
        <v>0</v>
      </c>
      <c r="O344" s="720"/>
      <c r="P344" s="720"/>
      <c r="Q344" s="720"/>
      <c r="R344" s="238"/>
      <c r="T344" s="45"/>
    </row>
    <row r="345" spans="2:24" s="248" customFormat="1" ht="22.5" outlineLevel="1">
      <c r="B345" s="247"/>
      <c r="E345" s="349" t="s">
        <v>877</v>
      </c>
      <c r="F345" s="717" t="s">
        <v>887</v>
      </c>
      <c r="G345" s="718">
        <f>((17.64-0.1)+(1.38+0.6-0.175))*0.125</f>
        <v>2.4181249999999999</v>
      </c>
      <c r="H345" s="718">
        <f>((17.64-0.1)+(1.38+0.6-0.175))*0.125</f>
        <v>2.4181249999999999</v>
      </c>
      <c r="I345" s="718">
        <f>((17.64-0.1)+(1.38+0.6-0.175))*0.125</f>
        <v>2.4181249999999999</v>
      </c>
      <c r="J345" s="64"/>
      <c r="K345" s="350">
        <f>((17.64-0.1)+(1.38+0.6-0.175))*0.125</f>
        <v>2.4181249999999999</v>
      </c>
      <c r="L345" s="196"/>
      <c r="M345" s="196"/>
      <c r="R345" s="249"/>
      <c r="T345" s="45"/>
      <c r="V345" s="402"/>
      <c r="W345" s="42"/>
      <c r="X345" s="42"/>
    </row>
    <row r="346" spans="2:24" s="248" customFormat="1" outlineLevel="1">
      <c r="B346" s="247"/>
      <c r="E346" s="349" t="s">
        <v>879</v>
      </c>
      <c r="F346" s="717" t="s">
        <v>888</v>
      </c>
      <c r="G346" s="718">
        <f>2.5*2.75*0.2</f>
        <v>1.375</v>
      </c>
      <c r="H346" s="718">
        <f>2.5*2.75*0.2</f>
        <v>1.375</v>
      </c>
      <c r="I346" s="718">
        <f>2.5*2.75*0.2</f>
        <v>1.375</v>
      </c>
      <c r="J346" s="64"/>
      <c r="K346" s="350">
        <f>(2.5+2.75)*2*0.3</f>
        <v>3.15</v>
      </c>
      <c r="L346" s="196"/>
      <c r="M346" s="196"/>
      <c r="R346" s="249"/>
      <c r="T346" s="45"/>
      <c r="V346" s="402"/>
      <c r="W346" s="42"/>
      <c r="X346" s="42"/>
    </row>
    <row r="347" spans="2:24" outlineLevel="1">
      <c r="B347" s="237"/>
      <c r="C347" s="345"/>
      <c r="D347" s="345" t="s">
        <v>62</v>
      </c>
      <c r="E347" s="346" t="s">
        <v>885</v>
      </c>
      <c r="F347" s="719" t="s">
        <v>886</v>
      </c>
      <c r="G347" s="719"/>
      <c r="H347" s="719"/>
      <c r="I347" s="719"/>
      <c r="J347" s="63" t="s">
        <v>63</v>
      </c>
      <c r="K347" s="347">
        <f>K344</f>
        <v>5.5681250000000002</v>
      </c>
      <c r="L347" s="726"/>
      <c r="M347" s="726"/>
      <c r="N347" s="720">
        <f>ROUND(L347*K347,2)</f>
        <v>0</v>
      </c>
      <c r="O347" s="720"/>
      <c r="P347" s="720"/>
      <c r="Q347" s="720"/>
      <c r="R347" s="238"/>
      <c r="T347" s="45"/>
    </row>
    <row r="348" spans="2:24" outlineLevel="1">
      <c r="B348" s="237"/>
      <c r="C348" s="345"/>
      <c r="D348" s="345" t="s">
        <v>62</v>
      </c>
      <c r="E348" s="346">
        <v>273361821</v>
      </c>
      <c r="F348" s="719" t="s">
        <v>889</v>
      </c>
      <c r="G348" s="719"/>
      <c r="H348" s="719"/>
      <c r="I348" s="719"/>
      <c r="J348" s="63" t="s">
        <v>66</v>
      </c>
      <c r="K348" s="347">
        <f>SUM(K349:K349)</f>
        <v>0.24062499999999998</v>
      </c>
      <c r="L348" s="726"/>
      <c r="M348" s="726"/>
      <c r="N348" s="720">
        <f>ROUND(L348*K348,2)</f>
        <v>0</v>
      </c>
      <c r="O348" s="720"/>
      <c r="P348" s="720"/>
      <c r="Q348" s="720"/>
      <c r="R348" s="238"/>
      <c r="T348" s="45"/>
    </row>
    <row r="349" spans="2:24" s="248" customFormat="1" outlineLevel="1">
      <c r="B349" s="247"/>
      <c r="E349" s="349" t="s">
        <v>439</v>
      </c>
      <c r="F349" s="717" t="s">
        <v>187</v>
      </c>
      <c r="G349" s="718"/>
      <c r="H349" s="718"/>
      <c r="I349" s="718"/>
      <c r="J349" s="64">
        <v>0.17499999999999999</v>
      </c>
      <c r="K349" s="350">
        <f>K342*J349</f>
        <v>0.24062499999999998</v>
      </c>
      <c r="L349" s="196"/>
      <c r="M349" s="196"/>
      <c r="R349" s="249"/>
      <c r="T349" s="45"/>
      <c r="V349" s="402"/>
      <c r="W349" s="42"/>
      <c r="X349" s="42"/>
    </row>
    <row r="350" spans="2:24" outlineLevel="1">
      <c r="B350" s="237"/>
      <c r="C350" s="345"/>
      <c r="D350" s="345" t="s">
        <v>62</v>
      </c>
      <c r="E350" s="346" t="s">
        <v>890</v>
      </c>
      <c r="F350" s="719" t="s">
        <v>891</v>
      </c>
      <c r="G350" s="719"/>
      <c r="H350" s="719"/>
      <c r="I350" s="719"/>
      <c r="J350" s="63" t="s">
        <v>66</v>
      </c>
      <c r="K350" s="347">
        <f>SUM(K351:K351)</f>
        <v>0.15196655999999997</v>
      </c>
      <c r="L350" s="726"/>
      <c r="M350" s="726"/>
      <c r="N350" s="720">
        <f>ROUND(L350*K350,2)</f>
        <v>0</v>
      </c>
      <c r="O350" s="720"/>
      <c r="P350" s="720"/>
      <c r="Q350" s="720"/>
      <c r="R350" s="238"/>
      <c r="T350" s="45"/>
    </row>
    <row r="351" spans="2:24" s="248" customFormat="1" ht="22.5" outlineLevel="1">
      <c r="B351" s="247"/>
      <c r="E351" s="349" t="s">
        <v>908</v>
      </c>
      <c r="F351" s="717" t="s">
        <v>187</v>
      </c>
      <c r="G351" s="718">
        <f>1.2*0.5*0.6</f>
        <v>0.36</v>
      </c>
      <c r="H351" s="718">
        <f>1.2*0.5*0.6</f>
        <v>0.36</v>
      </c>
      <c r="I351" s="718">
        <f>1.2*0.5*0.6</f>
        <v>0.36</v>
      </c>
      <c r="J351" s="64">
        <f>4*1.2/1000</f>
        <v>4.7999999999999996E-3</v>
      </c>
      <c r="K351" s="350">
        <f>K340/0.125*J351</f>
        <v>0.15196655999999997</v>
      </c>
      <c r="L351" s="196"/>
      <c r="M351" s="196"/>
      <c r="R351" s="249"/>
      <c r="T351" s="45"/>
      <c r="V351" s="402"/>
      <c r="W351" s="42"/>
      <c r="X351" s="42"/>
    </row>
    <row r="352" spans="2:24" ht="27" customHeight="1" outlineLevel="1">
      <c r="B352" s="237"/>
      <c r="C352" s="345"/>
      <c r="D352" s="345" t="s">
        <v>62</v>
      </c>
      <c r="E352" s="346">
        <v>279113143</v>
      </c>
      <c r="F352" s="719" t="s">
        <v>907</v>
      </c>
      <c r="G352" s="719"/>
      <c r="H352" s="719"/>
      <c r="I352" s="719"/>
      <c r="J352" s="63" t="s">
        <v>63</v>
      </c>
      <c r="K352" s="347">
        <f>SUM(K353:K353)</f>
        <v>10.31625</v>
      </c>
      <c r="L352" s="726"/>
      <c r="M352" s="726"/>
      <c r="N352" s="720">
        <f>ROUND(L352*K352,2)</f>
        <v>0</v>
      </c>
      <c r="O352" s="720"/>
      <c r="P352" s="720"/>
      <c r="Q352" s="720"/>
      <c r="R352" s="238"/>
      <c r="T352" s="45"/>
    </row>
    <row r="353" spans="2:25" s="248" customFormat="1" outlineLevel="1">
      <c r="B353" s="247"/>
      <c r="E353" s="349" t="s">
        <v>892</v>
      </c>
      <c r="F353" s="717" t="s">
        <v>893</v>
      </c>
      <c r="G353" s="718">
        <f>13.755*0.75</f>
        <v>10.31625</v>
      </c>
      <c r="H353" s="718">
        <f>13.755*0.75</f>
        <v>10.31625</v>
      </c>
      <c r="I353" s="718">
        <f>13.755*0.75</f>
        <v>10.31625</v>
      </c>
      <c r="J353" s="64"/>
      <c r="K353" s="350">
        <f>13.755*0.75</f>
        <v>10.31625</v>
      </c>
      <c r="L353" s="196"/>
      <c r="M353" s="196"/>
      <c r="R353" s="249"/>
      <c r="T353" s="45"/>
      <c r="V353" s="402"/>
      <c r="W353" s="42"/>
      <c r="X353" s="42"/>
    </row>
    <row r="354" spans="2:25" outlineLevel="1">
      <c r="B354" s="237"/>
      <c r="C354" s="345"/>
      <c r="D354" s="345" t="s">
        <v>62</v>
      </c>
      <c r="E354" s="346">
        <v>279323112</v>
      </c>
      <c r="F354" s="719" t="s">
        <v>2333</v>
      </c>
      <c r="G354" s="719"/>
      <c r="H354" s="719"/>
      <c r="I354" s="719"/>
      <c r="J354" s="63" t="s">
        <v>64</v>
      </c>
      <c r="K354" s="347">
        <f>SUM(K355:K355)</f>
        <v>3.4650000000000003</v>
      </c>
      <c r="L354" s="726"/>
      <c r="M354" s="726"/>
      <c r="N354" s="720">
        <f>ROUND(L354*K354,2)</f>
        <v>0</v>
      </c>
      <c r="O354" s="720"/>
      <c r="P354" s="720"/>
      <c r="Q354" s="720"/>
      <c r="R354" s="238"/>
      <c r="T354" s="45"/>
    </row>
    <row r="355" spans="2:25" s="248" customFormat="1" outlineLevel="1">
      <c r="B355" s="247"/>
      <c r="E355" s="349" t="s">
        <v>894</v>
      </c>
      <c r="F355" s="717" t="s">
        <v>895</v>
      </c>
      <c r="G355" s="718" t="e">
        <f t="shared" ref="G355:I357" si="3">(2.5+2.75)*2*1.1*F355</f>
        <v>#VALUE!</v>
      </c>
      <c r="H355" s="718" t="e">
        <f t="shared" si="3"/>
        <v>#VALUE!</v>
      </c>
      <c r="I355" s="718" t="e">
        <f t="shared" si="3"/>
        <v>#VALUE!</v>
      </c>
      <c r="J355" s="64">
        <v>0.3</v>
      </c>
      <c r="K355" s="350">
        <f>(2.5+2.75)*2*1.1*J355</f>
        <v>3.4650000000000003</v>
      </c>
      <c r="L355" s="196"/>
      <c r="M355" s="196"/>
      <c r="R355" s="249"/>
      <c r="T355" s="45"/>
      <c r="V355" s="402"/>
      <c r="W355" s="42"/>
      <c r="X355" s="42"/>
    </row>
    <row r="356" spans="2:25" outlineLevel="1">
      <c r="B356" s="237"/>
      <c r="C356" s="345"/>
      <c r="D356" s="345" t="s">
        <v>62</v>
      </c>
      <c r="E356" s="346">
        <v>279351121</v>
      </c>
      <c r="F356" s="719" t="s">
        <v>896</v>
      </c>
      <c r="G356" s="719"/>
      <c r="H356" s="719"/>
      <c r="I356" s="719"/>
      <c r="J356" s="63" t="s">
        <v>63</v>
      </c>
      <c r="K356" s="347">
        <f>SUM(K357:K357)</f>
        <v>23.1</v>
      </c>
      <c r="L356" s="726"/>
      <c r="M356" s="726"/>
      <c r="N356" s="720">
        <f>ROUND(L356*K356,2)</f>
        <v>0</v>
      </c>
      <c r="O356" s="720"/>
      <c r="P356" s="720"/>
      <c r="Q356" s="720"/>
      <c r="R356" s="238"/>
      <c r="T356" s="45"/>
    </row>
    <row r="357" spans="2:25" s="248" customFormat="1" ht="22.5" customHeight="1" outlineLevel="1">
      <c r="B357" s="247"/>
      <c r="E357" s="349" t="s">
        <v>894</v>
      </c>
      <c r="F357" s="717" t="s">
        <v>897</v>
      </c>
      <c r="G357" s="718" t="e">
        <f t="shared" si="3"/>
        <v>#VALUE!</v>
      </c>
      <c r="H357" s="718" t="e">
        <f t="shared" si="3"/>
        <v>#VALUE!</v>
      </c>
      <c r="I357" s="718" t="e">
        <f t="shared" si="3"/>
        <v>#VALUE!</v>
      </c>
      <c r="J357" s="64"/>
      <c r="K357" s="350">
        <f>(2.5+2.75)*2*1.1*2</f>
        <v>23.1</v>
      </c>
      <c r="L357" s="196"/>
      <c r="M357" s="196"/>
      <c r="R357" s="249"/>
      <c r="T357" s="45"/>
      <c r="V357" s="402"/>
      <c r="W357" s="42"/>
      <c r="X357" s="42"/>
    </row>
    <row r="358" spans="2:25" outlineLevel="1">
      <c r="B358" s="237"/>
      <c r="C358" s="345"/>
      <c r="D358" s="345" t="s">
        <v>62</v>
      </c>
      <c r="E358" s="346" t="s">
        <v>898</v>
      </c>
      <c r="F358" s="719" t="s">
        <v>899</v>
      </c>
      <c r="G358" s="719"/>
      <c r="H358" s="719"/>
      <c r="I358" s="719"/>
      <c r="J358" s="63" t="s">
        <v>63</v>
      </c>
      <c r="K358" s="347">
        <f>K356</f>
        <v>23.1</v>
      </c>
      <c r="L358" s="726"/>
      <c r="M358" s="726"/>
      <c r="N358" s="720">
        <f>ROUND(L358*K358,2)</f>
        <v>0</v>
      </c>
      <c r="O358" s="720"/>
      <c r="P358" s="720"/>
      <c r="Q358" s="720"/>
      <c r="R358" s="238"/>
      <c r="T358" s="45"/>
    </row>
    <row r="359" spans="2:25" outlineLevel="1">
      <c r="B359" s="237"/>
      <c r="C359" s="345"/>
      <c r="D359" s="345" t="s">
        <v>62</v>
      </c>
      <c r="E359" s="346">
        <v>279361821</v>
      </c>
      <c r="F359" s="719" t="s">
        <v>900</v>
      </c>
      <c r="G359" s="719"/>
      <c r="H359" s="719"/>
      <c r="I359" s="719"/>
      <c r="J359" s="63" t="s">
        <v>66</v>
      </c>
      <c r="K359" s="347">
        <f>SUM(K360:K361)</f>
        <v>1.2088125000000001</v>
      </c>
      <c r="L359" s="726"/>
      <c r="M359" s="726"/>
      <c r="N359" s="720">
        <f>ROUND(L359*K359,2)</f>
        <v>0</v>
      </c>
      <c r="O359" s="720"/>
      <c r="P359" s="720"/>
      <c r="Q359" s="720"/>
      <c r="R359" s="238"/>
      <c r="T359" s="45"/>
    </row>
    <row r="360" spans="2:25" s="248" customFormat="1" outlineLevel="1">
      <c r="B360" s="247"/>
      <c r="E360" s="349" t="s">
        <v>902</v>
      </c>
      <c r="F360" s="717" t="s">
        <v>187</v>
      </c>
      <c r="G360" s="718"/>
      <c r="H360" s="718"/>
      <c r="I360" s="718"/>
      <c r="J360" s="64">
        <v>0.05</v>
      </c>
      <c r="K360" s="350">
        <f>K352*J360</f>
        <v>0.51581250000000001</v>
      </c>
      <c r="L360" s="196"/>
      <c r="M360" s="196"/>
      <c r="R360" s="249"/>
      <c r="T360" s="45"/>
      <c r="V360" s="402"/>
      <c r="W360" s="42"/>
      <c r="X360" s="42"/>
    </row>
    <row r="361" spans="2:25" s="248" customFormat="1" ht="22.5" outlineLevel="1">
      <c r="B361" s="247"/>
      <c r="E361" s="349" t="s">
        <v>903</v>
      </c>
      <c r="F361" s="717" t="s">
        <v>187</v>
      </c>
      <c r="G361" s="718"/>
      <c r="H361" s="718"/>
      <c r="I361" s="718"/>
      <c r="J361" s="64">
        <v>0.2</v>
      </c>
      <c r="K361" s="350">
        <f>K355*J361</f>
        <v>0.69300000000000006</v>
      </c>
      <c r="L361" s="196"/>
      <c r="M361" s="196"/>
      <c r="R361" s="249"/>
      <c r="T361" s="45"/>
      <c r="V361" s="402"/>
      <c r="W361" s="42"/>
      <c r="X361" s="42"/>
    </row>
    <row r="362" spans="2:25" ht="27" customHeight="1" outlineLevel="1">
      <c r="B362" s="237"/>
      <c r="C362" s="345"/>
      <c r="D362" s="345" t="s">
        <v>62</v>
      </c>
      <c r="E362" s="346">
        <v>953334315</v>
      </c>
      <c r="F362" s="719" t="s">
        <v>901</v>
      </c>
      <c r="G362" s="719"/>
      <c r="H362" s="719"/>
      <c r="I362" s="719"/>
      <c r="J362" s="63" t="s">
        <v>68</v>
      </c>
      <c r="K362" s="347">
        <f>SUM(K363:K363)</f>
        <v>10.5</v>
      </c>
      <c r="L362" s="726"/>
      <c r="M362" s="726"/>
      <c r="N362" s="720">
        <f>ROUND(L362*K362,2)</f>
        <v>0</v>
      </c>
      <c r="O362" s="720"/>
      <c r="P362" s="720"/>
      <c r="Q362" s="720"/>
      <c r="R362" s="238"/>
      <c r="T362" s="45"/>
    </row>
    <row r="363" spans="2:25" s="248" customFormat="1" ht="22.5" outlineLevel="1">
      <c r="B363" s="247"/>
      <c r="E363" s="349" t="s">
        <v>904</v>
      </c>
      <c r="F363" s="717" t="s">
        <v>905</v>
      </c>
      <c r="G363" s="718">
        <f t="shared" ref="G363:I365" si="4">(2.5+2.75)*2</f>
        <v>10.5</v>
      </c>
      <c r="H363" s="718">
        <f t="shared" si="4"/>
        <v>10.5</v>
      </c>
      <c r="I363" s="718">
        <f t="shared" si="4"/>
        <v>10.5</v>
      </c>
      <c r="J363" s="64"/>
      <c r="K363" s="350">
        <f>(2.5+2.75)*2</f>
        <v>10.5</v>
      </c>
      <c r="L363" s="196"/>
      <c r="M363" s="196"/>
      <c r="R363" s="249"/>
      <c r="T363" s="45"/>
      <c r="V363" s="402"/>
      <c r="W363" s="42"/>
      <c r="X363" s="42"/>
    </row>
    <row r="364" spans="2:25" ht="27" customHeight="1" outlineLevel="1">
      <c r="B364" s="237"/>
      <c r="C364" s="345"/>
      <c r="D364" s="345" t="s">
        <v>62</v>
      </c>
      <c r="E364" s="346">
        <v>953945122</v>
      </c>
      <c r="F364" s="719" t="s">
        <v>909</v>
      </c>
      <c r="G364" s="719"/>
      <c r="H364" s="719"/>
      <c r="I364" s="719"/>
      <c r="J364" s="63" t="s">
        <v>67</v>
      </c>
      <c r="K364" s="347">
        <f>SUM(K365:K365)</f>
        <v>12</v>
      </c>
      <c r="L364" s="726"/>
      <c r="M364" s="726"/>
      <c r="N364" s="720">
        <f>ROUND(L364*K364,2)</f>
        <v>0</v>
      </c>
      <c r="O364" s="720"/>
      <c r="P364" s="720"/>
      <c r="Q364" s="720"/>
      <c r="R364" s="238"/>
      <c r="T364" s="45"/>
    </row>
    <row r="365" spans="2:25" s="248" customFormat="1" ht="22.5" outlineLevel="1">
      <c r="B365" s="247"/>
      <c r="E365" s="349" t="s">
        <v>910</v>
      </c>
      <c r="F365" s="717" t="s">
        <v>911</v>
      </c>
      <c r="G365" s="718">
        <f t="shared" si="4"/>
        <v>10.5</v>
      </c>
      <c r="H365" s="718">
        <f t="shared" si="4"/>
        <v>10.5</v>
      </c>
      <c r="I365" s="718">
        <f t="shared" si="4"/>
        <v>10.5</v>
      </c>
      <c r="J365" s="64"/>
      <c r="K365" s="350">
        <f>3*4</f>
        <v>12</v>
      </c>
      <c r="L365" s="196"/>
      <c r="M365" s="196"/>
      <c r="R365" s="249"/>
      <c r="T365" s="45"/>
      <c r="V365" s="402"/>
      <c r="W365" s="42"/>
      <c r="X365" s="42"/>
    </row>
    <row r="366" spans="2:25" outlineLevel="1">
      <c r="B366" s="237"/>
      <c r="C366" s="345"/>
      <c r="D366" s="345" t="s">
        <v>62</v>
      </c>
      <c r="E366" s="346">
        <v>279311116</v>
      </c>
      <c r="F366" s="719" t="s">
        <v>389</v>
      </c>
      <c r="G366" s="719"/>
      <c r="H366" s="719"/>
      <c r="I366" s="719"/>
      <c r="J366" s="63" t="s">
        <v>64</v>
      </c>
      <c r="K366" s="347">
        <f>SUM(K367:K367)</f>
        <v>1.0709999999999997</v>
      </c>
      <c r="L366" s="726"/>
      <c r="M366" s="726"/>
      <c r="N366" s="720">
        <f>ROUND(L366*K366,2)</f>
        <v>0</v>
      </c>
      <c r="O366" s="720"/>
      <c r="P366" s="720"/>
      <c r="Q366" s="720"/>
      <c r="R366" s="238"/>
      <c r="T366" s="45"/>
    </row>
    <row r="367" spans="2:25" s="248" customFormat="1" outlineLevel="1">
      <c r="B367" s="247"/>
      <c r="E367" s="349" t="s">
        <v>390</v>
      </c>
      <c r="F367" s="717" t="s">
        <v>187</v>
      </c>
      <c r="G367" s="718">
        <f>1.2*0.5*0.6</f>
        <v>0.36</v>
      </c>
      <c r="H367" s="718">
        <f>1.2*0.5*0.6</f>
        <v>0.36</v>
      </c>
      <c r="I367" s="718">
        <f>1.2*0.5*0.6</f>
        <v>0.36</v>
      </c>
      <c r="J367" s="64"/>
      <c r="K367" s="350">
        <f>K319</f>
        <v>1.0709999999999997</v>
      </c>
      <c r="L367" s="196"/>
      <c r="M367" s="196"/>
      <c r="R367" s="249"/>
      <c r="T367" s="45"/>
      <c r="V367" s="402"/>
      <c r="W367" s="42"/>
      <c r="X367" s="42"/>
    </row>
    <row r="368" spans="2:25" s="341" customFormat="1" ht="12.75">
      <c r="B368" s="340"/>
      <c r="C368" s="344"/>
      <c r="D368" s="344" t="s">
        <v>46</v>
      </c>
      <c r="E368" s="344"/>
      <c r="F368" s="344"/>
      <c r="G368" s="344"/>
      <c r="H368" s="344"/>
      <c r="I368" s="344"/>
      <c r="J368" s="61"/>
      <c r="K368" s="344"/>
      <c r="L368" s="72"/>
      <c r="M368" s="72"/>
      <c r="N368" s="734">
        <f>SUM(N369:Q417)</f>
        <v>0</v>
      </c>
      <c r="O368" s="734"/>
      <c r="P368" s="734"/>
      <c r="Q368" s="734"/>
      <c r="R368" s="342"/>
      <c r="T368" s="62">
        <f>SUM(N368:Q417)/2</f>
        <v>0</v>
      </c>
      <c r="U368" s="352"/>
      <c r="V368" s="400"/>
      <c r="W368" s="401"/>
      <c r="X368" s="401"/>
      <c r="Y368" s="369"/>
    </row>
    <row r="369" spans="2:29" s="358" customFormat="1" ht="27" customHeight="1" outlineLevel="1">
      <c r="B369" s="353"/>
      <c r="C369" s="354"/>
      <c r="D369" s="354" t="s">
        <v>62</v>
      </c>
      <c r="E369" s="355">
        <v>311236151</v>
      </c>
      <c r="F369" s="727" t="s">
        <v>920</v>
      </c>
      <c r="G369" s="727"/>
      <c r="H369" s="727"/>
      <c r="I369" s="727"/>
      <c r="J369" s="215" t="s">
        <v>63</v>
      </c>
      <c r="K369" s="356">
        <f>SUM(K370:K373)</f>
        <v>29.564299999999999</v>
      </c>
      <c r="L369" s="728"/>
      <c r="M369" s="728"/>
      <c r="N369" s="729">
        <f>ROUND(L369*K369,2)</f>
        <v>0</v>
      </c>
      <c r="O369" s="729"/>
      <c r="P369" s="729"/>
      <c r="Q369" s="729"/>
      <c r="R369" s="357"/>
      <c r="T369" s="216"/>
      <c r="U369" s="359"/>
      <c r="V369" s="414"/>
      <c r="W369" s="415"/>
      <c r="X369" s="415"/>
    </row>
    <row r="370" spans="2:29" s="248" customFormat="1" outlineLevel="1">
      <c r="B370" s="247"/>
      <c r="E370" s="349" t="s">
        <v>82</v>
      </c>
      <c r="F370" s="717" t="s">
        <v>922</v>
      </c>
      <c r="G370" s="718">
        <f>0.8*2+1.08*2.2</f>
        <v>3.9760000000000004</v>
      </c>
      <c r="H370" s="718">
        <f>0.8*2+1.08*2.2</f>
        <v>3.9760000000000004</v>
      </c>
      <c r="I370" s="718">
        <f>0.8*2+1.08*2.2</f>
        <v>3.9760000000000004</v>
      </c>
      <c r="J370" s="64"/>
      <c r="K370" s="350">
        <f>0.8*2+1.08*2.2</f>
        <v>3.9760000000000004</v>
      </c>
      <c r="L370" s="196"/>
      <c r="M370" s="196"/>
      <c r="R370" s="249"/>
      <c r="T370" s="45"/>
      <c r="V370" s="402"/>
      <c r="W370" s="42"/>
      <c r="X370" s="42"/>
    </row>
    <row r="371" spans="2:29" s="248" customFormat="1" outlineLevel="1">
      <c r="B371" s="247"/>
      <c r="E371" s="349" t="s">
        <v>83</v>
      </c>
      <c r="F371" s="717" t="s">
        <v>949</v>
      </c>
      <c r="G371" s="718">
        <f>1.3*2.8+0.8*2+0.95*1.9+1.06*3.38</f>
        <v>10.627800000000001</v>
      </c>
      <c r="H371" s="718">
        <f>1.3*2.8+0.8*2+0.95*1.9+1.06*3.38</f>
        <v>10.627800000000001</v>
      </c>
      <c r="I371" s="718">
        <f>1.3*2.8+0.8*2+0.95*1.9+1.06*3.38</f>
        <v>10.627800000000001</v>
      </c>
      <c r="J371" s="64"/>
      <c r="K371" s="350">
        <f>1.3*2.8+0.8*2+0.95*1.9+1.06*3.38+0.55*1.11</f>
        <v>11.238300000000001</v>
      </c>
      <c r="L371" s="196"/>
      <c r="M371" s="196"/>
      <c r="R371" s="249"/>
      <c r="T371" s="45"/>
      <c r="V371" s="402"/>
      <c r="W371" s="42"/>
      <c r="X371" s="42"/>
    </row>
    <row r="372" spans="2:29" s="248" customFormat="1" outlineLevel="1">
      <c r="B372" s="247"/>
      <c r="E372" s="349" t="s">
        <v>921</v>
      </c>
      <c r="F372" s="717" t="s">
        <v>923</v>
      </c>
      <c r="G372" s="718">
        <f>(2.1+0.65)*2*2.9</f>
        <v>15.95</v>
      </c>
      <c r="H372" s="718">
        <f>(2.1+0.65)*2*2.9</f>
        <v>15.95</v>
      </c>
      <c r="I372" s="718">
        <f>(2.1+0.65)*2*2.9</f>
        <v>15.95</v>
      </c>
      <c r="J372" s="64"/>
      <c r="K372" s="350">
        <f>(2.1+0.65)*2*2.9</f>
        <v>15.95</v>
      </c>
      <c r="L372" s="196"/>
      <c r="M372" s="196"/>
      <c r="R372" s="249"/>
      <c r="T372" s="45"/>
      <c r="V372" s="402"/>
      <c r="W372" s="42"/>
      <c r="X372" s="42"/>
    </row>
    <row r="373" spans="2:29" s="333" customFormat="1" outlineLevel="1">
      <c r="B373" s="362"/>
      <c r="E373" s="363" t="s">
        <v>2520</v>
      </c>
      <c r="F373" s="715" t="s">
        <v>2456</v>
      </c>
      <c r="G373" s="716">
        <f>(1.4+1.5)*2*(0.25*0.6)*12+0.35*0.45*2.3</f>
        <v>10.802249999999999</v>
      </c>
      <c r="H373" s="716">
        <f>(1.4+1.5)*2*(0.25*0.6)*12+0.35*0.45*2.3</f>
        <v>10.802249999999999</v>
      </c>
      <c r="I373" s="716">
        <f>(1.4+1.5)*2*(0.25*0.6)*12+0.35*0.45*2.3</f>
        <v>10.802249999999999</v>
      </c>
      <c r="J373" s="209">
        <v>-1</v>
      </c>
      <c r="K373" s="364">
        <f>K155*J373</f>
        <v>-1.6</v>
      </c>
      <c r="L373" s="210"/>
      <c r="M373" s="210"/>
      <c r="R373" s="365"/>
      <c r="T373" s="211"/>
      <c r="V373" s="217"/>
      <c r="W373" s="217"/>
      <c r="X373" s="217"/>
      <c r="AC373" s="366"/>
    </row>
    <row r="374" spans="2:29" s="358" customFormat="1" ht="27" customHeight="1" outlineLevel="1">
      <c r="B374" s="353"/>
      <c r="C374" s="354"/>
      <c r="D374" s="354" t="s">
        <v>69</v>
      </c>
      <c r="E374" s="355" t="s">
        <v>1954</v>
      </c>
      <c r="F374" s="727" t="s">
        <v>1955</v>
      </c>
      <c r="G374" s="727"/>
      <c r="H374" s="727"/>
      <c r="I374" s="727"/>
      <c r="J374" s="215" t="s">
        <v>63</v>
      </c>
      <c r="K374" s="356">
        <f>SUM(K375:K380)</f>
        <v>153.01857000000001</v>
      </c>
      <c r="L374" s="728"/>
      <c r="M374" s="728"/>
      <c r="N374" s="729">
        <f>ROUND(L374*K374,2)</f>
        <v>0</v>
      </c>
      <c r="O374" s="729"/>
      <c r="P374" s="729"/>
      <c r="Q374" s="729"/>
      <c r="R374" s="357"/>
      <c r="T374" s="216"/>
      <c r="U374" s="359"/>
      <c r="V374" s="414"/>
      <c r="W374" s="415"/>
      <c r="X374" s="415"/>
    </row>
    <row r="375" spans="2:29" s="248" customFormat="1" ht="38.25" customHeight="1" outlineLevel="1">
      <c r="B375" s="247"/>
      <c r="E375" s="349" t="s">
        <v>82</v>
      </c>
      <c r="F375" s="717" t="s">
        <v>2025</v>
      </c>
      <c r="G375" s="718">
        <f>7.4*4.2/2+(0.9+6.23)*4.2+(2.25+2.75+1.1+0.72+0.7)*3.5+1.085*1.75+1.1*2.28</f>
        <v>76.212750000000014</v>
      </c>
      <c r="H375" s="718">
        <f>7.4*4.2/2+(0.9+6.23)*4.2+(2.25+2.75+1.1+0.72+0.7)*3.5+1.085*1.75+1.1*2.28</f>
        <v>76.212750000000014</v>
      </c>
      <c r="I375" s="718">
        <f>7.4*4.2/2+(0.9+6.23)*4.2+(2.25+2.75+1.1+0.72+0.7)*3.5+1.085*1.75+1.1*2.28</f>
        <v>76.212750000000014</v>
      </c>
      <c r="J375" s="64"/>
      <c r="K375" s="350">
        <f>7.4*4.2/2+(0.9+6.23)*4.2+(2.25+2.75+1.1+0.72+0.7+2.75+0.68)*3.5+1.085*1.75+1.1*2.28</f>
        <v>88.217750000000009</v>
      </c>
      <c r="L375" s="196"/>
      <c r="M375" s="196"/>
      <c r="R375" s="249"/>
      <c r="T375" s="45"/>
      <c r="V375" s="402"/>
      <c r="W375" s="42"/>
      <c r="X375" s="42"/>
    </row>
    <row r="376" spans="2:29" s="248" customFormat="1" outlineLevel="1">
      <c r="B376" s="247"/>
      <c r="E376" s="349" t="s">
        <v>83</v>
      </c>
      <c r="F376" s="717" t="s">
        <v>925</v>
      </c>
      <c r="G376" s="718">
        <f>1.87*2.76+2.5*2+(2.55+2.75)*2*3.75+1.17*2.1</f>
        <v>52.368200000000002</v>
      </c>
      <c r="H376" s="718">
        <f>1.87*2.76+2.5*2+(2.55+2.75)*2*3.75+1.17*2.1</f>
        <v>52.368200000000002</v>
      </c>
      <c r="I376" s="718">
        <f>1.87*2.76+2.5*2+(2.55+2.75)*2*3.75+1.17*2.1</f>
        <v>52.368200000000002</v>
      </c>
      <c r="J376" s="64"/>
      <c r="K376" s="350">
        <f>1.87*2.76+2.5*2+(2.55+2.75)*2*3.75+1.17*2.1</f>
        <v>52.368200000000002</v>
      </c>
      <c r="L376" s="196"/>
      <c r="M376" s="196"/>
      <c r="R376" s="249"/>
      <c r="T376" s="45"/>
      <c r="V376" s="402"/>
      <c r="W376" s="42"/>
      <c r="X376" s="42"/>
    </row>
    <row r="377" spans="2:29" s="248" customFormat="1" outlineLevel="1">
      <c r="B377" s="247"/>
      <c r="E377" s="349" t="s">
        <v>83</v>
      </c>
      <c r="F377" s="717" t="s">
        <v>926</v>
      </c>
      <c r="G377" s="718">
        <f t="shared" ref="G377:I378" si="5">(2.55+2.75)*2*4.25+2.57*2.33</f>
        <v>51.0381</v>
      </c>
      <c r="H377" s="718">
        <f t="shared" si="5"/>
        <v>51.0381</v>
      </c>
      <c r="I377" s="718">
        <f t="shared" si="5"/>
        <v>51.0381</v>
      </c>
      <c r="J377" s="64"/>
      <c r="K377" s="350">
        <f>(2.55+2.75)*2*4.25+2.57*2.33</f>
        <v>51.0381</v>
      </c>
      <c r="L377" s="196"/>
      <c r="M377" s="196"/>
      <c r="R377" s="249"/>
      <c r="T377" s="45"/>
      <c r="V377" s="402"/>
      <c r="W377" s="42"/>
      <c r="X377" s="42"/>
    </row>
    <row r="378" spans="2:29" s="248" customFormat="1" outlineLevel="1">
      <c r="B378" s="247"/>
      <c r="E378" s="349" t="s">
        <v>921</v>
      </c>
      <c r="F378" s="717" t="s">
        <v>2038</v>
      </c>
      <c r="G378" s="718">
        <f t="shared" si="5"/>
        <v>51.0381</v>
      </c>
      <c r="H378" s="718">
        <f t="shared" si="5"/>
        <v>51.0381</v>
      </c>
      <c r="I378" s="718">
        <f t="shared" si="5"/>
        <v>51.0381</v>
      </c>
      <c r="J378" s="64"/>
      <c r="K378" s="350">
        <f>(1.06*2.33)*2</f>
        <v>4.9396000000000004</v>
      </c>
      <c r="L378" s="196"/>
      <c r="M378" s="196"/>
      <c r="R378" s="249"/>
      <c r="T378" s="45"/>
      <c r="V378" s="402"/>
      <c r="W378" s="42"/>
      <c r="X378" s="42"/>
    </row>
    <row r="379" spans="2:29" s="248" customFormat="1" ht="22.5" outlineLevel="1">
      <c r="B379" s="247"/>
      <c r="E379" s="349" t="s">
        <v>924</v>
      </c>
      <c r="F379" s="717" t="s">
        <v>927</v>
      </c>
      <c r="G379" s="718" t="e">
        <f>(6.23*3+1.1*2.18+1*1.37+1.1+2.18*2+1.1*2.15+1.06*1.8)*F379</f>
        <v>#VALUE!</v>
      </c>
      <c r="H379" s="718" t="e">
        <f>(6.23*3+1.1*2.18+1*1.37+1.1+2.18*2+1.1*2.15+1.06*1.8)*G379</f>
        <v>#VALUE!</v>
      </c>
      <c r="I379" s="718" t="e">
        <f>(6.23*3+1.1*2.18+1*1.37+1.1+2.18*2+1.1*2.15+1.06*1.8)*H379</f>
        <v>#VALUE!</v>
      </c>
      <c r="J379" s="141">
        <v>-0.8</v>
      </c>
      <c r="K379" s="350">
        <f>(6.23*3+1.1*2.18+1*1.37+1.1+2.18*2+1.1*2.15+1.06*1.8)*J379</f>
        <v>-25.752800000000004</v>
      </c>
      <c r="L379" s="196"/>
      <c r="M379" s="196"/>
      <c r="R379" s="249"/>
      <c r="T379" s="45"/>
      <c r="V379" s="402"/>
      <c r="W379" s="42"/>
      <c r="X379" s="42"/>
    </row>
    <row r="380" spans="2:29" s="333" customFormat="1" outlineLevel="1">
      <c r="B380" s="362"/>
      <c r="E380" s="363" t="s">
        <v>2520</v>
      </c>
      <c r="F380" s="715" t="s">
        <v>2456</v>
      </c>
      <c r="G380" s="716">
        <f>(1.4+1.5)*2*(0.25*0.6)*12+0.35*0.45*2.3</f>
        <v>10.802249999999999</v>
      </c>
      <c r="H380" s="716">
        <f>(1.4+1.5)*2*(0.25*0.6)*12+0.35*0.45*2.3</f>
        <v>10.802249999999999</v>
      </c>
      <c r="I380" s="716">
        <f>(1.4+1.5)*2*(0.25*0.6)*12+0.35*0.45*2.3</f>
        <v>10.802249999999999</v>
      </c>
      <c r="J380" s="209">
        <v>-1</v>
      </c>
      <c r="K380" s="364">
        <f>K157*J380</f>
        <v>-17.792279999999998</v>
      </c>
      <c r="L380" s="210"/>
      <c r="M380" s="210"/>
      <c r="R380" s="365"/>
      <c r="T380" s="211"/>
      <c r="V380" s="217"/>
      <c r="W380" s="217"/>
      <c r="X380" s="217"/>
      <c r="AC380" s="366"/>
    </row>
    <row r="381" spans="2:29" outlineLevel="1">
      <c r="B381" s="237"/>
      <c r="C381" s="345"/>
      <c r="D381" s="345" t="s">
        <v>62</v>
      </c>
      <c r="E381" s="346">
        <v>310238211</v>
      </c>
      <c r="F381" s="719" t="s">
        <v>928</v>
      </c>
      <c r="G381" s="719"/>
      <c r="H381" s="719"/>
      <c r="I381" s="719"/>
      <c r="J381" s="63" t="s">
        <v>63</v>
      </c>
      <c r="K381" s="347">
        <f>SUM(K382:K382)</f>
        <v>0.3</v>
      </c>
      <c r="L381" s="726"/>
      <c r="M381" s="726"/>
      <c r="N381" s="720">
        <f>ROUND(L381*K381,2)</f>
        <v>0</v>
      </c>
      <c r="O381" s="720"/>
      <c r="P381" s="720"/>
      <c r="Q381" s="720"/>
      <c r="R381" s="238"/>
      <c r="T381" s="45"/>
    </row>
    <row r="382" spans="2:29" s="248" customFormat="1" outlineLevel="1">
      <c r="B382" s="247"/>
      <c r="E382" s="349" t="s">
        <v>82</v>
      </c>
      <c r="F382" s="717"/>
      <c r="G382" s="718"/>
      <c r="H382" s="718"/>
      <c r="I382" s="718"/>
      <c r="J382" s="64"/>
      <c r="K382" s="350">
        <f>0.25*0.25*2*2.4</f>
        <v>0.3</v>
      </c>
      <c r="L382" s="196"/>
      <c r="M382" s="196"/>
      <c r="R382" s="249"/>
      <c r="T382" s="45"/>
      <c r="V382" s="402"/>
      <c r="W382" s="42"/>
      <c r="X382" s="42"/>
    </row>
    <row r="383" spans="2:29" outlineLevel="1">
      <c r="B383" s="237"/>
      <c r="C383" s="345"/>
      <c r="D383" s="345" t="s">
        <v>62</v>
      </c>
      <c r="E383" s="346">
        <v>317168052</v>
      </c>
      <c r="F383" s="719" t="s">
        <v>929</v>
      </c>
      <c r="G383" s="719"/>
      <c r="H383" s="719"/>
      <c r="I383" s="719"/>
      <c r="J383" s="63" t="s">
        <v>67</v>
      </c>
      <c r="K383" s="347">
        <f>SUM(K384:K384)</f>
        <v>3</v>
      </c>
      <c r="L383" s="726"/>
      <c r="M383" s="726"/>
      <c r="N383" s="720">
        <f>ROUND(L383*K383,2)</f>
        <v>0</v>
      </c>
      <c r="O383" s="720"/>
      <c r="P383" s="720"/>
      <c r="Q383" s="720"/>
      <c r="R383" s="238"/>
      <c r="T383" s="45"/>
    </row>
    <row r="384" spans="2:29" s="248" customFormat="1" outlineLevel="1">
      <c r="B384" s="247"/>
      <c r="E384" s="349" t="s">
        <v>83</v>
      </c>
      <c r="F384" s="717" t="s">
        <v>460</v>
      </c>
      <c r="G384" s="718" t="e">
        <f>1.7*2*F384</f>
        <v>#VALUE!</v>
      </c>
      <c r="H384" s="718" t="e">
        <f>1.7*2*G384</f>
        <v>#VALUE!</v>
      </c>
      <c r="I384" s="718" t="e">
        <f>1.7*2*H384</f>
        <v>#VALUE!</v>
      </c>
      <c r="J384" s="64"/>
      <c r="K384" s="350">
        <f>3*1</f>
        <v>3</v>
      </c>
      <c r="L384" s="196"/>
      <c r="M384" s="196"/>
      <c r="R384" s="249"/>
      <c r="T384" s="45"/>
      <c r="V384" s="402"/>
      <c r="W384" s="42"/>
      <c r="X384" s="42"/>
    </row>
    <row r="385" spans="2:29" outlineLevel="1">
      <c r="B385" s="237"/>
      <c r="C385" s="345"/>
      <c r="D385" s="345" t="s">
        <v>62</v>
      </c>
      <c r="E385" s="346">
        <v>317168053</v>
      </c>
      <c r="F385" s="719" t="s">
        <v>930</v>
      </c>
      <c r="G385" s="719"/>
      <c r="H385" s="719"/>
      <c r="I385" s="719"/>
      <c r="J385" s="63" t="s">
        <v>67</v>
      </c>
      <c r="K385" s="347">
        <f>SUM(K386:K387)</f>
        <v>6</v>
      </c>
      <c r="L385" s="726"/>
      <c r="M385" s="726"/>
      <c r="N385" s="720">
        <f>ROUND(L385*K385,2)</f>
        <v>0</v>
      </c>
      <c r="O385" s="720"/>
      <c r="P385" s="720"/>
      <c r="Q385" s="720"/>
      <c r="R385" s="238"/>
      <c r="T385" s="45"/>
    </row>
    <row r="386" spans="2:29" s="248" customFormat="1" outlineLevel="1">
      <c r="B386" s="247"/>
      <c r="E386" s="349" t="s">
        <v>82</v>
      </c>
      <c r="F386" s="717"/>
      <c r="G386" s="718"/>
      <c r="H386" s="718"/>
      <c r="I386" s="718"/>
      <c r="J386" s="64"/>
      <c r="K386" s="350">
        <f>2*1</f>
        <v>2</v>
      </c>
      <c r="L386" s="196"/>
      <c r="M386" s="196"/>
      <c r="R386" s="249"/>
      <c r="T386" s="45"/>
      <c r="V386" s="402"/>
      <c r="W386" s="42"/>
      <c r="X386" s="42"/>
    </row>
    <row r="387" spans="2:29" s="248" customFormat="1" outlineLevel="1">
      <c r="B387" s="247"/>
      <c r="E387" s="349" t="s">
        <v>83</v>
      </c>
      <c r="F387" s="717"/>
      <c r="G387" s="718"/>
      <c r="H387" s="718"/>
      <c r="I387" s="718"/>
      <c r="J387" s="64"/>
      <c r="K387" s="350">
        <f>2*1*2</f>
        <v>4</v>
      </c>
      <c r="L387" s="196"/>
      <c r="M387" s="196"/>
      <c r="R387" s="249"/>
      <c r="T387" s="45"/>
      <c r="V387" s="402"/>
      <c r="W387" s="42"/>
      <c r="X387" s="42"/>
    </row>
    <row r="388" spans="2:29" s="358" customFormat="1" outlineLevel="1">
      <c r="B388" s="353"/>
      <c r="C388" s="354"/>
      <c r="D388" s="354" t="s">
        <v>62</v>
      </c>
      <c r="E388" s="355" t="s">
        <v>941</v>
      </c>
      <c r="F388" s="727" t="s">
        <v>942</v>
      </c>
      <c r="G388" s="727"/>
      <c r="H388" s="727"/>
      <c r="I388" s="727"/>
      <c r="J388" s="215" t="s">
        <v>67</v>
      </c>
      <c r="K388" s="356">
        <f>SUM(K389:K391)</f>
        <v>10</v>
      </c>
      <c r="L388" s="728"/>
      <c r="M388" s="728"/>
      <c r="N388" s="729">
        <f>ROUND(L388*K388,2)</f>
        <v>0</v>
      </c>
      <c r="O388" s="729"/>
      <c r="P388" s="729"/>
      <c r="Q388" s="729"/>
      <c r="R388" s="357"/>
      <c r="T388" s="216"/>
      <c r="U388" s="359"/>
      <c r="V388" s="414"/>
      <c r="W388" s="415"/>
      <c r="X388" s="415"/>
    </row>
    <row r="389" spans="2:29" s="248" customFormat="1" outlineLevel="1">
      <c r="B389" s="247"/>
      <c r="E389" s="349" t="s">
        <v>82</v>
      </c>
      <c r="F389" s="717"/>
      <c r="G389" s="718"/>
      <c r="H389" s="718"/>
      <c r="I389" s="718"/>
      <c r="J389" s="64"/>
      <c r="K389" s="350">
        <v>4</v>
      </c>
      <c r="L389" s="196"/>
      <c r="M389" s="196"/>
      <c r="R389" s="249"/>
      <c r="T389" s="45"/>
      <c r="V389" s="402"/>
      <c r="W389" s="42"/>
      <c r="X389" s="42"/>
    </row>
    <row r="390" spans="2:29" s="248" customFormat="1" outlineLevel="1">
      <c r="B390" s="247"/>
      <c r="E390" s="349" t="s">
        <v>83</v>
      </c>
      <c r="F390" s="717"/>
      <c r="G390" s="718"/>
      <c r="H390" s="718"/>
      <c r="I390" s="718"/>
      <c r="J390" s="64"/>
      <c r="K390" s="350">
        <v>7</v>
      </c>
      <c r="L390" s="196"/>
      <c r="M390" s="196"/>
      <c r="R390" s="249"/>
      <c r="T390" s="45"/>
      <c r="V390" s="402"/>
      <c r="W390" s="42"/>
      <c r="X390" s="42"/>
    </row>
    <row r="391" spans="2:29" s="333" customFormat="1" outlineLevel="1">
      <c r="B391" s="362"/>
      <c r="E391" s="363" t="s">
        <v>2520</v>
      </c>
      <c r="F391" s="715" t="s">
        <v>2456</v>
      </c>
      <c r="G391" s="716">
        <f>(1.4+1.5)*2*(0.25*0.6)*12+0.35*0.45*2.3</f>
        <v>10.802249999999999</v>
      </c>
      <c r="H391" s="716">
        <f>(1.4+1.5)*2*(0.25*0.6)*12+0.35*0.45*2.3</f>
        <v>10.802249999999999</v>
      </c>
      <c r="I391" s="716">
        <f>(1.4+1.5)*2*(0.25*0.6)*12+0.35*0.45*2.3</f>
        <v>10.802249999999999</v>
      </c>
      <c r="J391" s="209">
        <v>-1</v>
      </c>
      <c r="K391" s="364">
        <f>K159*J391</f>
        <v>-1</v>
      </c>
      <c r="L391" s="210"/>
      <c r="M391" s="210"/>
      <c r="R391" s="365"/>
      <c r="T391" s="211"/>
      <c r="V391" s="217"/>
      <c r="W391" s="217"/>
      <c r="X391" s="217"/>
      <c r="AC391" s="366"/>
    </row>
    <row r="392" spans="2:29" outlineLevel="1">
      <c r="B392" s="237"/>
      <c r="C392" s="345"/>
      <c r="D392" s="345" t="s">
        <v>62</v>
      </c>
      <c r="E392" s="346">
        <v>317168021</v>
      </c>
      <c r="F392" s="719" t="s">
        <v>943</v>
      </c>
      <c r="G392" s="719"/>
      <c r="H392" s="719"/>
      <c r="I392" s="719"/>
      <c r="J392" s="63" t="s">
        <v>67</v>
      </c>
      <c r="K392" s="347">
        <f>SUM(K393:K393)</f>
        <v>1</v>
      </c>
      <c r="L392" s="726"/>
      <c r="M392" s="726"/>
      <c r="N392" s="720">
        <f>ROUND(L392*K392,2)</f>
        <v>0</v>
      </c>
      <c r="O392" s="720"/>
      <c r="P392" s="720"/>
      <c r="Q392" s="720"/>
      <c r="R392" s="238"/>
      <c r="T392" s="45"/>
    </row>
    <row r="393" spans="2:29" s="248" customFormat="1" outlineLevel="1">
      <c r="B393" s="247"/>
      <c r="E393" s="349" t="s">
        <v>83</v>
      </c>
      <c r="F393" s="717"/>
      <c r="G393" s="718"/>
      <c r="H393" s="718"/>
      <c r="I393" s="718"/>
      <c r="J393" s="64"/>
      <c r="K393" s="350">
        <v>1</v>
      </c>
      <c r="L393" s="196"/>
      <c r="M393" s="196"/>
      <c r="R393" s="249"/>
      <c r="T393" s="45"/>
      <c r="V393" s="402"/>
      <c r="W393" s="42"/>
      <c r="X393" s="42"/>
    </row>
    <row r="394" spans="2:29" outlineLevel="1">
      <c r="B394" s="237"/>
      <c r="C394" s="345"/>
      <c r="D394" s="345" t="s">
        <v>62</v>
      </c>
      <c r="E394" s="346">
        <v>317168022</v>
      </c>
      <c r="F394" s="719" t="s">
        <v>944</v>
      </c>
      <c r="G394" s="719"/>
      <c r="H394" s="719"/>
      <c r="I394" s="719"/>
      <c r="J394" s="63" t="s">
        <v>67</v>
      </c>
      <c r="K394" s="347">
        <f>SUM(K395:K396)</f>
        <v>4</v>
      </c>
      <c r="L394" s="726"/>
      <c r="M394" s="726"/>
      <c r="N394" s="720">
        <f>ROUND(L394*K394,2)</f>
        <v>0</v>
      </c>
      <c r="O394" s="720"/>
      <c r="P394" s="720"/>
      <c r="Q394" s="720"/>
      <c r="R394" s="238"/>
      <c r="T394" s="45"/>
    </row>
    <row r="395" spans="2:29" s="248" customFormat="1" outlineLevel="1">
      <c r="B395" s="247"/>
      <c r="E395" s="349" t="s">
        <v>82</v>
      </c>
      <c r="F395" s="717"/>
      <c r="G395" s="718"/>
      <c r="H395" s="718"/>
      <c r="I395" s="718"/>
      <c r="J395" s="64"/>
      <c r="K395" s="350">
        <v>3</v>
      </c>
      <c r="L395" s="196"/>
      <c r="M395" s="196"/>
      <c r="R395" s="249"/>
      <c r="T395" s="45"/>
      <c r="V395" s="402"/>
      <c r="W395" s="42"/>
      <c r="X395" s="42"/>
    </row>
    <row r="396" spans="2:29" s="248" customFormat="1" outlineLevel="1">
      <c r="B396" s="247"/>
      <c r="E396" s="349" t="s">
        <v>83</v>
      </c>
      <c r="F396" s="717"/>
      <c r="G396" s="718"/>
      <c r="H396" s="718"/>
      <c r="I396" s="718"/>
      <c r="J396" s="64"/>
      <c r="K396" s="350">
        <v>1</v>
      </c>
      <c r="L396" s="196"/>
      <c r="M396" s="196"/>
      <c r="R396" s="249"/>
      <c r="T396" s="45"/>
      <c r="V396" s="402"/>
      <c r="W396" s="42"/>
      <c r="X396" s="42"/>
    </row>
    <row r="397" spans="2:29" outlineLevel="1">
      <c r="B397" s="237"/>
      <c r="C397" s="345"/>
      <c r="D397" s="345" t="s">
        <v>62</v>
      </c>
      <c r="E397" s="346">
        <v>317944321</v>
      </c>
      <c r="F397" s="719" t="s">
        <v>394</v>
      </c>
      <c r="G397" s="719"/>
      <c r="H397" s="719"/>
      <c r="I397" s="719"/>
      <c r="J397" s="63" t="s">
        <v>66</v>
      </c>
      <c r="K397" s="347">
        <f>SUM(K398:K398)</f>
        <v>2.0017E-2</v>
      </c>
      <c r="L397" s="726"/>
      <c r="M397" s="726"/>
      <c r="N397" s="720">
        <f>ROUND(L397*K397,2)</f>
        <v>0</v>
      </c>
      <c r="O397" s="720"/>
      <c r="P397" s="720"/>
      <c r="Q397" s="720"/>
      <c r="R397" s="238"/>
      <c r="T397" s="45"/>
    </row>
    <row r="398" spans="2:29" s="248" customFormat="1" outlineLevel="1">
      <c r="B398" s="247"/>
      <c r="E398" s="349" t="s">
        <v>83</v>
      </c>
      <c r="F398" s="717" t="s">
        <v>947</v>
      </c>
      <c r="G398" s="718" t="e">
        <f>1.7*2*F398</f>
        <v>#VALUE!</v>
      </c>
      <c r="H398" s="718" t="e">
        <f>1.7*2*G398</f>
        <v>#VALUE!</v>
      </c>
      <c r="I398" s="718" t="e">
        <f>1.7*2*H398</f>
        <v>#VALUE!</v>
      </c>
      <c r="J398" s="64">
        <f>5.41/1000</f>
        <v>5.4099999999999999E-3</v>
      </c>
      <c r="K398" s="350">
        <f>1.85*2*J398</f>
        <v>2.0017E-2</v>
      </c>
      <c r="L398" s="196"/>
      <c r="M398" s="196"/>
      <c r="R398" s="249"/>
      <c r="T398" s="45"/>
      <c r="V398" s="402"/>
      <c r="W398" s="42"/>
      <c r="X398" s="42"/>
    </row>
    <row r="399" spans="2:29" s="358" customFormat="1" outlineLevel="1">
      <c r="B399" s="353"/>
      <c r="C399" s="354"/>
      <c r="D399" s="354" t="s">
        <v>62</v>
      </c>
      <c r="E399" s="355">
        <v>317944323</v>
      </c>
      <c r="F399" s="727" t="s">
        <v>393</v>
      </c>
      <c r="G399" s="727"/>
      <c r="H399" s="727"/>
      <c r="I399" s="727"/>
      <c r="J399" s="215" t="s">
        <v>66</v>
      </c>
      <c r="K399" s="356">
        <f>SUM(K400:K402)</f>
        <v>1.443398</v>
      </c>
      <c r="L399" s="728"/>
      <c r="M399" s="728"/>
      <c r="N399" s="729">
        <f>ROUND(L399*K399,2)</f>
        <v>0</v>
      </c>
      <c r="O399" s="729"/>
      <c r="P399" s="729"/>
      <c r="Q399" s="729"/>
      <c r="R399" s="357"/>
      <c r="T399" s="216"/>
      <c r="U399" s="359"/>
      <c r="V399" s="414"/>
      <c r="W399" s="415"/>
      <c r="X399" s="415"/>
    </row>
    <row r="400" spans="2:29" s="248" customFormat="1" outlineLevel="1">
      <c r="B400" s="247"/>
      <c r="E400" s="349" t="s">
        <v>82</v>
      </c>
      <c r="F400" s="717" t="s">
        <v>2029</v>
      </c>
      <c r="G400" s="718"/>
      <c r="H400" s="718"/>
      <c r="I400" s="718"/>
      <c r="J400" s="64"/>
      <c r="K400" s="350">
        <f>((3*1.9)*10.6+(2.8*3)*15.8+(2.15*2+2.8*3+2.28*2+2.4*2)*18.8+(2*2*3.5+2.5+3)*22.4)/1000</f>
        <v>1.0446679999999999</v>
      </c>
      <c r="L400" s="196"/>
      <c r="M400" s="196"/>
      <c r="R400" s="249"/>
      <c r="T400" s="45"/>
      <c r="V400" s="402"/>
      <c r="W400" s="42"/>
      <c r="X400" s="42"/>
    </row>
    <row r="401" spans="2:29" s="248" customFormat="1" outlineLevel="1">
      <c r="B401" s="247"/>
      <c r="E401" s="349" t="s">
        <v>83</v>
      </c>
      <c r="F401" s="717" t="s">
        <v>948</v>
      </c>
      <c r="G401" s="718"/>
      <c r="H401" s="718"/>
      <c r="I401" s="718"/>
      <c r="J401" s="64"/>
      <c r="K401" s="350">
        <f>((1.85*2+1.3*2+13*2)*12.9+2*2*3.5*22.4)/1000</f>
        <v>0.73026999999999997</v>
      </c>
      <c r="L401" s="196"/>
      <c r="M401" s="196"/>
      <c r="R401" s="249"/>
      <c r="T401" s="45"/>
      <c r="V401" s="402"/>
      <c r="W401" s="42"/>
      <c r="X401" s="42"/>
    </row>
    <row r="402" spans="2:29" s="333" customFormat="1" outlineLevel="1">
      <c r="B402" s="362"/>
      <c r="E402" s="363" t="s">
        <v>2520</v>
      </c>
      <c r="F402" s="715" t="s">
        <v>2456</v>
      </c>
      <c r="G402" s="716">
        <f>(1.4+1.5)*2*(0.25*0.6)*12+0.35*0.45*2.3</f>
        <v>10.802249999999999</v>
      </c>
      <c r="H402" s="716">
        <f>(1.4+1.5)*2*(0.25*0.6)*12+0.35*0.45*2.3</f>
        <v>10.802249999999999</v>
      </c>
      <c r="I402" s="716">
        <f>(1.4+1.5)*2*(0.25*0.6)*12+0.35*0.45*2.3</f>
        <v>10.802249999999999</v>
      </c>
      <c r="J402" s="209">
        <v>-1</v>
      </c>
      <c r="K402" s="364">
        <f>K165*J402</f>
        <v>-0.33153999999999995</v>
      </c>
      <c r="L402" s="210"/>
      <c r="M402" s="210"/>
      <c r="R402" s="365"/>
      <c r="T402" s="211"/>
      <c r="V402" s="217"/>
      <c r="W402" s="217"/>
      <c r="X402" s="217"/>
      <c r="AC402" s="366"/>
    </row>
    <row r="403" spans="2:29" outlineLevel="1">
      <c r="B403" s="237"/>
      <c r="C403" s="345"/>
      <c r="D403" s="345" t="s">
        <v>62</v>
      </c>
      <c r="E403" s="346" t="s">
        <v>931</v>
      </c>
      <c r="F403" s="719" t="s">
        <v>932</v>
      </c>
      <c r="G403" s="719"/>
      <c r="H403" s="719"/>
      <c r="I403" s="719"/>
      <c r="J403" s="63" t="s">
        <v>63</v>
      </c>
      <c r="K403" s="347">
        <f>SUM(K404:K406)</f>
        <v>19.148150000000001</v>
      </c>
      <c r="L403" s="726"/>
      <c r="M403" s="726"/>
      <c r="N403" s="720">
        <f>ROUND(L403*K403,2)</f>
        <v>0</v>
      </c>
      <c r="O403" s="720"/>
      <c r="P403" s="720"/>
      <c r="Q403" s="720"/>
      <c r="R403" s="238"/>
      <c r="T403" s="45"/>
    </row>
    <row r="404" spans="2:29" s="248" customFormat="1" outlineLevel="1">
      <c r="B404" s="247"/>
      <c r="E404" s="349" t="s">
        <v>82</v>
      </c>
      <c r="F404" s="717" t="s">
        <v>935</v>
      </c>
      <c r="G404" s="718">
        <f>(1.735+1.7+1.86)*3.77</f>
        <v>19.962150000000001</v>
      </c>
      <c r="H404" s="718">
        <f>(1.735+1.7+1.86)*3.77</f>
        <v>19.962150000000001</v>
      </c>
      <c r="I404" s="718">
        <f>(1.735+1.7+1.86)*3.77</f>
        <v>19.962150000000001</v>
      </c>
      <c r="J404" s="64"/>
      <c r="K404" s="350">
        <f>(1.735+1.7+1.86)*3.77</f>
        <v>19.962150000000001</v>
      </c>
      <c r="L404" s="196"/>
      <c r="M404" s="196"/>
      <c r="R404" s="249"/>
      <c r="T404" s="45"/>
      <c r="V404" s="402"/>
      <c r="W404" s="42"/>
      <c r="X404" s="42"/>
    </row>
    <row r="405" spans="2:29" s="248" customFormat="1" outlineLevel="1">
      <c r="B405" s="247"/>
      <c r="E405" s="349" t="s">
        <v>83</v>
      </c>
      <c r="F405" s="717" t="s">
        <v>936</v>
      </c>
      <c r="G405" s="718">
        <f>0.9*2.16</f>
        <v>1.9440000000000002</v>
      </c>
      <c r="H405" s="718">
        <f>0.9*2.16</f>
        <v>1.9440000000000002</v>
      </c>
      <c r="I405" s="718">
        <f>0.9*2.16</f>
        <v>1.9440000000000002</v>
      </c>
      <c r="J405" s="64"/>
      <c r="K405" s="350">
        <f>0.9*2.16</f>
        <v>1.9440000000000002</v>
      </c>
      <c r="L405" s="196"/>
      <c r="M405" s="196"/>
      <c r="R405" s="249"/>
      <c r="T405" s="45"/>
      <c r="V405" s="402"/>
      <c r="W405" s="42"/>
      <c r="X405" s="42"/>
    </row>
    <row r="406" spans="2:29" s="248" customFormat="1" outlineLevel="1">
      <c r="B406" s="247"/>
      <c r="E406" s="349" t="s">
        <v>392</v>
      </c>
      <c r="F406" s="717" t="s">
        <v>937</v>
      </c>
      <c r="G406" s="718" t="e">
        <f>(0.7*1.97*2)*F406</f>
        <v>#VALUE!</v>
      </c>
      <c r="H406" s="718" t="e">
        <f>(0.7*1.97*2)*G406</f>
        <v>#VALUE!</v>
      </c>
      <c r="I406" s="718" t="e">
        <f>(0.7*1.97*2)*H406</f>
        <v>#VALUE!</v>
      </c>
      <c r="J406" s="64">
        <v>-1</v>
      </c>
      <c r="K406" s="350">
        <f>(0.7*1.97*2)*J406</f>
        <v>-2.758</v>
      </c>
      <c r="L406" s="196"/>
      <c r="M406" s="196"/>
      <c r="R406" s="249"/>
      <c r="T406" s="45"/>
      <c r="V406" s="402"/>
      <c r="W406" s="42"/>
      <c r="X406" s="42"/>
    </row>
    <row r="407" spans="2:29" s="358" customFormat="1" outlineLevel="1">
      <c r="B407" s="353"/>
      <c r="C407" s="354"/>
      <c r="D407" s="354" t="s">
        <v>62</v>
      </c>
      <c r="E407" s="355">
        <v>342244211</v>
      </c>
      <c r="F407" s="727" t="s">
        <v>933</v>
      </c>
      <c r="G407" s="727"/>
      <c r="H407" s="727"/>
      <c r="I407" s="727"/>
      <c r="J407" s="215" t="s">
        <v>63</v>
      </c>
      <c r="K407" s="356">
        <f>SUM(K408:K413)</f>
        <v>80.249800000000008</v>
      </c>
      <c r="L407" s="728"/>
      <c r="M407" s="728"/>
      <c r="N407" s="729">
        <f>ROUND(L407*K407,2)</f>
        <v>0</v>
      </c>
      <c r="O407" s="729"/>
      <c r="P407" s="729"/>
      <c r="Q407" s="729"/>
      <c r="R407" s="357"/>
      <c r="T407" s="216"/>
      <c r="U407" s="359"/>
      <c r="V407" s="414"/>
      <c r="W407" s="415"/>
      <c r="X407" s="415"/>
    </row>
    <row r="408" spans="2:29" s="248" customFormat="1" outlineLevel="1">
      <c r="B408" s="247"/>
      <c r="E408" s="349" t="s">
        <v>82</v>
      </c>
      <c r="F408" s="717" t="s">
        <v>938</v>
      </c>
      <c r="G408" s="718">
        <f>(0.3*2+1.1)*2.1+0.9*2+1.86*3.77+(1.4*2+0.25)*2.1</f>
        <v>18.787200000000002</v>
      </c>
      <c r="H408" s="718">
        <f>(0.3*2+1.1)*2.1+0.9*2+1.86*3.77+(1.4*2+0.25)*2.1</f>
        <v>18.787200000000002</v>
      </c>
      <c r="I408" s="718">
        <f>(0.3*2+1.1)*2.1+0.9*2+1.86*3.77+(1.4*2+0.25)*2.1</f>
        <v>18.787200000000002</v>
      </c>
      <c r="J408" s="64"/>
      <c r="K408" s="350">
        <f>(0.3*2+1.1)*2.1+0.9*2+1.86*3.77+(1.4*2+0.25)*2.1</f>
        <v>18.787200000000002</v>
      </c>
      <c r="L408" s="196"/>
      <c r="M408" s="196"/>
      <c r="R408" s="249"/>
      <c r="T408" s="45"/>
      <c r="V408" s="402"/>
      <c r="W408" s="42"/>
      <c r="X408" s="42"/>
    </row>
    <row r="409" spans="2:29" s="248" customFormat="1" outlineLevel="1">
      <c r="B409" s="247"/>
      <c r="E409" s="349" t="s">
        <v>83</v>
      </c>
      <c r="F409" s="717" t="s">
        <v>2021</v>
      </c>
      <c r="G409" s="718">
        <f t="shared" ref="G409:I410" si="6">(0.4+1.35)*3.38+1.06*2.76+(3.165+3.2+0.9+1.5*2)*3.26+(2.685*2+0.9)*2.16</f>
        <v>55.847700000000003</v>
      </c>
      <c r="H409" s="718">
        <f t="shared" si="6"/>
        <v>55.847700000000003</v>
      </c>
      <c r="I409" s="718">
        <f t="shared" si="6"/>
        <v>55.847700000000003</v>
      </c>
      <c r="J409" s="64"/>
      <c r="K409" s="350">
        <f>(0.4+1.35)*3.38+(3.165+3.2+0.9+1.5*2)*3.26+(2.685*2+0.9)*2.16</f>
        <v>52.9221</v>
      </c>
      <c r="L409" s="196"/>
      <c r="M409" s="196"/>
      <c r="R409" s="249"/>
      <c r="T409" s="45"/>
      <c r="V409" s="402"/>
      <c r="W409" s="42"/>
      <c r="X409" s="42"/>
    </row>
    <row r="410" spans="2:29" s="248" customFormat="1" outlineLevel="1">
      <c r="B410" s="247"/>
      <c r="E410" s="349" t="s">
        <v>921</v>
      </c>
      <c r="F410" s="717" t="s">
        <v>2040</v>
      </c>
      <c r="G410" s="718">
        <f t="shared" si="6"/>
        <v>55.847700000000003</v>
      </c>
      <c r="H410" s="718">
        <f t="shared" si="6"/>
        <v>55.847700000000003</v>
      </c>
      <c r="I410" s="718">
        <f t="shared" si="6"/>
        <v>55.847700000000003</v>
      </c>
      <c r="J410" s="64"/>
      <c r="K410" s="350">
        <f>(1.5+0.6*2)*3.3</f>
        <v>8.91</v>
      </c>
      <c r="L410" s="196"/>
      <c r="M410" s="196"/>
      <c r="R410" s="249"/>
      <c r="T410" s="45"/>
      <c r="V410" s="402"/>
      <c r="W410" s="42"/>
      <c r="X410" s="42"/>
    </row>
    <row r="411" spans="2:29" s="248" customFormat="1" outlineLevel="1">
      <c r="B411" s="247"/>
      <c r="E411" s="349" t="s">
        <v>2019</v>
      </c>
      <c r="F411" s="717" t="s">
        <v>1118</v>
      </c>
      <c r="G411" s="718">
        <f>1.5*2.4+15.1-(0.85*1.97)</f>
        <v>17.025500000000001</v>
      </c>
      <c r="H411" s="718">
        <f>1.5*2.4+15.1-(0.85*1.97)</f>
        <v>17.025500000000001</v>
      </c>
      <c r="I411" s="718">
        <f>1.5*2.4+15.1-(0.85*1.97)</f>
        <v>17.025500000000001</v>
      </c>
      <c r="J411" s="64"/>
      <c r="K411" s="350">
        <f>1.5*2.4+15.1-(0.85*1.97)</f>
        <v>17.025500000000001</v>
      </c>
      <c r="L411" s="196"/>
      <c r="M411" s="196"/>
      <c r="R411" s="249"/>
      <c r="T411" s="45"/>
      <c r="V411" s="402"/>
      <c r="W411" s="42"/>
      <c r="X411" s="42"/>
    </row>
    <row r="412" spans="2:29" s="248" customFormat="1" outlineLevel="1">
      <c r="B412" s="247"/>
      <c r="E412" s="349" t="s">
        <v>392</v>
      </c>
      <c r="F412" s="717" t="s">
        <v>939</v>
      </c>
      <c r="G412" s="718" t="e">
        <f>(0.7*1.97*(2+7))*F412</f>
        <v>#VALUE!</v>
      </c>
      <c r="H412" s="718" t="e">
        <f>(0.7*1.97*(2+7))*G412</f>
        <v>#VALUE!</v>
      </c>
      <c r="I412" s="718" t="e">
        <f>(0.7*1.97*(2+7))*H412</f>
        <v>#VALUE!</v>
      </c>
      <c r="J412" s="64">
        <v>-1</v>
      </c>
      <c r="K412" s="350">
        <f>(0.7*1.97*(2+7))*J412</f>
        <v>-12.411</v>
      </c>
      <c r="L412" s="196"/>
      <c r="M412" s="196"/>
      <c r="R412" s="249"/>
      <c r="T412" s="45"/>
      <c r="V412" s="402"/>
      <c r="W412" s="42"/>
      <c r="X412" s="42"/>
    </row>
    <row r="413" spans="2:29" s="333" customFormat="1" outlineLevel="1">
      <c r="B413" s="362"/>
      <c r="E413" s="363" t="s">
        <v>2520</v>
      </c>
      <c r="F413" s="715" t="s">
        <v>2456</v>
      </c>
      <c r="G413" s="716">
        <f>(1.4+1.5)*2*(0.25*0.6)*12+0.35*0.45*2.3</f>
        <v>10.802249999999999</v>
      </c>
      <c r="H413" s="716">
        <f>(1.4+1.5)*2*(0.25*0.6)*12+0.35*0.45*2.3</f>
        <v>10.802249999999999</v>
      </c>
      <c r="I413" s="716">
        <f>(1.4+1.5)*2*(0.25*0.6)*12+0.35*0.45*2.3</f>
        <v>10.802249999999999</v>
      </c>
      <c r="J413" s="209">
        <v>-1</v>
      </c>
      <c r="K413" s="364">
        <f>K161*J413</f>
        <v>-4.984</v>
      </c>
      <c r="L413" s="210"/>
      <c r="M413" s="210"/>
      <c r="R413" s="365"/>
      <c r="T413" s="211"/>
      <c r="V413" s="217"/>
      <c r="W413" s="217"/>
      <c r="X413" s="217"/>
      <c r="AC413" s="366"/>
    </row>
    <row r="414" spans="2:29" outlineLevel="1">
      <c r="B414" s="237"/>
      <c r="C414" s="345"/>
      <c r="D414" s="345" t="s">
        <v>62</v>
      </c>
      <c r="E414" s="346">
        <v>342244221</v>
      </c>
      <c r="F414" s="719" t="s">
        <v>934</v>
      </c>
      <c r="G414" s="719"/>
      <c r="H414" s="719"/>
      <c r="I414" s="719"/>
      <c r="J414" s="63" t="s">
        <v>63</v>
      </c>
      <c r="K414" s="347">
        <f>SUM(K415:K417)</f>
        <v>47.684399999999997</v>
      </c>
      <c r="L414" s="726"/>
      <c r="M414" s="726"/>
      <c r="N414" s="720">
        <f>ROUND(L414*K414,2)</f>
        <v>0</v>
      </c>
      <c r="O414" s="720"/>
      <c r="P414" s="720"/>
      <c r="Q414" s="720"/>
      <c r="R414" s="238"/>
      <c r="T414" s="45"/>
    </row>
    <row r="415" spans="2:29" s="248" customFormat="1" outlineLevel="1">
      <c r="B415" s="247"/>
      <c r="E415" s="349" t="s">
        <v>82</v>
      </c>
      <c r="F415" s="717" t="s">
        <v>945</v>
      </c>
      <c r="G415" s="718">
        <f>(6.66+1.7)*3.77+1*1.4+1.53*3.8+1.15*2.2+0.4*2.9+1.1*4</f>
        <v>46.821199999999997</v>
      </c>
      <c r="H415" s="718">
        <f>(6.66+1.7)*3.77+1*1.4+1.53*3.8+1.15*2.2+0.4*2.9+1.1*4</f>
        <v>46.821199999999997</v>
      </c>
      <c r="I415" s="718">
        <f>(6.66+1.7)*3.77+1*1.4+1.53*3.8+1.15*2.2+0.4*2.9+1.1*4</f>
        <v>46.821199999999997</v>
      </c>
      <c r="J415" s="64"/>
      <c r="K415" s="350">
        <f>(6.66+1.7)*3.77+1*1.4+1.53*3.8+1.15*2.2+0.4*2.9+1.1*4+1.1*2.4</f>
        <v>49.461199999999998</v>
      </c>
      <c r="L415" s="196"/>
      <c r="M415" s="196"/>
      <c r="R415" s="249"/>
      <c r="T415" s="45"/>
      <c r="V415" s="402"/>
      <c r="W415" s="42"/>
      <c r="X415" s="42"/>
    </row>
    <row r="416" spans="2:29" s="248" customFormat="1" outlineLevel="1">
      <c r="B416" s="247"/>
      <c r="E416" s="349" t="s">
        <v>83</v>
      </c>
      <c r="F416" s="717" t="s">
        <v>940</v>
      </c>
      <c r="G416" s="718">
        <f>0.6*2.15+1.06*3.11*2</f>
        <v>7.8832000000000004</v>
      </c>
      <c r="H416" s="718">
        <f>0.6*2.15+1.06*3.11*2</f>
        <v>7.8832000000000004</v>
      </c>
      <c r="I416" s="718">
        <f>0.6*2.15+1.06*3.11*2</f>
        <v>7.8832000000000004</v>
      </c>
      <c r="J416" s="64"/>
      <c r="K416" s="350">
        <f>0.6*2.15+1.06*3.11*2</f>
        <v>7.8832000000000004</v>
      </c>
      <c r="L416" s="196"/>
      <c r="M416" s="196"/>
      <c r="R416" s="249"/>
      <c r="T416" s="45"/>
      <c r="V416" s="402"/>
      <c r="W416" s="42"/>
      <c r="X416" s="42"/>
    </row>
    <row r="417" spans="2:25" s="248" customFormat="1" outlineLevel="1">
      <c r="B417" s="247"/>
      <c r="E417" s="349" t="s">
        <v>238</v>
      </c>
      <c r="F417" s="717" t="s">
        <v>946</v>
      </c>
      <c r="G417" s="718" t="e">
        <f>(0.8*2.1*3+0.7*2.1*2)*F417</f>
        <v>#VALUE!</v>
      </c>
      <c r="H417" s="718" t="e">
        <f>(0.8*2.1*3+0.7*2.1*2)*G417</f>
        <v>#VALUE!</v>
      </c>
      <c r="I417" s="718" t="e">
        <f>(0.8*2.1*3+0.7*2.1*2)*H417</f>
        <v>#VALUE!</v>
      </c>
      <c r="J417" s="64">
        <v>-1</v>
      </c>
      <c r="K417" s="350">
        <f>(0.8*2.1*4+0.7*2.1*2)*J417</f>
        <v>-9.66</v>
      </c>
      <c r="L417" s="196"/>
      <c r="M417" s="196"/>
      <c r="R417" s="249"/>
      <c r="T417" s="45"/>
      <c r="V417" s="402"/>
      <c r="W417" s="42"/>
      <c r="X417" s="42"/>
    </row>
    <row r="418" spans="2:25" s="341" customFormat="1" ht="12.75">
      <c r="B418" s="340"/>
      <c r="C418" s="344"/>
      <c r="D418" s="344" t="s">
        <v>950</v>
      </c>
      <c r="E418" s="344"/>
      <c r="F418" s="344"/>
      <c r="G418" s="344"/>
      <c r="H418" s="344"/>
      <c r="I418" s="344"/>
      <c r="J418" s="61"/>
      <c r="K418" s="344"/>
      <c r="L418" s="72"/>
      <c r="M418" s="72"/>
      <c r="N418" s="734">
        <f>SUM(N419:Q470)</f>
        <v>0</v>
      </c>
      <c r="O418" s="734"/>
      <c r="P418" s="734"/>
      <c r="Q418" s="734"/>
      <c r="R418" s="342"/>
      <c r="T418" s="62">
        <f>SUM(N418:Q470)/2</f>
        <v>0</v>
      </c>
      <c r="U418" s="352"/>
      <c r="V418" s="400"/>
      <c r="W418" s="401"/>
      <c r="X418" s="401"/>
      <c r="Y418" s="369"/>
    </row>
    <row r="419" spans="2:25" outlineLevel="1">
      <c r="B419" s="237"/>
      <c r="C419" s="345"/>
      <c r="D419" s="345" t="s">
        <v>62</v>
      </c>
      <c r="E419" s="346">
        <v>411321515</v>
      </c>
      <c r="F419" s="719" t="s">
        <v>953</v>
      </c>
      <c r="G419" s="719"/>
      <c r="H419" s="719"/>
      <c r="I419" s="719"/>
      <c r="J419" s="63" t="s">
        <v>64</v>
      </c>
      <c r="K419" s="347">
        <f>SUM(K420:K421)</f>
        <v>3.2140312499999997</v>
      </c>
      <c r="L419" s="726"/>
      <c r="M419" s="726"/>
      <c r="N419" s="720">
        <f>ROUND(L419*K419,2)</f>
        <v>0</v>
      </c>
      <c r="O419" s="720"/>
      <c r="P419" s="720"/>
      <c r="Q419" s="720"/>
      <c r="R419" s="238"/>
      <c r="T419" s="45"/>
    </row>
    <row r="420" spans="2:25" s="248" customFormat="1" outlineLevel="1">
      <c r="B420" s="247"/>
      <c r="E420" s="349" t="s">
        <v>954</v>
      </c>
      <c r="F420" s="717" t="s">
        <v>961</v>
      </c>
      <c r="G420" s="718" t="e">
        <f t="shared" ref="G420:I421" si="7">(9.35+0.6)*(1.43+0.125+0.2)*F420</f>
        <v>#VALUE!</v>
      </c>
      <c r="H420" s="718" t="e">
        <f t="shared" si="7"/>
        <v>#VALUE!</v>
      </c>
      <c r="I420" s="718" t="e">
        <f t="shared" si="7"/>
        <v>#VALUE!</v>
      </c>
      <c r="J420" s="64">
        <v>0.125</v>
      </c>
      <c r="K420" s="350">
        <f>(9.35+0.6)*(1.43+0.125+0.2)*J420</f>
        <v>2.1827812499999997</v>
      </c>
      <c r="L420" s="196"/>
      <c r="M420" s="196"/>
      <c r="R420" s="249"/>
      <c r="T420" s="45"/>
      <c r="V420" s="402"/>
      <c r="W420" s="42"/>
      <c r="X420" s="42"/>
    </row>
    <row r="421" spans="2:25" s="248" customFormat="1" outlineLevel="1">
      <c r="B421" s="247"/>
      <c r="E421" s="349" t="s">
        <v>980</v>
      </c>
      <c r="F421" s="717" t="s">
        <v>981</v>
      </c>
      <c r="G421" s="718" t="e">
        <f t="shared" si="7"/>
        <v>#VALUE!</v>
      </c>
      <c r="H421" s="718" t="e">
        <f t="shared" si="7"/>
        <v>#VALUE!</v>
      </c>
      <c r="I421" s="718" t="e">
        <f t="shared" si="7"/>
        <v>#VALUE!</v>
      </c>
      <c r="J421" s="64">
        <v>0.15</v>
      </c>
      <c r="K421" s="350">
        <f>(2.5*2.75)*J421</f>
        <v>1.03125</v>
      </c>
      <c r="L421" s="196"/>
      <c r="M421" s="196"/>
      <c r="R421" s="249"/>
      <c r="T421" s="45"/>
      <c r="V421" s="402"/>
      <c r="W421" s="42"/>
      <c r="X421" s="42"/>
    </row>
    <row r="422" spans="2:25" outlineLevel="1">
      <c r="B422" s="237"/>
      <c r="C422" s="345"/>
      <c r="D422" s="345" t="s">
        <v>62</v>
      </c>
      <c r="E422" s="346" t="s">
        <v>955</v>
      </c>
      <c r="F422" s="719" t="s">
        <v>956</v>
      </c>
      <c r="G422" s="719"/>
      <c r="H422" s="719"/>
      <c r="I422" s="719"/>
      <c r="J422" s="63" t="s">
        <v>64</v>
      </c>
      <c r="K422" s="347">
        <f>SUM(K423:K423)</f>
        <v>2.7342</v>
      </c>
      <c r="L422" s="726"/>
      <c r="M422" s="726"/>
      <c r="N422" s="720">
        <f>ROUND(L422*K422,2)</f>
        <v>0</v>
      </c>
      <c r="O422" s="720"/>
      <c r="P422" s="720"/>
      <c r="Q422" s="720"/>
      <c r="R422" s="238"/>
      <c r="T422" s="45"/>
    </row>
    <row r="423" spans="2:25" s="248" customFormat="1" outlineLevel="1">
      <c r="B423" s="247"/>
      <c r="E423" s="349" t="s">
        <v>957</v>
      </c>
      <c r="F423" s="717" t="s">
        <v>984</v>
      </c>
      <c r="G423" s="718" t="e">
        <f>(9.35+0.6+0.4+4+3.75)*(0.7)*F423</f>
        <v>#VALUE!</v>
      </c>
      <c r="H423" s="718" t="e">
        <f>(9.35+0.6+0.4+4+3.75)*(0.7)*G423</f>
        <v>#VALUE!</v>
      </c>
      <c r="I423" s="718" t="e">
        <f>(9.35+0.6+0.4+4+3.75)*(0.7)*H423</f>
        <v>#VALUE!</v>
      </c>
      <c r="J423" s="64">
        <v>0.2</v>
      </c>
      <c r="K423" s="350">
        <f>(9.35+0.6+0.4+4+3.75+1.43)*(0.7)*J423</f>
        <v>2.7342</v>
      </c>
      <c r="L423" s="196"/>
      <c r="M423" s="196"/>
      <c r="R423" s="249"/>
      <c r="T423" s="45"/>
      <c r="V423" s="402"/>
      <c r="W423" s="42"/>
      <c r="X423" s="42"/>
    </row>
    <row r="424" spans="2:25" outlineLevel="1">
      <c r="B424" s="237"/>
      <c r="C424" s="345"/>
      <c r="D424" s="345" t="s">
        <v>62</v>
      </c>
      <c r="E424" s="346">
        <v>430321515</v>
      </c>
      <c r="F424" s="719" t="s">
        <v>958</v>
      </c>
      <c r="G424" s="719"/>
      <c r="H424" s="719"/>
      <c r="I424" s="719"/>
      <c r="J424" s="63" t="s">
        <v>64</v>
      </c>
      <c r="K424" s="347">
        <f>SUM(K425:K426)</f>
        <v>2.38290625</v>
      </c>
      <c r="L424" s="726"/>
      <c r="M424" s="726"/>
      <c r="N424" s="720">
        <f>ROUND(L424*K424,2)</f>
        <v>0</v>
      </c>
      <c r="O424" s="720"/>
      <c r="P424" s="720"/>
      <c r="Q424" s="720"/>
      <c r="R424" s="238"/>
      <c r="T424" s="45"/>
    </row>
    <row r="425" spans="2:25" s="248" customFormat="1" ht="22.5" outlineLevel="1">
      <c r="B425" s="247"/>
      <c r="E425" s="349" t="s">
        <v>959</v>
      </c>
      <c r="F425" s="717" t="s">
        <v>962</v>
      </c>
      <c r="G425" s="718" t="e">
        <f t="shared" ref="G425:I426" si="8">(0.4+4+3.75)*(1.43+0.125+0.2)*F425</f>
        <v>#VALUE!</v>
      </c>
      <c r="H425" s="718" t="e">
        <f t="shared" si="8"/>
        <v>#VALUE!</v>
      </c>
      <c r="I425" s="718" t="e">
        <f t="shared" si="8"/>
        <v>#VALUE!</v>
      </c>
      <c r="J425" s="64">
        <v>0.125</v>
      </c>
      <c r="K425" s="350">
        <f>(0.4+4+3.75)*(1.43+0.125+0.2)*J425</f>
        <v>1.78790625</v>
      </c>
      <c r="L425" s="196"/>
      <c r="M425" s="196"/>
      <c r="R425" s="249"/>
      <c r="T425" s="45"/>
      <c r="V425" s="402"/>
      <c r="W425" s="42"/>
      <c r="X425" s="42"/>
    </row>
    <row r="426" spans="2:25" s="248" customFormat="1" outlineLevel="1">
      <c r="B426" s="247"/>
      <c r="E426" s="349" t="s">
        <v>999</v>
      </c>
      <c r="F426" s="717" t="s">
        <v>1000</v>
      </c>
      <c r="G426" s="718" t="e">
        <f t="shared" si="8"/>
        <v>#VALUE!</v>
      </c>
      <c r="H426" s="718" t="e">
        <f t="shared" si="8"/>
        <v>#VALUE!</v>
      </c>
      <c r="I426" s="718" t="e">
        <f t="shared" si="8"/>
        <v>#VALUE!</v>
      </c>
      <c r="J426" s="64">
        <v>0.125</v>
      </c>
      <c r="K426" s="350">
        <f>(3.4*1.4)*J426</f>
        <v>0.59499999999999997</v>
      </c>
      <c r="L426" s="196"/>
      <c r="M426" s="196"/>
      <c r="R426" s="249"/>
      <c r="T426" s="45"/>
      <c r="V426" s="402"/>
      <c r="W426" s="42"/>
      <c r="X426" s="42"/>
    </row>
    <row r="427" spans="2:25" outlineLevel="1">
      <c r="B427" s="237"/>
      <c r="C427" s="345"/>
      <c r="D427" s="345" t="s">
        <v>62</v>
      </c>
      <c r="E427" s="346">
        <v>411351011</v>
      </c>
      <c r="F427" s="719" t="s">
        <v>960</v>
      </c>
      <c r="G427" s="719"/>
      <c r="H427" s="719"/>
      <c r="I427" s="719"/>
      <c r="J427" s="63" t="s">
        <v>63</v>
      </c>
      <c r="K427" s="347">
        <f>SUM(K428:K428)</f>
        <v>17.462249999999997</v>
      </c>
      <c r="L427" s="726"/>
      <c r="M427" s="726"/>
      <c r="N427" s="720">
        <f>ROUND(L427*K427,2)</f>
        <v>0</v>
      </c>
      <c r="O427" s="720"/>
      <c r="P427" s="720"/>
      <c r="Q427" s="720"/>
      <c r="R427" s="238"/>
      <c r="T427" s="45"/>
    </row>
    <row r="428" spans="2:25" s="248" customFormat="1" outlineLevel="1">
      <c r="B428" s="247"/>
      <c r="E428" s="349" t="s">
        <v>954</v>
      </c>
      <c r="F428" s="717" t="s">
        <v>985</v>
      </c>
      <c r="G428" s="718">
        <f>(9.35+0.6)*(1.43+0.125+0.2)</f>
        <v>17.462249999999997</v>
      </c>
      <c r="H428" s="718">
        <f>(9.35+0.6)*(1.43+0.125+0.2)</f>
        <v>17.462249999999997</v>
      </c>
      <c r="I428" s="718">
        <f>(9.35+0.6)*(1.43+0.125+0.2)</f>
        <v>17.462249999999997</v>
      </c>
      <c r="J428" s="64"/>
      <c r="K428" s="350">
        <f>(9.35+0.6)*(1.43+0.125+0.2)</f>
        <v>17.462249999999997</v>
      </c>
      <c r="L428" s="196"/>
      <c r="M428" s="196"/>
      <c r="R428" s="249"/>
      <c r="T428" s="45"/>
      <c r="V428" s="402"/>
      <c r="W428" s="42"/>
      <c r="X428" s="42"/>
    </row>
    <row r="429" spans="2:25" s="248" customFormat="1" outlineLevel="1">
      <c r="B429" s="247"/>
      <c r="E429" s="349" t="s">
        <v>980</v>
      </c>
      <c r="F429" s="717" t="s">
        <v>982</v>
      </c>
      <c r="G429" s="718" t="e">
        <f>(9.35+0.6)*(1.43+0.125+0.2)*F429</f>
        <v>#VALUE!</v>
      </c>
      <c r="H429" s="718" t="e">
        <f>(9.35+0.6)*(1.43+0.125+0.2)*G429</f>
        <v>#VALUE!</v>
      </c>
      <c r="I429" s="718" t="e">
        <f>(9.35+0.6)*(1.43+0.125+0.2)*H429</f>
        <v>#VALUE!</v>
      </c>
      <c r="J429" s="64"/>
      <c r="K429" s="350">
        <f>(2.5*2.75)</f>
        <v>6.875</v>
      </c>
      <c r="L429" s="196"/>
      <c r="M429" s="196"/>
      <c r="R429" s="249"/>
      <c r="T429" s="45"/>
      <c r="V429" s="402"/>
      <c r="W429" s="42"/>
      <c r="X429" s="42"/>
    </row>
    <row r="430" spans="2:25" outlineLevel="1">
      <c r="B430" s="237"/>
      <c r="C430" s="345"/>
      <c r="D430" s="345" t="s">
        <v>62</v>
      </c>
      <c r="E430" s="346" t="s">
        <v>963</v>
      </c>
      <c r="F430" s="719" t="s">
        <v>964</v>
      </c>
      <c r="G430" s="719"/>
      <c r="H430" s="719"/>
      <c r="I430" s="719"/>
      <c r="J430" s="63" t="s">
        <v>63</v>
      </c>
      <c r="K430" s="347">
        <f>K427</f>
        <v>17.462249999999997</v>
      </c>
      <c r="L430" s="726"/>
      <c r="M430" s="726"/>
      <c r="N430" s="720">
        <f t="shared" ref="N430:N435" si="9">ROUND(L430*K430,2)</f>
        <v>0</v>
      </c>
      <c r="O430" s="720"/>
      <c r="P430" s="720"/>
      <c r="Q430" s="720"/>
      <c r="R430" s="238"/>
      <c r="T430" s="45"/>
    </row>
    <row r="431" spans="2:25" outlineLevel="1">
      <c r="B431" s="237"/>
      <c r="C431" s="345"/>
      <c r="D431" s="345" t="s">
        <v>62</v>
      </c>
      <c r="E431" s="346">
        <v>411354311</v>
      </c>
      <c r="F431" s="719" t="s">
        <v>965</v>
      </c>
      <c r="G431" s="719"/>
      <c r="H431" s="719"/>
      <c r="I431" s="719"/>
      <c r="J431" s="63" t="s">
        <v>63</v>
      </c>
      <c r="K431" s="347">
        <f>K427</f>
        <v>17.462249999999997</v>
      </c>
      <c r="L431" s="726"/>
      <c r="M431" s="726"/>
      <c r="N431" s="720">
        <f t="shared" si="9"/>
        <v>0</v>
      </c>
      <c r="O431" s="720"/>
      <c r="P431" s="720"/>
      <c r="Q431" s="720"/>
      <c r="R431" s="238"/>
      <c r="T431" s="45"/>
    </row>
    <row r="432" spans="2:25" outlineLevel="1">
      <c r="B432" s="237"/>
      <c r="C432" s="345"/>
      <c r="D432" s="345" t="s">
        <v>62</v>
      </c>
      <c r="E432" s="346" t="s">
        <v>966</v>
      </c>
      <c r="F432" s="719" t="s">
        <v>967</v>
      </c>
      <c r="G432" s="719"/>
      <c r="H432" s="719"/>
      <c r="I432" s="719"/>
      <c r="J432" s="63" t="s">
        <v>63</v>
      </c>
      <c r="K432" s="347">
        <f>K427</f>
        <v>17.462249999999997</v>
      </c>
      <c r="L432" s="726"/>
      <c r="M432" s="726"/>
      <c r="N432" s="720">
        <f t="shared" si="9"/>
        <v>0</v>
      </c>
      <c r="O432" s="720"/>
      <c r="P432" s="720"/>
      <c r="Q432" s="720"/>
      <c r="R432" s="238"/>
      <c r="T432" s="45"/>
    </row>
    <row r="433" spans="2:24" outlineLevel="1">
      <c r="B433" s="237"/>
      <c r="C433" s="345"/>
      <c r="D433" s="345" t="s">
        <v>62</v>
      </c>
      <c r="E433" s="346">
        <v>411354311</v>
      </c>
      <c r="F433" s="719" t="s">
        <v>965</v>
      </c>
      <c r="G433" s="719"/>
      <c r="H433" s="719"/>
      <c r="I433" s="719"/>
      <c r="J433" s="63" t="s">
        <v>63</v>
      </c>
      <c r="K433" s="347">
        <f>K429</f>
        <v>6.875</v>
      </c>
      <c r="L433" s="726"/>
      <c r="M433" s="726"/>
      <c r="N433" s="720">
        <f t="shared" si="9"/>
        <v>0</v>
      </c>
      <c r="O433" s="720"/>
      <c r="P433" s="720"/>
      <c r="Q433" s="720"/>
      <c r="R433" s="238"/>
      <c r="T433" s="45"/>
    </row>
    <row r="434" spans="2:24" outlineLevel="1">
      <c r="B434" s="237"/>
      <c r="C434" s="345"/>
      <c r="D434" s="345" t="s">
        <v>62</v>
      </c>
      <c r="E434" s="346" t="s">
        <v>966</v>
      </c>
      <c r="F434" s="719" t="s">
        <v>967</v>
      </c>
      <c r="G434" s="719"/>
      <c r="H434" s="719"/>
      <c r="I434" s="719"/>
      <c r="J434" s="63" t="s">
        <v>63</v>
      </c>
      <c r="K434" s="347">
        <f>K429</f>
        <v>6.875</v>
      </c>
      <c r="L434" s="726"/>
      <c r="M434" s="726"/>
      <c r="N434" s="720">
        <f t="shared" si="9"/>
        <v>0</v>
      </c>
      <c r="O434" s="720"/>
      <c r="P434" s="720"/>
      <c r="Q434" s="720"/>
      <c r="R434" s="238"/>
      <c r="T434" s="45"/>
    </row>
    <row r="435" spans="2:24" outlineLevel="1">
      <c r="B435" s="237"/>
      <c r="C435" s="345"/>
      <c r="D435" s="345" t="s">
        <v>62</v>
      </c>
      <c r="E435" s="346">
        <v>413351111</v>
      </c>
      <c r="F435" s="719" t="s">
        <v>968</v>
      </c>
      <c r="G435" s="719"/>
      <c r="H435" s="719"/>
      <c r="I435" s="719"/>
      <c r="J435" s="63" t="s">
        <v>63</v>
      </c>
      <c r="K435" s="347">
        <f>SUM(K436:K436)</f>
        <v>27.341999999999999</v>
      </c>
      <c r="L435" s="726"/>
      <c r="M435" s="726"/>
      <c r="N435" s="720">
        <f t="shared" si="9"/>
        <v>0</v>
      </c>
      <c r="O435" s="720"/>
      <c r="P435" s="720"/>
      <c r="Q435" s="720"/>
      <c r="R435" s="238"/>
      <c r="T435" s="45"/>
    </row>
    <row r="436" spans="2:24" s="248" customFormat="1" outlineLevel="1">
      <c r="B436" s="247"/>
      <c r="E436" s="349" t="s">
        <v>957</v>
      </c>
      <c r="F436" s="717" t="s">
        <v>986</v>
      </c>
      <c r="G436" s="718">
        <f>(9.35+0.6+0.4+4+3.75+1.43)*0.7*2</f>
        <v>27.341999999999999</v>
      </c>
      <c r="H436" s="718">
        <f>(9.35+0.6+0.4+4+3.75+1.43)*0.7*2</f>
        <v>27.341999999999999</v>
      </c>
      <c r="I436" s="718">
        <f>(9.35+0.6+0.4+4+3.75+1.43)*0.7*2</f>
        <v>27.341999999999999</v>
      </c>
      <c r="J436" s="64"/>
      <c r="K436" s="350">
        <f>(9.35+0.6+0.4+4+3.75+1.43)*0.7*2</f>
        <v>27.341999999999999</v>
      </c>
      <c r="L436" s="196"/>
      <c r="M436" s="196"/>
      <c r="R436" s="249"/>
      <c r="T436" s="45"/>
      <c r="V436" s="402"/>
      <c r="W436" s="42"/>
      <c r="X436" s="42"/>
    </row>
    <row r="437" spans="2:24" outlineLevel="1">
      <c r="B437" s="237"/>
      <c r="C437" s="345"/>
      <c r="D437" s="345" t="s">
        <v>62</v>
      </c>
      <c r="E437" s="346" t="s">
        <v>969</v>
      </c>
      <c r="F437" s="719" t="s">
        <v>970</v>
      </c>
      <c r="G437" s="719"/>
      <c r="H437" s="719"/>
      <c r="I437" s="719"/>
      <c r="J437" s="63" t="s">
        <v>63</v>
      </c>
      <c r="K437" s="347">
        <f>K435</f>
        <v>27.341999999999999</v>
      </c>
      <c r="L437" s="726"/>
      <c r="M437" s="726"/>
      <c r="N437" s="720">
        <f>ROUND(L437*K437,2)</f>
        <v>0</v>
      </c>
      <c r="O437" s="720"/>
      <c r="P437" s="720"/>
      <c r="Q437" s="720"/>
      <c r="R437" s="238"/>
      <c r="T437" s="45"/>
    </row>
    <row r="438" spans="2:24" ht="27" customHeight="1" outlineLevel="1">
      <c r="B438" s="237"/>
      <c r="C438" s="345"/>
      <c r="D438" s="345" t="s">
        <v>62</v>
      </c>
      <c r="E438" s="346">
        <v>413352111</v>
      </c>
      <c r="F438" s="719" t="s">
        <v>971</v>
      </c>
      <c r="G438" s="719"/>
      <c r="H438" s="719"/>
      <c r="I438" s="719"/>
      <c r="J438" s="63" t="s">
        <v>63</v>
      </c>
      <c r="K438" s="347">
        <f>K435</f>
        <v>27.341999999999999</v>
      </c>
      <c r="L438" s="726"/>
      <c r="M438" s="726"/>
      <c r="N438" s="720">
        <f>ROUND(L438*K438,2)</f>
        <v>0</v>
      </c>
      <c r="O438" s="720"/>
      <c r="P438" s="720"/>
      <c r="Q438" s="720"/>
      <c r="R438" s="238"/>
      <c r="T438" s="45"/>
    </row>
    <row r="439" spans="2:24" ht="27" customHeight="1" outlineLevel="1">
      <c r="B439" s="237"/>
      <c r="C439" s="345"/>
      <c r="D439" s="345" t="s">
        <v>62</v>
      </c>
      <c r="E439" s="346" t="s">
        <v>972</v>
      </c>
      <c r="F439" s="719" t="s">
        <v>973</v>
      </c>
      <c r="G439" s="719"/>
      <c r="H439" s="719"/>
      <c r="I439" s="719"/>
      <c r="J439" s="63" t="s">
        <v>63</v>
      </c>
      <c r="K439" s="347">
        <f>K435</f>
        <v>27.341999999999999</v>
      </c>
      <c r="L439" s="726"/>
      <c r="M439" s="726"/>
      <c r="N439" s="720">
        <f>ROUND(L439*K439,2)</f>
        <v>0</v>
      </c>
      <c r="O439" s="720"/>
      <c r="P439" s="720"/>
      <c r="Q439" s="720"/>
      <c r="R439" s="238"/>
      <c r="T439" s="45"/>
    </row>
    <row r="440" spans="2:24" outlineLevel="1">
      <c r="B440" s="237"/>
      <c r="C440" s="345"/>
      <c r="D440" s="345" t="s">
        <v>62</v>
      </c>
      <c r="E440" s="346">
        <v>431351121</v>
      </c>
      <c r="F440" s="719" t="s">
        <v>974</v>
      </c>
      <c r="G440" s="719"/>
      <c r="H440" s="719"/>
      <c r="I440" s="719"/>
      <c r="J440" s="63" t="s">
        <v>63</v>
      </c>
      <c r="K440" s="347">
        <f>SUM(K441:K442)</f>
        <v>19.06325</v>
      </c>
      <c r="L440" s="726"/>
      <c r="M440" s="726"/>
      <c r="N440" s="720">
        <f>ROUND(L440*K440,2)</f>
        <v>0</v>
      </c>
      <c r="O440" s="720"/>
      <c r="P440" s="720"/>
      <c r="Q440" s="720"/>
      <c r="R440" s="238"/>
      <c r="T440" s="45"/>
    </row>
    <row r="441" spans="2:24" s="248" customFormat="1" ht="22.5" outlineLevel="1">
      <c r="B441" s="247"/>
      <c r="E441" s="349" t="s">
        <v>959</v>
      </c>
      <c r="F441" s="717" t="s">
        <v>987</v>
      </c>
      <c r="G441" s="718">
        <f>(0.4+4+3.75)*(1.43+0.125+0.2)</f>
        <v>14.30325</v>
      </c>
      <c r="H441" s="718">
        <f>(0.4+4+3.75)*(1.43+0.125+0.2)</f>
        <v>14.30325</v>
      </c>
      <c r="I441" s="718">
        <f>(0.4+4+3.75)*(1.43+0.125+0.2)</f>
        <v>14.30325</v>
      </c>
      <c r="J441" s="64"/>
      <c r="K441" s="350">
        <f>(0.4+4+3.75)*(1.43+0.125+0.2)</f>
        <v>14.30325</v>
      </c>
      <c r="L441" s="196"/>
      <c r="M441" s="196"/>
      <c r="R441" s="249"/>
      <c r="T441" s="45"/>
      <c r="V441" s="402"/>
      <c r="W441" s="42"/>
      <c r="X441" s="42"/>
    </row>
    <row r="442" spans="2:24" s="248" customFormat="1" outlineLevel="1">
      <c r="B442" s="247"/>
      <c r="E442" s="349" t="s">
        <v>999</v>
      </c>
      <c r="F442" s="717" t="s">
        <v>1001</v>
      </c>
      <c r="G442" s="718" t="e">
        <f>(0.4+4+3.75)*(1.43+0.125+0.2)*F442</f>
        <v>#VALUE!</v>
      </c>
      <c r="H442" s="718" t="e">
        <f>(0.4+4+3.75)*(1.43+0.125+0.2)*G442</f>
        <v>#VALUE!</v>
      </c>
      <c r="I442" s="718" t="e">
        <f>(0.4+4+3.75)*(1.43+0.125+0.2)*H442</f>
        <v>#VALUE!</v>
      </c>
      <c r="J442" s="64"/>
      <c r="K442" s="350">
        <f>(3.4*1.4)</f>
        <v>4.76</v>
      </c>
      <c r="L442" s="196"/>
      <c r="M442" s="196"/>
      <c r="R442" s="249"/>
      <c r="T442" s="45"/>
      <c r="V442" s="402"/>
      <c r="W442" s="42"/>
      <c r="X442" s="42"/>
    </row>
    <row r="443" spans="2:24" outlineLevel="1">
      <c r="B443" s="237"/>
      <c r="C443" s="345"/>
      <c r="D443" s="345" t="s">
        <v>62</v>
      </c>
      <c r="E443" s="346">
        <v>431351122</v>
      </c>
      <c r="F443" s="719" t="s">
        <v>975</v>
      </c>
      <c r="G443" s="719"/>
      <c r="H443" s="719"/>
      <c r="I443" s="719"/>
      <c r="J443" s="63" t="s">
        <v>63</v>
      </c>
      <c r="K443" s="347">
        <f>K440</f>
        <v>19.06325</v>
      </c>
      <c r="L443" s="726"/>
      <c r="M443" s="726"/>
      <c r="N443" s="720">
        <f>ROUND(L443*K443,2)</f>
        <v>0</v>
      </c>
      <c r="O443" s="720"/>
      <c r="P443" s="720"/>
      <c r="Q443" s="720"/>
      <c r="R443" s="238"/>
      <c r="T443" s="45"/>
    </row>
    <row r="444" spans="2:24" outlineLevel="1">
      <c r="B444" s="237"/>
      <c r="C444" s="345"/>
      <c r="D444" s="345" t="s">
        <v>62</v>
      </c>
      <c r="E444" s="346">
        <v>411361821</v>
      </c>
      <c r="F444" s="719" t="s">
        <v>976</v>
      </c>
      <c r="G444" s="719"/>
      <c r="H444" s="719"/>
      <c r="I444" s="719"/>
      <c r="J444" s="63" t="s">
        <v>66</v>
      </c>
      <c r="K444" s="347">
        <f>SUM(K445:K445)</f>
        <v>0.64280625000000002</v>
      </c>
      <c r="L444" s="726"/>
      <c r="M444" s="726"/>
      <c r="N444" s="720">
        <f>ROUND(L444*K444,2)</f>
        <v>0</v>
      </c>
      <c r="O444" s="720"/>
      <c r="P444" s="720"/>
      <c r="Q444" s="720"/>
      <c r="R444" s="238"/>
      <c r="T444" s="45"/>
    </row>
    <row r="445" spans="2:24" s="248" customFormat="1" outlineLevel="1">
      <c r="B445" s="247"/>
      <c r="E445" s="349" t="s">
        <v>439</v>
      </c>
      <c r="F445" s="717" t="s">
        <v>187</v>
      </c>
      <c r="G445" s="718"/>
      <c r="H445" s="718"/>
      <c r="I445" s="718"/>
      <c r="J445" s="64">
        <v>0.2</v>
      </c>
      <c r="K445" s="350">
        <f>K419*J445</f>
        <v>0.64280625000000002</v>
      </c>
      <c r="L445" s="196"/>
      <c r="M445" s="196"/>
      <c r="R445" s="249"/>
      <c r="T445" s="45"/>
      <c r="V445" s="402"/>
      <c r="W445" s="42"/>
      <c r="X445" s="42"/>
    </row>
    <row r="446" spans="2:24" outlineLevel="1">
      <c r="B446" s="237"/>
      <c r="C446" s="345"/>
      <c r="D446" s="345" t="s">
        <v>62</v>
      </c>
      <c r="E446" s="346">
        <v>413361821</v>
      </c>
      <c r="F446" s="719" t="s">
        <v>977</v>
      </c>
      <c r="G446" s="719"/>
      <c r="H446" s="719"/>
      <c r="I446" s="719"/>
      <c r="J446" s="63" t="s">
        <v>66</v>
      </c>
      <c r="K446" s="347">
        <f>SUM(K447:K447)</f>
        <v>0.54683999999999999</v>
      </c>
      <c r="L446" s="726"/>
      <c r="M446" s="726"/>
      <c r="N446" s="720">
        <f>ROUND(L446*K446,2)</f>
        <v>0</v>
      </c>
      <c r="O446" s="720"/>
      <c r="P446" s="720"/>
      <c r="Q446" s="720"/>
      <c r="R446" s="238"/>
      <c r="T446" s="45"/>
    </row>
    <row r="447" spans="2:24" s="248" customFormat="1" outlineLevel="1">
      <c r="B447" s="247"/>
      <c r="E447" s="349" t="s">
        <v>439</v>
      </c>
      <c r="F447" s="717" t="s">
        <v>187</v>
      </c>
      <c r="G447" s="718"/>
      <c r="H447" s="718"/>
      <c r="I447" s="718"/>
      <c r="J447" s="64">
        <v>0.2</v>
      </c>
      <c r="K447" s="350">
        <f>K422*J447</f>
        <v>0.54683999999999999</v>
      </c>
      <c r="L447" s="196"/>
      <c r="M447" s="196"/>
      <c r="R447" s="249"/>
      <c r="T447" s="45"/>
      <c r="V447" s="402"/>
      <c r="W447" s="42"/>
      <c r="X447" s="42"/>
    </row>
    <row r="448" spans="2:24" outlineLevel="1">
      <c r="B448" s="237"/>
      <c r="C448" s="345"/>
      <c r="D448" s="345" t="s">
        <v>62</v>
      </c>
      <c r="E448" s="346">
        <v>430361821</v>
      </c>
      <c r="F448" s="719" t="s">
        <v>978</v>
      </c>
      <c r="G448" s="719"/>
      <c r="H448" s="719"/>
      <c r="I448" s="719"/>
      <c r="J448" s="63" t="s">
        <v>66</v>
      </c>
      <c r="K448" s="347">
        <f>SUM(K449:K449)</f>
        <v>0.47658125000000001</v>
      </c>
      <c r="L448" s="726"/>
      <c r="M448" s="726"/>
      <c r="N448" s="720">
        <f>ROUND(L448*K448,2)</f>
        <v>0</v>
      </c>
      <c r="O448" s="720"/>
      <c r="P448" s="720"/>
      <c r="Q448" s="720"/>
      <c r="R448" s="238"/>
      <c r="T448" s="45"/>
    </row>
    <row r="449" spans="2:29" s="248" customFormat="1" outlineLevel="1">
      <c r="B449" s="247"/>
      <c r="E449" s="349" t="s">
        <v>439</v>
      </c>
      <c r="F449" s="717" t="s">
        <v>187</v>
      </c>
      <c r="G449" s="718"/>
      <c r="H449" s="718"/>
      <c r="I449" s="718"/>
      <c r="J449" s="64">
        <v>0.2</v>
      </c>
      <c r="K449" s="350">
        <f>K424*J449</f>
        <v>0.47658125000000001</v>
      </c>
      <c r="L449" s="196"/>
      <c r="M449" s="196"/>
      <c r="R449" s="249"/>
      <c r="T449" s="45"/>
      <c r="V449" s="402"/>
      <c r="W449" s="42"/>
      <c r="X449" s="42"/>
    </row>
    <row r="450" spans="2:29" outlineLevel="1">
      <c r="B450" s="237"/>
      <c r="C450" s="345"/>
      <c r="D450" s="345" t="s">
        <v>62</v>
      </c>
      <c r="E450" s="346">
        <v>417321414</v>
      </c>
      <c r="F450" s="719" t="s">
        <v>979</v>
      </c>
      <c r="G450" s="719"/>
      <c r="H450" s="719"/>
      <c r="I450" s="719"/>
      <c r="J450" s="63" t="s">
        <v>64</v>
      </c>
      <c r="K450" s="347">
        <f>SUM(K451:K452)</f>
        <v>1.7893749999999999</v>
      </c>
      <c r="L450" s="726"/>
      <c r="M450" s="726"/>
      <c r="N450" s="720">
        <f>ROUND(L450*K450,2)</f>
        <v>0</v>
      </c>
      <c r="O450" s="720"/>
      <c r="P450" s="720"/>
      <c r="Q450" s="720"/>
      <c r="R450" s="238"/>
      <c r="T450" s="45"/>
    </row>
    <row r="451" spans="2:29" s="248" customFormat="1" outlineLevel="1">
      <c r="B451" s="247"/>
      <c r="E451" s="349" t="s">
        <v>983</v>
      </c>
      <c r="F451" s="717" t="s">
        <v>996</v>
      </c>
      <c r="G451" s="718">
        <f t="shared" ref="G451:I452" si="10">(2.5+2.75)*2*2*0.25*0.25</f>
        <v>1.3125</v>
      </c>
      <c r="H451" s="718">
        <f t="shared" si="10"/>
        <v>1.3125</v>
      </c>
      <c r="I451" s="718">
        <f t="shared" si="10"/>
        <v>1.3125</v>
      </c>
      <c r="J451" s="64"/>
      <c r="K451" s="350">
        <f>((2.5+2.75)*2*2+0.7*2)*0.25*0.25</f>
        <v>1.4</v>
      </c>
      <c r="L451" s="196"/>
      <c r="M451" s="196"/>
      <c r="R451" s="249"/>
      <c r="T451" s="45"/>
      <c r="V451" s="402"/>
      <c r="W451" s="42"/>
      <c r="X451" s="42"/>
    </row>
    <row r="452" spans="2:29" s="248" customFormat="1" outlineLevel="1">
      <c r="B452" s="247"/>
      <c r="E452" s="349" t="s">
        <v>991</v>
      </c>
      <c r="F452" s="717" t="s">
        <v>992</v>
      </c>
      <c r="G452" s="718">
        <f t="shared" si="10"/>
        <v>1.3125</v>
      </c>
      <c r="H452" s="718">
        <f t="shared" si="10"/>
        <v>1.3125</v>
      </c>
      <c r="I452" s="718">
        <f t="shared" si="10"/>
        <v>1.3125</v>
      </c>
      <c r="J452" s="64"/>
      <c r="K452" s="350">
        <f>(6.23)*0.25*0.25</f>
        <v>0.38937500000000003</v>
      </c>
      <c r="L452" s="196"/>
      <c r="M452" s="196"/>
      <c r="R452" s="249"/>
      <c r="T452" s="45"/>
      <c r="V452" s="402"/>
      <c r="W452" s="42"/>
      <c r="X452" s="42"/>
    </row>
    <row r="453" spans="2:29" outlineLevel="1">
      <c r="B453" s="237"/>
      <c r="C453" s="345"/>
      <c r="D453" s="345" t="s">
        <v>62</v>
      </c>
      <c r="E453" s="346">
        <v>417351115</v>
      </c>
      <c r="F453" s="719" t="s">
        <v>988</v>
      </c>
      <c r="G453" s="719"/>
      <c r="H453" s="719"/>
      <c r="I453" s="719"/>
      <c r="J453" s="63" t="s">
        <v>63</v>
      </c>
      <c r="K453" s="347">
        <f>SUM(K454:K455)</f>
        <v>14.315</v>
      </c>
      <c r="L453" s="726"/>
      <c r="M453" s="726"/>
      <c r="N453" s="720">
        <f>ROUND(L453*K453,2)</f>
        <v>0</v>
      </c>
      <c r="O453" s="720"/>
      <c r="P453" s="720"/>
      <c r="Q453" s="720"/>
      <c r="R453" s="238"/>
      <c r="T453" s="45"/>
    </row>
    <row r="454" spans="2:29" s="248" customFormat="1" ht="11.25" customHeight="1" outlineLevel="1">
      <c r="B454" s="247"/>
      <c r="E454" s="349" t="s">
        <v>983</v>
      </c>
      <c r="F454" s="717" t="s">
        <v>997</v>
      </c>
      <c r="G454" s="718">
        <f t="shared" ref="G454:I455" si="11">(2.5+2.75)*2*2*0.25*0.25</f>
        <v>1.3125</v>
      </c>
      <c r="H454" s="718">
        <f t="shared" si="11"/>
        <v>1.3125</v>
      </c>
      <c r="I454" s="718">
        <f t="shared" si="11"/>
        <v>1.3125</v>
      </c>
      <c r="J454" s="64"/>
      <c r="K454" s="350">
        <f>((2.5+2.75)*2*2+0.7*2)*0.25*2</f>
        <v>11.2</v>
      </c>
      <c r="L454" s="196"/>
      <c r="M454" s="196"/>
      <c r="R454" s="249"/>
      <c r="T454" s="45"/>
      <c r="V454" s="402"/>
      <c r="W454" s="42"/>
      <c r="X454" s="42"/>
    </row>
    <row r="455" spans="2:29" s="248" customFormat="1" outlineLevel="1">
      <c r="B455" s="247"/>
      <c r="E455" s="349" t="s">
        <v>991</v>
      </c>
      <c r="F455" s="717" t="s">
        <v>998</v>
      </c>
      <c r="G455" s="718">
        <f t="shared" si="11"/>
        <v>1.3125</v>
      </c>
      <c r="H455" s="718">
        <f t="shared" si="11"/>
        <v>1.3125</v>
      </c>
      <c r="I455" s="718">
        <f t="shared" si="11"/>
        <v>1.3125</v>
      </c>
      <c r="J455" s="64"/>
      <c r="K455" s="350">
        <f>(6.23)*0.25*2</f>
        <v>3.1150000000000002</v>
      </c>
      <c r="L455" s="196"/>
      <c r="M455" s="196"/>
      <c r="R455" s="249"/>
      <c r="T455" s="45"/>
      <c r="V455" s="402"/>
      <c r="W455" s="42"/>
      <c r="X455" s="42"/>
    </row>
    <row r="456" spans="2:29" outlineLevel="1">
      <c r="B456" s="237"/>
      <c r="C456" s="345"/>
      <c r="D456" s="345" t="s">
        <v>62</v>
      </c>
      <c r="E456" s="346" t="s">
        <v>989</v>
      </c>
      <c r="F456" s="719" t="s">
        <v>990</v>
      </c>
      <c r="G456" s="719"/>
      <c r="H456" s="719"/>
      <c r="I456" s="719"/>
      <c r="J456" s="63" t="s">
        <v>63</v>
      </c>
      <c r="K456" s="347">
        <f>K453</f>
        <v>14.315</v>
      </c>
      <c r="L456" s="726"/>
      <c r="M456" s="726"/>
      <c r="N456" s="720">
        <f>ROUND(L456*K456,2)</f>
        <v>0</v>
      </c>
      <c r="O456" s="720"/>
      <c r="P456" s="720"/>
      <c r="Q456" s="720"/>
      <c r="R456" s="238"/>
      <c r="T456" s="45"/>
    </row>
    <row r="457" spans="2:29" outlineLevel="1">
      <c r="B457" s="237"/>
      <c r="C457" s="345"/>
      <c r="D457" s="345" t="s">
        <v>62</v>
      </c>
      <c r="E457" s="346">
        <v>417361821</v>
      </c>
      <c r="F457" s="719" t="s">
        <v>993</v>
      </c>
      <c r="G457" s="719"/>
      <c r="H457" s="719"/>
      <c r="I457" s="719"/>
      <c r="J457" s="63" t="s">
        <v>66</v>
      </c>
      <c r="K457" s="347">
        <f>SUM(K458:K458)</f>
        <v>0.26840624999999996</v>
      </c>
      <c r="L457" s="726"/>
      <c r="M457" s="726"/>
      <c r="N457" s="720">
        <f>ROUND(L457*K457,2)</f>
        <v>0</v>
      </c>
      <c r="O457" s="720"/>
      <c r="P457" s="720"/>
      <c r="Q457" s="720"/>
      <c r="R457" s="238"/>
      <c r="T457" s="45"/>
    </row>
    <row r="458" spans="2:29" s="248" customFormat="1" ht="11.25" customHeight="1" outlineLevel="1">
      <c r="B458" s="247"/>
      <c r="E458" s="349" t="s">
        <v>994</v>
      </c>
      <c r="F458" s="717" t="s">
        <v>995</v>
      </c>
      <c r="G458" s="718"/>
      <c r="H458" s="718"/>
      <c r="I458" s="718"/>
      <c r="J458" s="64">
        <f>150/1000</f>
        <v>0.15</v>
      </c>
      <c r="K458" s="350">
        <f>K450*J458</f>
        <v>0.26840624999999996</v>
      </c>
      <c r="L458" s="196"/>
      <c r="M458" s="196"/>
      <c r="R458" s="249"/>
      <c r="T458" s="45"/>
      <c r="V458" s="402"/>
      <c r="W458" s="42"/>
      <c r="X458" s="42"/>
    </row>
    <row r="459" spans="2:29" s="358" customFormat="1" outlineLevel="1">
      <c r="B459" s="353"/>
      <c r="C459" s="354"/>
      <c r="D459" s="354" t="s">
        <v>62</v>
      </c>
      <c r="E459" s="355">
        <v>434311115</v>
      </c>
      <c r="F459" s="727" t="s">
        <v>1002</v>
      </c>
      <c r="G459" s="727"/>
      <c r="H459" s="727"/>
      <c r="I459" s="727"/>
      <c r="J459" s="215" t="s">
        <v>68</v>
      </c>
      <c r="K459" s="356">
        <f>SUM(K460:K463)</f>
        <v>46.839999999999996</v>
      </c>
      <c r="L459" s="728"/>
      <c r="M459" s="728"/>
      <c r="N459" s="729">
        <f>ROUND(L459*K459,2)</f>
        <v>0</v>
      </c>
      <c r="O459" s="729"/>
      <c r="P459" s="729"/>
      <c r="Q459" s="729"/>
      <c r="R459" s="357"/>
      <c r="T459" s="216"/>
      <c r="U459" s="416"/>
      <c r="V459" s="414"/>
      <c r="W459" s="415"/>
      <c r="X459" s="415"/>
    </row>
    <row r="460" spans="2:29" s="248" customFormat="1" outlineLevel="1">
      <c r="B460" s="247"/>
      <c r="E460" s="349" t="s">
        <v>1003</v>
      </c>
      <c r="F460" s="717"/>
      <c r="G460" s="718"/>
      <c r="H460" s="718"/>
      <c r="I460" s="718"/>
      <c r="J460" s="64">
        <v>0.3</v>
      </c>
      <c r="K460" s="350">
        <f>4*1.33</f>
        <v>5.32</v>
      </c>
      <c r="L460" s="196"/>
      <c r="M460" s="196"/>
      <c r="R460" s="249"/>
      <c r="T460" s="45"/>
      <c r="V460" s="402"/>
      <c r="W460" s="42"/>
      <c r="X460" s="42"/>
    </row>
    <row r="461" spans="2:29" s="248" customFormat="1" outlineLevel="1">
      <c r="B461" s="247"/>
      <c r="E461" s="349" t="s">
        <v>1004</v>
      </c>
      <c r="F461" s="717"/>
      <c r="G461" s="718"/>
      <c r="H461" s="718"/>
      <c r="I461" s="718"/>
      <c r="J461" s="64">
        <v>0.28999999999999998</v>
      </c>
      <c r="K461" s="350">
        <f>(12+12)*1.73</f>
        <v>41.519999999999996</v>
      </c>
      <c r="L461" s="196"/>
      <c r="M461" s="196"/>
      <c r="R461" s="249"/>
      <c r="T461" s="45"/>
      <c r="V461" s="402"/>
      <c r="W461" s="42"/>
      <c r="X461" s="42"/>
    </row>
    <row r="462" spans="2:29" s="248" customFormat="1" outlineLevel="1">
      <c r="B462" s="247"/>
      <c r="E462" s="349" t="s">
        <v>1199</v>
      </c>
      <c r="F462" s="717"/>
      <c r="G462" s="718"/>
      <c r="H462" s="718"/>
      <c r="I462" s="718"/>
      <c r="J462" s="64">
        <v>0.28499999999999998</v>
      </c>
      <c r="K462" s="350">
        <f>4*2.26</f>
        <v>9.0399999999999991</v>
      </c>
      <c r="L462" s="196"/>
      <c r="M462" s="196"/>
      <c r="R462" s="249"/>
      <c r="T462" s="45"/>
      <c r="V462" s="402"/>
      <c r="W462" s="42"/>
      <c r="X462" s="42"/>
    </row>
    <row r="463" spans="2:29" s="333" customFormat="1" outlineLevel="1">
      <c r="B463" s="362"/>
      <c r="E463" s="363" t="s">
        <v>2520</v>
      </c>
      <c r="F463" s="715" t="s">
        <v>2456</v>
      </c>
      <c r="G463" s="716">
        <f>(1.4+1.5)*2*(0.25*0.6)*12+0.35*0.45*2.3</f>
        <v>10.802249999999999</v>
      </c>
      <c r="H463" s="716">
        <f>(1.4+1.5)*2*(0.25*0.6)*12+0.35*0.45*2.3</f>
        <v>10.802249999999999</v>
      </c>
      <c r="I463" s="716">
        <f>(1.4+1.5)*2*(0.25*0.6)*12+0.35*0.45*2.3</f>
        <v>10.802249999999999</v>
      </c>
      <c r="J463" s="209">
        <v>-1</v>
      </c>
      <c r="K463" s="364">
        <f>K169*J463</f>
        <v>-9.0399999999999991</v>
      </c>
      <c r="L463" s="210"/>
      <c r="M463" s="210"/>
      <c r="R463" s="365"/>
      <c r="T463" s="211"/>
      <c r="V463" s="217"/>
      <c r="W463" s="217"/>
      <c r="X463" s="217"/>
      <c r="AC463" s="366"/>
    </row>
    <row r="464" spans="2:29" s="358" customFormat="1" outlineLevel="1">
      <c r="B464" s="353"/>
      <c r="C464" s="354"/>
      <c r="D464" s="354" t="s">
        <v>62</v>
      </c>
      <c r="E464" s="355">
        <v>434351141</v>
      </c>
      <c r="F464" s="727" t="s">
        <v>1005</v>
      </c>
      <c r="G464" s="727"/>
      <c r="H464" s="727"/>
      <c r="I464" s="727"/>
      <c r="J464" s="215" t="s">
        <v>63</v>
      </c>
      <c r="K464" s="356">
        <f>SUM(K465:K468)</f>
        <v>7.7882799999999985</v>
      </c>
      <c r="L464" s="728"/>
      <c r="M464" s="728"/>
      <c r="N464" s="729">
        <f>ROUND(L464*K464,2)</f>
        <v>0</v>
      </c>
      <c r="O464" s="729"/>
      <c r="P464" s="729"/>
      <c r="Q464" s="729"/>
      <c r="R464" s="357"/>
      <c r="T464" s="216"/>
      <c r="U464" s="416"/>
      <c r="V464" s="414"/>
      <c r="W464" s="415"/>
      <c r="X464" s="415"/>
    </row>
    <row r="465" spans="2:29" s="248" customFormat="1" outlineLevel="1">
      <c r="B465" s="247"/>
      <c r="E465" s="349" t="s">
        <v>1003</v>
      </c>
      <c r="F465" s="717"/>
      <c r="G465" s="718"/>
      <c r="H465" s="718"/>
      <c r="I465" s="718"/>
      <c r="J465" s="64">
        <v>0.14499999999999999</v>
      </c>
      <c r="K465" s="350">
        <f>4*1.33*J465</f>
        <v>0.77139999999999997</v>
      </c>
      <c r="L465" s="196"/>
      <c r="M465" s="196"/>
      <c r="R465" s="249"/>
      <c r="T465" s="45"/>
      <c r="V465" s="402"/>
      <c r="W465" s="42"/>
      <c r="X465" s="42"/>
    </row>
    <row r="466" spans="2:29" s="248" customFormat="1" outlineLevel="1">
      <c r="B466" s="247"/>
      <c r="E466" s="349" t="s">
        <v>1004</v>
      </c>
      <c r="F466" s="717"/>
      <c r="G466" s="718"/>
      <c r="H466" s="718"/>
      <c r="I466" s="718"/>
      <c r="J466" s="64">
        <v>0.16900000000000001</v>
      </c>
      <c r="K466" s="350">
        <f>(12+12)*1.73*J466</f>
        <v>7.0168799999999996</v>
      </c>
      <c r="L466" s="196"/>
      <c r="M466" s="196"/>
      <c r="R466" s="249"/>
      <c r="T466" s="45"/>
      <c r="V466" s="402"/>
      <c r="W466" s="42"/>
      <c r="X466" s="42"/>
    </row>
    <row r="467" spans="2:29" s="248" customFormat="1" outlineLevel="1">
      <c r="B467" s="247"/>
      <c r="E467" s="349" t="s">
        <v>1199</v>
      </c>
      <c r="F467" s="717"/>
      <c r="G467" s="718"/>
      <c r="H467" s="718"/>
      <c r="I467" s="718"/>
      <c r="J467" s="64">
        <v>0.15</v>
      </c>
      <c r="K467" s="350">
        <f>4*2.26*J467</f>
        <v>1.3559999999999999</v>
      </c>
      <c r="L467" s="196"/>
      <c r="M467" s="196"/>
      <c r="R467" s="249"/>
      <c r="T467" s="45"/>
      <c r="V467" s="402"/>
      <c r="W467" s="42"/>
      <c r="X467" s="42"/>
    </row>
    <row r="468" spans="2:29" s="333" customFormat="1" outlineLevel="1">
      <c r="B468" s="362"/>
      <c r="E468" s="363" t="s">
        <v>2520</v>
      </c>
      <c r="F468" s="715" t="s">
        <v>2456</v>
      </c>
      <c r="G468" s="716">
        <f>(1.4+1.5)*2*(0.25*0.6)*12+0.35*0.45*2.3</f>
        <v>10.802249999999999</v>
      </c>
      <c r="H468" s="716">
        <f>(1.4+1.5)*2*(0.25*0.6)*12+0.35*0.45*2.3</f>
        <v>10.802249999999999</v>
      </c>
      <c r="I468" s="716">
        <f>(1.4+1.5)*2*(0.25*0.6)*12+0.35*0.45*2.3</f>
        <v>10.802249999999999</v>
      </c>
      <c r="J468" s="209">
        <v>-1</v>
      </c>
      <c r="K468" s="364">
        <f>K171*J468</f>
        <v>-1.3559999999999999</v>
      </c>
      <c r="L468" s="210"/>
      <c r="M468" s="210"/>
      <c r="R468" s="365"/>
      <c r="T468" s="211"/>
      <c r="V468" s="217"/>
      <c r="W468" s="217"/>
      <c r="X468" s="217"/>
      <c r="AC468" s="366"/>
    </row>
    <row r="469" spans="2:29" outlineLevel="1">
      <c r="B469" s="237"/>
      <c r="C469" s="345"/>
      <c r="D469" s="345" t="s">
        <v>62</v>
      </c>
      <c r="E469" s="346">
        <v>434351142</v>
      </c>
      <c r="F469" s="719" t="s">
        <v>1006</v>
      </c>
      <c r="G469" s="719"/>
      <c r="H469" s="719"/>
      <c r="I469" s="719"/>
      <c r="J469" s="63" t="s">
        <v>63</v>
      </c>
      <c r="K469" s="347">
        <f>K464</f>
        <v>7.7882799999999985</v>
      </c>
      <c r="L469" s="726"/>
      <c r="M469" s="726"/>
      <c r="N469" s="720">
        <f>ROUND(L469*K469,2)</f>
        <v>0</v>
      </c>
      <c r="O469" s="720"/>
      <c r="P469" s="720"/>
      <c r="Q469" s="720"/>
      <c r="R469" s="238"/>
      <c r="T469" s="45"/>
    </row>
    <row r="470" spans="2:29" outlineLevel="1">
      <c r="B470" s="237"/>
      <c r="C470" s="345"/>
      <c r="D470" s="345" t="s">
        <v>69</v>
      </c>
      <c r="E470" s="346" t="s">
        <v>1007</v>
      </c>
      <c r="F470" s="719" t="s">
        <v>1008</v>
      </c>
      <c r="G470" s="719"/>
      <c r="H470" s="719"/>
      <c r="I470" s="719"/>
      <c r="J470" s="63" t="s">
        <v>63</v>
      </c>
      <c r="K470" s="347">
        <f>K460*J460+K461*J461+K464</f>
        <v>21.425079999999994</v>
      </c>
      <c r="L470" s="726"/>
      <c r="M470" s="726"/>
      <c r="N470" s="720">
        <f>ROUND(L470*K470,2)</f>
        <v>0</v>
      </c>
      <c r="O470" s="720"/>
      <c r="P470" s="720"/>
      <c r="Q470" s="720"/>
      <c r="R470" s="238"/>
      <c r="T470" s="45"/>
    </row>
    <row r="471" spans="2:29" s="341" customFormat="1" ht="12.75">
      <c r="B471" s="340"/>
      <c r="C471" s="344"/>
      <c r="D471" s="344" t="s">
        <v>47</v>
      </c>
      <c r="E471" s="344"/>
      <c r="F471" s="344"/>
      <c r="G471" s="344"/>
      <c r="H471" s="344"/>
      <c r="I471" s="344"/>
      <c r="J471" s="61"/>
      <c r="K471" s="344"/>
      <c r="L471" s="72"/>
      <c r="M471" s="72"/>
      <c r="N471" s="734">
        <f>SUM(N472:Q553)</f>
        <v>0</v>
      </c>
      <c r="O471" s="734"/>
      <c r="P471" s="734"/>
      <c r="Q471" s="734"/>
      <c r="R471" s="342"/>
      <c r="T471" s="45">
        <f>SUM(N471:Q552)/2</f>
        <v>0</v>
      </c>
      <c r="U471" s="248"/>
      <c r="V471" s="398"/>
      <c r="W471" s="399"/>
      <c r="X471" s="399"/>
    </row>
    <row r="472" spans="2:29" s="358" customFormat="1" ht="27" customHeight="1" outlineLevel="1">
      <c r="B472" s="353"/>
      <c r="C472" s="354"/>
      <c r="D472" s="354" t="s">
        <v>62</v>
      </c>
      <c r="E472" s="355">
        <v>611315418</v>
      </c>
      <c r="F472" s="727" t="s">
        <v>1047</v>
      </c>
      <c r="G472" s="727"/>
      <c r="H472" s="727"/>
      <c r="I472" s="727"/>
      <c r="J472" s="215" t="s">
        <v>63</v>
      </c>
      <c r="K472" s="356">
        <f>SUM(K473:K476)</f>
        <v>390.1699999999999</v>
      </c>
      <c r="L472" s="728"/>
      <c r="M472" s="728"/>
      <c r="N472" s="729">
        <f>ROUND(L472*K472,2)</f>
        <v>0</v>
      </c>
      <c r="O472" s="729"/>
      <c r="P472" s="729"/>
      <c r="Q472" s="729"/>
      <c r="R472" s="357"/>
      <c r="T472" s="216"/>
      <c r="U472" s="416"/>
      <c r="V472" s="417"/>
      <c r="W472" s="418"/>
      <c r="X472" s="418"/>
      <c r="Y472" s="359"/>
      <c r="Z472" s="359"/>
      <c r="AA472" s="359"/>
      <c r="AB472" s="359"/>
    </row>
    <row r="473" spans="2:29" s="248" customFormat="1" outlineLevel="1">
      <c r="B473" s="247"/>
      <c r="E473" s="349" t="s">
        <v>633</v>
      </c>
      <c r="F473" s="717" t="s">
        <v>809</v>
      </c>
      <c r="G473" s="718">
        <f>80.02-14.25+102.21+30.61+62.21-6.91</f>
        <v>253.88999999999996</v>
      </c>
      <c r="H473" s="718">
        <f>80.02-14.25+102.21+30.61+62.21-6.91</f>
        <v>253.88999999999996</v>
      </c>
      <c r="I473" s="718">
        <f>80.02-14.25+102.21+30.61+62.21-6.91</f>
        <v>253.88999999999996</v>
      </c>
      <c r="J473" s="64"/>
      <c r="K473" s="350">
        <f>80.02-14.25+102.21+30.61+62.21-6.91</f>
        <v>253.88999999999996</v>
      </c>
      <c r="L473" s="196"/>
      <c r="M473" s="196"/>
      <c r="R473" s="249"/>
      <c r="T473" s="45"/>
      <c r="V473" s="402"/>
      <c r="W473" s="42"/>
      <c r="X473" s="42"/>
    </row>
    <row r="474" spans="2:29" s="248" customFormat="1" outlineLevel="1">
      <c r="B474" s="247"/>
      <c r="E474" s="349" t="s">
        <v>634</v>
      </c>
      <c r="F474" s="717" t="s">
        <v>810</v>
      </c>
      <c r="G474" s="718">
        <f>43.92+156.64+80.64</f>
        <v>281.2</v>
      </c>
      <c r="H474" s="718">
        <f>43.92+156.64+80.64</f>
        <v>281.2</v>
      </c>
      <c r="I474" s="718">
        <f>43.92+156.64+80.64</f>
        <v>281.2</v>
      </c>
      <c r="J474" s="64"/>
      <c r="K474" s="350">
        <f>43.92+156.64+80.64</f>
        <v>281.2</v>
      </c>
      <c r="L474" s="196"/>
      <c r="M474" s="196"/>
      <c r="R474" s="249"/>
      <c r="T474" s="45"/>
      <c r="V474" s="402"/>
      <c r="W474" s="42"/>
      <c r="X474" s="42"/>
    </row>
    <row r="475" spans="2:29" s="248" customFormat="1" outlineLevel="1">
      <c r="B475" s="247"/>
      <c r="E475" s="349" t="s">
        <v>635</v>
      </c>
      <c r="F475" s="717" t="s">
        <v>811</v>
      </c>
      <c r="G475" s="718">
        <f>9.9</f>
        <v>9.9</v>
      </c>
      <c r="H475" s="718">
        <f>9.9</f>
        <v>9.9</v>
      </c>
      <c r="I475" s="718">
        <f>9.9</f>
        <v>9.9</v>
      </c>
      <c r="J475" s="64"/>
      <c r="K475" s="350">
        <f>9.9</f>
        <v>9.9</v>
      </c>
      <c r="L475" s="196"/>
      <c r="M475" s="196"/>
      <c r="R475" s="249"/>
      <c r="T475" s="45"/>
      <c r="V475" s="402"/>
      <c r="W475" s="42"/>
      <c r="X475" s="42"/>
    </row>
    <row r="476" spans="2:29" s="333" customFormat="1" outlineLevel="1">
      <c r="B476" s="362"/>
      <c r="E476" s="363" t="s">
        <v>2520</v>
      </c>
      <c r="F476" s="715" t="s">
        <v>2456</v>
      </c>
      <c r="G476" s="716">
        <f>(1.4+1.5)*2*(0.25*0.6)*12+0.35*0.45*2.3</f>
        <v>10.802249999999999</v>
      </c>
      <c r="H476" s="716">
        <f>(1.4+1.5)*2*(0.25*0.6)*12+0.35*0.45*2.3</f>
        <v>10.802249999999999</v>
      </c>
      <c r="I476" s="716">
        <f>(1.4+1.5)*2*(0.25*0.6)*12+0.35*0.45*2.3</f>
        <v>10.802249999999999</v>
      </c>
      <c r="J476" s="209">
        <v>-1</v>
      </c>
      <c r="K476" s="364">
        <f>K176*J476</f>
        <v>-154.82</v>
      </c>
      <c r="L476" s="210"/>
      <c r="M476" s="210"/>
      <c r="R476" s="365"/>
      <c r="T476" s="211"/>
      <c r="V476" s="217"/>
      <c r="W476" s="217"/>
      <c r="X476" s="217"/>
      <c r="AC476" s="366"/>
    </row>
    <row r="477" spans="2:29" ht="27" customHeight="1" outlineLevel="1">
      <c r="B477" s="237"/>
      <c r="C477" s="345"/>
      <c r="D477" s="345" t="s">
        <v>62</v>
      </c>
      <c r="E477" s="346">
        <v>612315416</v>
      </c>
      <c r="F477" s="719" t="s">
        <v>1049</v>
      </c>
      <c r="G477" s="719"/>
      <c r="H477" s="719"/>
      <c r="I477" s="719"/>
      <c r="J477" s="63" t="s">
        <v>63</v>
      </c>
      <c r="K477" s="347">
        <f>SUM(K478)</f>
        <v>15.1</v>
      </c>
      <c r="L477" s="726"/>
      <c r="M477" s="726"/>
      <c r="N477" s="720">
        <f>ROUND(L477*K477,2)</f>
        <v>0</v>
      </c>
      <c r="O477" s="720"/>
      <c r="P477" s="720"/>
      <c r="Q477" s="720"/>
      <c r="R477" s="238"/>
      <c r="T477" s="216"/>
      <c r="U477" s="416"/>
      <c r="V477" s="417"/>
      <c r="W477" s="418"/>
      <c r="X477" s="42"/>
      <c r="Y477" s="248"/>
      <c r="Z477" s="248"/>
      <c r="AA477" s="248"/>
      <c r="AB477" s="248"/>
    </row>
    <row r="478" spans="2:29" s="248" customFormat="1" outlineLevel="1">
      <c r="B478" s="247"/>
      <c r="E478" s="349" t="s">
        <v>1050</v>
      </c>
      <c r="F478" s="717" t="s">
        <v>1051</v>
      </c>
      <c r="G478" s="718">
        <f t="shared" ref="G478:I480" si="12">(6.66+3.62)*2*3.8+(4.57+6.66)*2*3.8+(4.9+3.7+1.3)*2*3.77+(5.9+3.7+4.7+5.9+6.1+6.6+6.3+3.2+5.6+5.4+4+2.5)*2*3</f>
        <v>597.52200000000005</v>
      </c>
      <c r="H478" s="718">
        <f t="shared" si="12"/>
        <v>597.52200000000005</v>
      </c>
      <c r="I478" s="718">
        <f t="shared" si="12"/>
        <v>597.52200000000005</v>
      </c>
      <c r="J478" s="64"/>
      <c r="K478" s="350">
        <f>15.1</f>
        <v>15.1</v>
      </c>
      <c r="L478" s="196"/>
      <c r="M478" s="196"/>
      <c r="R478" s="249"/>
      <c r="T478" s="45"/>
      <c r="V478" s="402"/>
      <c r="W478" s="42"/>
      <c r="X478" s="42"/>
    </row>
    <row r="479" spans="2:29" s="358" customFormat="1" ht="27" customHeight="1" outlineLevel="1">
      <c r="B479" s="353"/>
      <c r="C479" s="354"/>
      <c r="D479" s="354" t="s">
        <v>62</v>
      </c>
      <c r="E479" s="355">
        <v>612315418</v>
      </c>
      <c r="F479" s="727" t="s">
        <v>1048</v>
      </c>
      <c r="G479" s="727"/>
      <c r="H479" s="727"/>
      <c r="I479" s="727"/>
      <c r="J479" s="215" t="s">
        <v>63</v>
      </c>
      <c r="K479" s="356">
        <f>SUM(K480:K483)</f>
        <v>1063.6260000000002</v>
      </c>
      <c r="L479" s="728"/>
      <c r="M479" s="728"/>
      <c r="N479" s="729">
        <f>ROUND(L479*K479,2)</f>
        <v>0</v>
      </c>
      <c r="O479" s="729"/>
      <c r="P479" s="729"/>
      <c r="Q479" s="729"/>
      <c r="R479" s="357"/>
      <c r="T479" s="216"/>
      <c r="U479" s="416"/>
      <c r="V479" s="417"/>
      <c r="W479" s="418"/>
      <c r="X479" s="418"/>
      <c r="Y479" s="359"/>
      <c r="Z479" s="359"/>
      <c r="AA479" s="359"/>
      <c r="AB479" s="359"/>
    </row>
    <row r="480" spans="2:29" s="248" customFormat="1" ht="30" customHeight="1" outlineLevel="1">
      <c r="B480" s="247"/>
      <c r="E480" s="349" t="s">
        <v>637</v>
      </c>
      <c r="F480" s="717" t="s">
        <v>812</v>
      </c>
      <c r="G480" s="718">
        <f t="shared" si="12"/>
        <v>597.52200000000005</v>
      </c>
      <c r="H480" s="718">
        <f t="shared" si="12"/>
        <v>597.52200000000005</v>
      </c>
      <c r="I480" s="718">
        <f t="shared" si="12"/>
        <v>597.52200000000005</v>
      </c>
      <c r="J480" s="64"/>
      <c r="K480" s="350">
        <f>(6.66+3.62)*2*3.8+(4.57+6.66)*2*3.8+(4.9+3.7+1.3)*2*3.77+(5.9+3.7+4.7+5.9+6.1+6.6+6.3+3.2+5.6+5.4+4+2.5)*2*3</f>
        <v>597.52200000000005</v>
      </c>
      <c r="L480" s="196"/>
      <c r="M480" s="196"/>
      <c r="R480" s="249"/>
      <c r="T480" s="45"/>
      <c r="V480" s="402"/>
      <c r="W480" s="42"/>
      <c r="X480" s="42"/>
    </row>
    <row r="481" spans="2:29" s="248" customFormat="1" ht="37.5" customHeight="1" outlineLevel="1">
      <c r="B481" s="247"/>
      <c r="E481" s="349" t="s">
        <v>638</v>
      </c>
      <c r="F481" s="717" t="s">
        <v>813</v>
      </c>
      <c r="G481" s="718">
        <f>(5.1+5.6+2.95+5.8+5.8+3.8+11.3+1.1)*2*2.76+(4.5+5.1+5+5.2+6.9+6.3+6+3.5+5.9+5.7+3.6+4.1+7.8+1.1)*2*3.38+(3.1+4.2)*2*3.26</f>
        <v>754.33199999999999</v>
      </c>
      <c r="H481" s="718">
        <f>(5.1+5.6+2.95+5.8+5.8+3.8+11.3+1.1)*2*2.76+(4.5+5.1+5+5.2+6.9+6.3+6+3.5+5.9+5.7+3.6+4.1+7.8+1.1)*2*3.38+(3.1+4.2)*2*3.26</f>
        <v>754.33199999999999</v>
      </c>
      <c r="I481" s="718">
        <f>(5.1+5.6+2.95+5.8+5.8+3.8+11.3+1.1)*2*2.76+(4.5+5.1+5+5.2+6.9+6.3+6+3.5+5.9+5.7+3.6+4.1+7.8+1.1)*2*3.38+(3.1+4.2)*2*3.26</f>
        <v>754.33199999999999</v>
      </c>
      <c r="J481" s="64"/>
      <c r="K481" s="350">
        <f>(5.1+5.6+2.95+5.8+5.8+3.8+11.3+1.1)*2*2.76+(4.5+5.1+5+5.2+6.9+6.3+6+3.5+5.9+5.7+3.6+4.1+7.8+1.1)*2*3.38+(3.1+4.2)*2*3.26</f>
        <v>754.33199999999999</v>
      </c>
      <c r="L481" s="196"/>
      <c r="M481" s="196"/>
      <c r="R481" s="249"/>
      <c r="T481" s="45"/>
      <c r="V481" s="402"/>
      <c r="W481" s="42"/>
      <c r="X481" s="42"/>
    </row>
    <row r="482" spans="2:29" s="248" customFormat="1" outlineLevel="1">
      <c r="B482" s="247"/>
      <c r="E482" s="349" t="s">
        <v>639</v>
      </c>
      <c r="F482" s="717" t="s">
        <v>814</v>
      </c>
      <c r="G482" s="718">
        <f>(4.2+2.6)*2*2.2</f>
        <v>29.920000000000005</v>
      </c>
      <c r="H482" s="718">
        <f>(4.2+2.6)*2*2.2</f>
        <v>29.920000000000005</v>
      </c>
      <c r="I482" s="718">
        <f>(4.2+2.6)*2*2.2</f>
        <v>29.920000000000005</v>
      </c>
      <c r="J482" s="64"/>
      <c r="K482" s="350">
        <f>(4.2+2.6)*2*2.2</f>
        <v>29.920000000000005</v>
      </c>
      <c r="L482" s="196"/>
      <c r="M482" s="196"/>
      <c r="R482" s="249"/>
      <c r="T482" s="45"/>
      <c r="V482" s="402"/>
      <c r="W482" s="42"/>
      <c r="X482" s="42"/>
    </row>
    <row r="483" spans="2:29" s="333" customFormat="1" outlineLevel="1">
      <c r="B483" s="362"/>
      <c r="E483" s="363" t="s">
        <v>2520</v>
      </c>
      <c r="F483" s="715" t="s">
        <v>2456</v>
      </c>
      <c r="G483" s="716">
        <f>(1.4+1.5)*2*(0.25*0.6)*12+0.35*0.45*2.3</f>
        <v>10.802249999999999</v>
      </c>
      <c r="H483" s="716">
        <f>(1.4+1.5)*2*(0.25*0.6)*12+0.35*0.45*2.3</f>
        <v>10.802249999999999</v>
      </c>
      <c r="I483" s="716">
        <f>(1.4+1.5)*2*(0.25*0.6)*12+0.35*0.45*2.3</f>
        <v>10.802249999999999</v>
      </c>
      <c r="J483" s="209">
        <v>-1</v>
      </c>
      <c r="K483" s="364">
        <f>K179*J483</f>
        <v>-318.14800000000002</v>
      </c>
      <c r="L483" s="210"/>
      <c r="M483" s="210"/>
      <c r="R483" s="365"/>
      <c r="T483" s="211"/>
      <c r="V483" s="217"/>
      <c r="W483" s="217"/>
      <c r="X483" s="217"/>
      <c r="AC483" s="366"/>
    </row>
    <row r="484" spans="2:29" s="358" customFormat="1" outlineLevel="1">
      <c r="B484" s="353"/>
      <c r="C484" s="354"/>
      <c r="D484" s="354" t="s">
        <v>62</v>
      </c>
      <c r="E484" s="355">
        <v>612311141</v>
      </c>
      <c r="F484" s="727" t="s">
        <v>1052</v>
      </c>
      <c r="G484" s="727"/>
      <c r="H484" s="727"/>
      <c r="I484" s="727"/>
      <c r="J484" s="215" t="s">
        <v>63</v>
      </c>
      <c r="K484" s="356">
        <f>SUM(K485:K486)</f>
        <v>506.31187000000006</v>
      </c>
      <c r="L484" s="728"/>
      <c r="M484" s="728"/>
      <c r="N484" s="729">
        <f>ROUND(L484*K484,2)</f>
        <v>0</v>
      </c>
      <c r="O484" s="729"/>
      <c r="P484" s="729"/>
      <c r="Q484" s="729"/>
      <c r="R484" s="357"/>
      <c r="T484" s="216"/>
      <c r="U484" s="416"/>
      <c r="V484" s="417"/>
      <c r="W484" s="418"/>
      <c r="X484" s="415"/>
    </row>
    <row r="485" spans="2:29" s="248" customFormat="1" outlineLevel="1">
      <c r="B485" s="247"/>
      <c r="E485" s="349" t="s">
        <v>403</v>
      </c>
      <c r="F485" s="717" t="s">
        <v>2296</v>
      </c>
      <c r="G485" s="718">
        <f t="shared" ref="G485:I486" si="13">7.8*4.4-7.35+10.9*0.2+11.2*0.13</f>
        <v>30.605999999999998</v>
      </c>
      <c r="H485" s="718">
        <f t="shared" si="13"/>
        <v>30.605999999999998</v>
      </c>
      <c r="I485" s="718">
        <f t="shared" si="13"/>
        <v>30.605999999999998</v>
      </c>
      <c r="J485" s="64"/>
      <c r="K485" s="350">
        <f>K374</f>
        <v>153.01857000000001</v>
      </c>
      <c r="L485" s="196"/>
      <c r="M485" s="196"/>
      <c r="R485" s="249"/>
      <c r="T485" s="45"/>
      <c r="V485" s="402"/>
      <c r="W485" s="42"/>
      <c r="X485" s="42"/>
    </row>
    <row r="486" spans="2:29" s="248" customFormat="1" outlineLevel="1">
      <c r="B486" s="247"/>
      <c r="E486" s="349" t="s">
        <v>431</v>
      </c>
      <c r="F486" s="717" t="s">
        <v>2297</v>
      </c>
      <c r="G486" s="718">
        <f t="shared" si="13"/>
        <v>30.605999999999998</v>
      </c>
      <c r="H486" s="718">
        <f t="shared" si="13"/>
        <v>30.605999999999998</v>
      </c>
      <c r="I486" s="718">
        <f t="shared" si="13"/>
        <v>30.605999999999998</v>
      </c>
      <c r="J486" s="64"/>
      <c r="K486" s="350">
        <f>(K369+K403+K407+K414)*2</f>
        <v>353.29330000000004</v>
      </c>
      <c r="L486" s="196"/>
      <c r="M486" s="196"/>
      <c r="R486" s="249"/>
      <c r="T486" s="45"/>
      <c r="V486" s="402"/>
      <c r="W486" s="42"/>
      <c r="X486" s="42"/>
    </row>
    <row r="487" spans="2:29" s="358" customFormat="1" outlineLevel="1">
      <c r="B487" s="353"/>
      <c r="C487" s="354"/>
      <c r="D487" s="354" t="s">
        <v>62</v>
      </c>
      <c r="E487" s="355">
        <v>622325111</v>
      </c>
      <c r="F487" s="727" t="s">
        <v>1053</v>
      </c>
      <c r="G487" s="727"/>
      <c r="H487" s="727"/>
      <c r="I487" s="727"/>
      <c r="J487" s="215" t="s">
        <v>63</v>
      </c>
      <c r="K487" s="356">
        <f>SUM(K488:K492)</f>
        <v>668.85</v>
      </c>
      <c r="L487" s="728"/>
      <c r="M487" s="728"/>
      <c r="N487" s="729">
        <f>ROUND(L487*K487,2)</f>
        <v>0</v>
      </c>
      <c r="O487" s="729"/>
      <c r="P487" s="729"/>
      <c r="Q487" s="729"/>
      <c r="R487" s="357"/>
      <c r="T487" s="216"/>
      <c r="U487" s="416"/>
      <c r="V487" s="417"/>
      <c r="W487" s="418"/>
      <c r="X487" s="415"/>
    </row>
    <row r="488" spans="2:29" s="248" customFormat="1" outlineLevel="1">
      <c r="B488" s="247"/>
      <c r="E488" s="349" t="s">
        <v>1054</v>
      </c>
      <c r="F488" s="717"/>
      <c r="G488" s="718"/>
      <c r="H488" s="718"/>
      <c r="I488" s="718"/>
      <c r="J488" s="64"/>
      <c r="K488" s="350">
        <f>74+43</f>
        <v>117</v>
      </c>
      <c r="L488" s="196"/>
      <c r="M488" s="196"/>
      <c r="R488" s="249"/>
      <c r="T488" s="45"/>
      <c r="V488" s="402"/>
      <c r="W488" s="42"/>
      <c r="X488" s="42"/>
    </row>
    <row r="489" spans="2:29" s="248" customFormat="1" outlineLevel="1">
      <c r="B489" s="247"/>
      <c r="E489" s="349" t="s">
        <v>1055</v>
      </c>
      <c r="F489" s="717"/>
      <c r="G489" s="718"/>
      <c r="H489" s="718"/>
      <c r="I489" s="718"/>
      <c r="J489" s="64"/>
      <c r="K489" s="350">
        <f>149+4*2.5+2*6+2*5.5</f>
        <v>182</v>
      </c>
      <c r="L489" s="196"/>
      <c r="M489" s="196"/>
      <c r="R489" s="249"/>
      <c r="T489" s="45"/>
      <c r="V489" s="402"/>
      <c r="W489" s="42"/>
      <c r="X489" s="42"/>
    </row>
    <row r="490" spans="2:29" s="248" customFormat="1" outlineLevel="1">
      <c r="B490" s="247"/>
      <c r="E490" s="349" t="s">
        <v>1056</v>
      </c>
      <c r="F490" s="717"/>
      <c r="G490" s="718"/>
      <c r="H490" s="718"/>
      <c r="I490" s="718"/>
      <c r="J490" s="64"/>
      <c r="K490" s="350">
        <f>218</f>
        <v>218</v>
      </c>
      <c r="L490" s="196"/>
      <c r="M490" s="196"/>
      <c r="R490" s="249"/>
      <c r="T490" s="45"/>
      <c r="V490" s="402"/>
      <c r="W490" s="42"/>
      <c r="X490" s="42"/>
    </row>
    <row r="491" spans="2:29" s="248" customFormat="1" outlineLevel="1">
      <c r="B491" s="247"/>
      <c r="E491" s="349" t="s">
        <v>1057</v>
      </c>
      <c r="F491" s="717"/>
      <c r="G491" s="718"/>
      <c r="H491" s="718"/>
      <c r="I491" s="718"/>
      <c r="J491" s="64"/>
      <c r="K491" s="350">
        <f>84+116</f>
        <v>200</v>
      </c>
      <c r="L491" s="196"/>
      <c r="M491" s="196"/>
      <c r="R491" s="249"/>
      <c r="T491" s="45"/>
      <c r="V491" s="402"/>
      <c r="W491" s="42"/>
      <c r="X491" s="42"/>
    </row>
    <row r="492" spans="2:29" s="333" customFormat="1" outlineLevel="1">
      <c r="B492" s="362"/>
      <c r="E492" s="363" t="s">
        <v>2520</v>
      </c>
      <c r="F492" s="715" t="s">
        <v>2456</v>
      </c>
      <c r="G492" s="716">
        <f>(1.4+1.5)*2*(0.25*0.6)*12+0.35*0.45*2.3</f>
        <v>10.802249999999999</v>
      </c>
      <c r="H492" s="716">
        <f>(1.4+1.5)*2*(0.25*0.6)*12+0.35*0.45*2.3</f>
        <v>10.802249999999999</v>
      </c>
      <c r="I492" s="716">
        <f>(1.4+1.5)*2*(0.25*0.6)*12+0.35*0.45*2.3</f>
        <v>10.802249999999999</v>
      </c>
      <c r="J492" s="209">
        <v>-1</v>
      </c>
      <c r="K492" s="364">
        <f>K185*J492</f>
        <v>-48.15</v>
      </c>
      <c r="L492" s="210"/>
      <c r="M492" s="210"/>
      <c r="R492" s="365"/>
      <c r="T492" s="211"/>
      <c r="V492" s="217"/>
      <c r="W492" s="217"/>
      <c r="X492" s="217"/>
      <c r="AC492" s="366"/>
    </row>
    <row r="493" spans="2:29" outlineLevel="1">
      <c r="B493" s="237"/>
      <c r="C493" s="345"/>
      <c r="D493" s="345" t="s">
        <v>62</v>
      </c>
      <c r="E493" s="346">
        <v>622131121</v>
      </c>
      <c r="F493" s="719" t="s">
        <v>401</v>
      </c>
      <c r="G493" s="719"/>
      <c r="H493" s="719"/>
      <c r="I493" s="719"/>
      <c r="J493" s="63" t="s">
        <v>63</v>
      </c>
      <c r="K493" s="347">
        <f>SUM(K494:K494)</f>
        <v>153.01857000000001</v>
      </c>
      <c r="L493" s="726"/>
      <c r="M493" s="726"/>
      <c r="N493" s="720">
        <f>ROUND(L493*K493,2)</f>
        <v>0</v>
      </c>
      <c r="O493" s="720"/>
      <c r="P493" s="720"/>
      <c r="Q493" s="720"/>
      <c r="R493" s="238"/>
      <c r="T493" s="216"/>
      <c r="U493" s="416"/>
      <c r="V493" s="417"/>
      <c r="W493" s="418"/>
    </row>
    <row r="494" spans="2:29" s="248" customFormat="1" ht="11.25" customHeight="1" outlineLevel="1">
      <c r="B494" s="247"/>
      <c r="E494" s="349" t="s">
        <v>403</v>
      </c>
      <c r="F494" s="717" t="s">
        <v>187</v>
      </c>
      <c r="G494" s="718">
        <f>7.8*4.4-7.35+10.9*0.2+11.2*0.13</f>
        <v>30.605999999999998</v>
      </c>
      <c r="H494" s="718">
        <f>7.8*4.4-7.35+10.9*0.2+11.2*0.13</f>
        <v>30.605999999999998</v>
      </c>
      <c r="I494" s="718">
        <f>7.8*4.4-7.35+10.9*0.2+11.2*0.13</f>
        <v>30.605999999999998</v>
      </c>
      <c r="J494" s="64"/>
      <c r="K494" s="350">
        <f>K485</f>
        <v>153.01857000000001</v>
      </c>
      <c r="L494" s="196"/>
      <c r="M494" s="196"/>
      <c r="R494" s="249"/>
      <c r="T494" s="45"/>
      <c r="V494" s="402"/>
      <c r="W494" s="42"/>
      <c r="X494" s="42"/>
    </row>
    <row r="495" spans="2:29" outlineLevel="1">
      <c r="B495" s="237"/>
      <c r="C495" s="345"/>
      <c r="D495" s="345" t="s">
        <v>62</v>
      </c>
      <c r="E495" s="346">
        <v>622811002</v>
      </c>
      <c r="F495" s="719" t="s">
        <v>1058</v>
      </c>
      <c r="G495" s="719"/>
      <c r="H495" s="719"/>
      <c r="I495" s="719"/>
      <c r="J495" s="63" t="s">
        <v>63</v>
      </c>
      <c r="K495" s="347">
        <f>SUM(K496:K496)</f>
        <v>153.01857000000001</v>
      </c>
      <c r="L495" s="726"/>
      <c r="M495" s="726"/>
      <c r="N495" s="720">
        <f>ROUND(L495*K495,2)</f>
        <v>0</v>
      </c>
      <c r="O495" s="720"/>
      <c r="P495" s="720"/>
      <c r="Q495" s="720"/>
      <c r="R495" s="238"/>
      <c r="T495" s="216"/>
      <c r="U495" s="416"/>
      <c r="V495" s="417"/>
      <c r="W495" s="418"/>
    </row>
    <row r="496" spans="2:29" s="248" customFormat="1" outlineLevel="1">
      <c r="B496" s="247"/>
      <c r="E496" s="349" t="s">
        <v>403</v>
      </c>
      <c r="F496" s="717" t="s">
        <v>239</v>
      </c>
      <c r="G496" s="718"/>
      <c r="H496" s="718"/>
      <c r="I496" s="718"/>
      <c r="J496" s="64"/>
      <c r="K496" s="350">
        <f>K494</f>
        <v>153.01857000000001</v>
      </c>
      <c r="L496" s="196"/>
      <c r="M496" s="196"/>
      <c r="R496" s="249"/>
      <c r="T496" s="45"/>
      <c r="V496" s="402"/>
      <c r="W496" s="42"/>
      <c r="X496" s="42"/>
    </row>
    <row r="497" spans="2:24" outlineLevel="1">
      <c r="B497" s="237"/>
      <c r="C497" s="345"/>
      <c r="D497" s="345" t="s">
        <v>62</v>
      </c>
      <c r="E497" s="346" t="s">
        <v>1059</v>
      </c>
      <c r="F497" s="719" t="s">
        <v>1060</v>
      </c>
      <c r="G497" s="719"/>
      <c r="H497" s="719"/>
      <c r="I497" s="719"/>
      <c r="J497" s="63" t="s">
        <v>63</v>
      </c>
      <c r="K497" s="347">
        <f>SUM(K498:K498)</f>
        <v>153.01857000000001</v>
      </c>
      <c r="L497" s="726"/>
      <c r="M497" s="726"/>
      <c r="N497" s="720">
        <f>ROUND(L497*K497,2)</f>
        <v>0</v>
      </c>
      <c r="O497" s="720"/>
      <c r="P497" s="720"/>
      <c r="Q497" s="720"/>
      <c r="R497" s="238"/>
      <c r="T497" s="216"/>
      <c r="U497" s="416"/>
      <c r="V497" s="417"/>
      <c r="W497" s="418"/>
    </row>
    <row r="498" spans="2:24" s="248" customFormat="1" outlineLevel="1">
      <c r="B498" s="247"/>
      <c r="E498" s="349" t="s">
        <v>403</v>
      </c>
      <c r="F498" s="717" t="s">
        <v>239</v>
      </c>
      <c r="G498" s="718"/>
      <c r="H498" s="718"/>
      <c r="I498" s="718"/>
      <c r="J498" s="64"/>
      <c r="K498" s="350">
        <f>K496</f>
        <v>153.01857000000001</v>
      </c>
      <c r="L498" s="196"/>
      <c r="M498" s="196"/>
      <c r="R498" s="249"/>
      <c r="T498" s="45"/>
      <c r="V498" s="402"/>
      <c r="W498" s="42"/>
      <c r="X498" s="42"/>
    </row>
    <row r="499" spans="2:24" outlineLevel="1">
      <c r="B499" s="237"/>
      <c r="C499" s="345"/>
      <c r="D499" s="345" t="s">
        <v>62</v>
      </c>
      <c r="E499" s="346">
        <v>622381002</v>
      </c>
      <c r="F499" s="719" t="s">
        <v>1061</v>
      </c>
      <c r="G499" s="719"/>
      <c r="H499" s="719"/>
      <c r="I499" s="719"/>
      <c r="J499" s="63" t="s">
        <v>63</v>
      </c>
      <c r="K499" s="347">
        <f>SUM(K500:K500)</f>
        <v>153.01857000000001</v>
      </c>
      <c r="L499" s="726"/>
      <c r="M499" s="726"/>
      <c r="N499" s="720">
        <f>ROUND(L499*K499,2)</f>
        <v>0</v>
      </c>
      <c r="O499" s="720"/>
      <c r="P499" s="720"/>
      <c r="Q499" s="720"/>
      <c r="R499" s="238"/>
      <c r="T499" s="216"/>
      <c r="U499" s="416"/>
      <c r="V499" s="417"/>
      <c r="W499" s="418"/>
    </row>
    <row r="500" spans="2:24" s="248" customFormat="1" outlineLevel="1">
      <c r="B500" s="247"/>
      <c r="E500" s="349" t="s">
        <v>403</v>
      </c>
      <c r="F500" s="717" t="s">
        <v>239</v>
      </c>
      <c r="G500" s="718"/>
      <c r="H500" s="718"/>
      <c r="I500" s="718"/>
      <c r="J500" s="64"/>
      <c r="K500" s="350">
        <f>K498</f>
        <v>153.01857000000001</v>
      </c>
      <c r="L500" s="196"/>
      <c r="M500" s="196"/>
      <c r="R500" s="249"/>
      <c r="T500" s="45"/>
      <c r="V500" s="402"/>
      <c r="W500" s="42"/>
      <c r="X500" s="42"/>
    </row>
    <row r="501" spans="2:24" ht="27" customHeight="1" outlineLevel="1">
      <c r="B501" s="237"/>
      <c r="C501" s="345"/>
      <c r="D501" s="345" t="s">
        <v>62</v>
      </c>
      <c r="E501" s="346" t="s">
        <v>1080</v>
      </c>
      <c r="F501" s="719" t="s">
        <v>1081</v>
      </c>
      <c r="G501" s="719"/>
      <c r="H501" s="719"/>
      <c r="I501" s="719"/>
      <c r="J501" s="63" t="s">
        <v>63</v>
      </c>
      <c r="K501" s="347">
        <f>SUM(K502:K503)</f>
        <v>80.564999999999998</v>
      </c>
      <c r="L501" s="726"/>
      <c r="M501" s="726"/>
      <c r="N501" s="720">
        <f>ROUND(L501*K501,2)</f>
        <v>0</v>
      </c>
      <c r="O501" s="720"/>
      <c r="P501" s="720"/>
      <c r="Q501" s="720"/>
      <c r="R501" s="238"/>
      <c r="T501" s="216"/>
      <c r="U501" s="416"/>
      <c r="V501" s="417"/>
      <c r="W501" s="418"/>
    </row>
    <row r="502" spans="2:24" s="248" customFormat="1" outlineLevel="1">
      <c r="B502" s="247"/>
      <c r="E502" s="349" t="s">
        <v>1082</v>
      </c>
      <c r="F502" s="717"/>
      <c r="G502" s="718"/>
      <c r="H502" s="718"/>
      <c r="I502" s="718"/>
      <c r="J502" s="64">
        <v>120</v>
      </c>
      <c r="K502" s="350">
        <f>33.9</f>
        <v>33.9</v>
      </c>
      <c r="L502" s="196"/>
      <c r="M502" s="196"/>
      <c r="R502" s="249"/>
      <c r="T502" s="45"/>
      <c r="V502" s="402"/>
      <c r="W502" s="42"/>
      <c r="X502" s="42"/>
    </row>
    <row r="503" spans="2:24" s="248" customFormat="1" outlineLevel="1">
      <c r="B503" s="247"/>
      <c r="E503" s="349" t="s">
        <v>1083</v>
      </c>
      <c r="F503" s="717"/>
      <c r="G503" s="718"/>
      <c r="H503" s="718"/>
      <c r="I503" s="718"/>
      <c r="J503" s="64">
        <v>100</v>
      </c>
      <c r="K503" s="350">
        <f>(3.5*2+5.9)*3+(2.7+2.5+2.7+2.5+7.3)*0.45</f>
        <v>46.665000000000006</v>
      </c>
      <c r="L503" s="196"/>
      <c r="M503" s="196"/>
      <c r="R503" s="249"/>
      <c r="T503" s="45"/>
      <c r="V503" s="402"/>
      <c r="W503" s="42"/>
      <c r="X503" s="42"/>
    </row>
    <row r="504" spans="2:24" ht="11.25" customHeight="1" outlineLevel="1">
      <c r="B504" s="237"/>
      <c r="C504" s="383"/>
      <c r="D504" s="383" t="s">
        <v>65</v>
      </c>
      <c r="E504" s="384">
        <v>63152234</v>
      </c>
      <c r="F504" s="751" t="s">
        <v>1084</v>
      </c>
      <c r="G504" s="751"/>
      <c r="H504" s="751"/>
      <c r="I504" s="751"/>
      <c r="J504" s="65" t="s">
        <v>63</v>
      </c>
      <c r="K504" s="385">
        <f>K503</f>
        <v>46.665000000000006</v>
      </c>
      <c r="L504" s="726"/>
      <c r="M504" s="726"/>
      <c r="N504" s="752">
        <f t="shared" ref="N504:N509" si="14">ROUND(L504*K504,2)</f>
        <v>0</v>
      </c>
      <c r="O504" s="720"/>
      <c r="P504" s="720"/>
      <c r="Q504" s="720"/>
      <c r="R504" s="238"/>
      <c r="T504" s="216"/>
      <c r="U504" s="416"/>
      <c r="V504" s="417"/>
      <c r="W504" s="418"/>
    </row>
    <row r="505" spans="2:24" ht="11.25" customHeight="1" outlineLevel="1">
      <c r="B505" s="237"/>
      <c r="C505" s="383"/>
      <c r="D505" s="383" t="s">
        <v>65</v>
      </c>
      <c r="E505" s="384" t="s">
        <v>1085</v>
      </c>
      <c r="F505" s="751" t="s">
        <v>1086</v>
      </c>
      <c r="G505" s="751"/>
      <c r="H505" s="751"/>
      <c r="I505" s="751"/>
      <c r="J505" s="65" t="s">
        <v>63</v>
      </c>
      <c r="K505" s="385">
        <f>K502</f>
        <v>33.9</v>
      </c>
      <c r="L505" s="726"/>
      <c r="M505" s="726"/>
      <c r="N505" s="752">
        <f t="shared" si="14"/>
        <v>0</v>
      </c>
      <c r="O505" s="720"/>
      <c r="P505" s="720"/>
      <c r="Q505" s="720"/>
      <c r="R505" s="238"/>
      <c r="T505" s="216"/>
      <c r="U505" s="416"/>
      <c r="V505" s="417"/>
      <c r="W505" s="418"/>
    </row>
    <row r="506" spans="2:24" outlineLevel="1">
      <c r="B506" s="237"/>
      <c r="C506" s="345"/>
      <c r="D506" s="345" t="s">
        <v>62</v>
      </c>
      <c r="E506" s="346">
        <v>612131121</v>
      </c>
      <c r="F506" s="719" t="s">
        <v>2298</v>
      </c>
      <c r="G506" s="719"/>
      <c r="H506" s="719"/>
      <c r="I506" s="719"/>
      <c r="J506" s="63" t="s">
        <v>63</v>
      </c>
      <c r="K506" s="347">
        <f>K501</f>
        <v>80.564999999999998</v>
      </c>
      <c r="L506" s="726"/>
      <c r="M506" s="726"/>
      <c r="N506" s="720">
        <f t="shared" si="14"/>
        <v>0</v>
      </c>
      <c r="O506" s="720"/>
      <c r="P506" s="720"/>
      <c r="Q506" s="720"/>
      <c r="R506" s="238"/>
      <c r="T506" s="216"/>
      <c r="U506" s="416"/>
      <c r="V506" s="417"/>
      <c r="W506" s="418"/>
    </row>
    <row r="507" spans="2:24" outlineLevel="1">
      <c r="B507" s="237"/>
      <c r="C507" s="345"/>
      <c r="D507" s="345" t="s">
        <v>62</v>
      </c>
      <c r="E507" s="346">
        <v>612142001</v>
      </c>
      <c r="F507" s="719" t="s">
        <v>1087</v>
      </c>
      <c r="G507" s="719"/>
      <c r="H507" s="719"/>
      <c r="I507" s="719"/>
      <c r="J507" s="63" t="s">
        <v>63</v>
      </c>
      <c r="K507" s="347">
        <f>K501</f>
        <v>80.564999999999998</v>
      </c>
      <c r="L507" s="726"/>
      <c r="M507" s="726"/>
      <c r="N507" s="720">
        <f t="shared" si="14"/>
        <v>0</v>
      </c>
      <c r="O507" s="720"/>
      <c r="P507" s="720"/>
      <c r="Q507" s="720"/>
      <c r="R507" s="238"/>
      <c r="T507" s="216"/>
      <c r="U507" s="416"/>
      <c r="V507" s="417"/>
      <c r="W507" s="418"/>
    </row>
    <row r="508" spans="2:24" outlineLevel="1">
      <c r="B508" s="237"/>
      <c r="C508" s="345"/>
      <c r="D508" s="345" t="s">
        <v>62</v>
      </c>
      <c r="E508" s="346">
        <v>612381006</v>
      </c>
      <c r="F508" s="719" t="s">
        <v>1088</v>
      </c>
      <c r="G508" s="719"/>
      <c r="H508" s="719"/>
      <c r="I508" s="719"/>
      <c r="J508" s="63" t="s">
        <v>63</v>
      </c>
      <c r="K508" s="347">
        <f>K507</f>
        <v>80.564999999999998</v>
      </c>
      <c r="L508" s="726"/>
      <c r="M508" s="726"/>
      <c r="N508" s="720">
        <f t="shared" si="14"/>
        <v>0</v>
      </c>
      <c r="O508" s="720"/>
      <c r="P508" s="720"/>
      <c r="Q508" s="720"/>
      <c r="R508" s="238"/>
      <c r="T508" s="216"/>
      <c r="U508" s="416"/>
      <c r="V508" s="417"/>
      <c r="W508" s="418"/>
    </row>
    <row r="509" spans="2:24" s="358" customFormat="1" outlineLevel="1">
      <c r="B509" s="353"/>
      <c r="C509" s="354"/>
      <c r="D509" s="354" t="s">
        <v>62</v>
      </c>
      <c r="E509" s="355">
        <v>632481213</v>
      </c>
      <c r="F509" s="727" t="s">
        <v>406</v>
      </c>
      <c r="G509" s="727"/>
      <c r="H509" s="727"/>
      <c r="I509" s="727"/>
      <c r="J509" s="215" t="s">
        <v>63</v>
      </c>
      <c r="K509" s="356">
        <f>SUM(K510:K519)</f>
        <v>294.10000000000002</v>
      </c>
      <c r="L509" s="728"/>
      <c r="M509" s="728"/>
      <c r="N509" s="729">
        <f t="shared" si="14"/>
        <v>0</v>
      </c>
      <c r="O509" s="729"/>
      <c r="P509" s="729"/>
      <c r="Q509" s="729"/>
      <c r="R509" s="357"/>
      <c r="T509" s="216"/>
      <c r="U509" s="416"/>
      <c r="V509" s="417"/>
      <c r="W509" s="418"/>
      <c r="X509" s="415"/>
    </row>
    <row r="510" spans="2:24" s="248" customFormat="1" outlineLevel="1">
      <c r="B510" s="247"/>
      <c r="E510" s="349" t="s">
        <v>1068</v>
      </c>
      <c r="F510" s="717" t="s">
        <v>110</v>
      </c>
      <c r="G510" s="718"/>
      <c r="H510" s="718"/>
      <c r="I510" s="718"/>
      <c r="J510" s="64">
        <v>1</v>
      </c>
      <c r="K510" s="350">
        <f>20+17.25+40.52+27.72+22.76+30.61</f>
        <v>158.86000000000001</v>
      </c>
      <c r="L510" s="196"/>
      <c r="M510" s="196"/>
      <c r="R510" s="249"/>
      <c r="T510" s="45"/>
      <c r="V510" s="402"/>
      <c r="W510" s="42"/>
      <c r="X510" s="42"/>
    </row>
    <row r="511" spans="2:24" s="248" customFormat="1" ht="11.25" customHeight="1" outlineLevel="1">
      <c r="B511" s="247"/>
      <c r="E511" s="349" t="s">
        <v>1067</v>
      </c>
      <c r="F511" s="717" t="s">
        <v>110</v>
      </c>
      <c r="G511" s="718"/>
      <c r="H511" s="718"/>
      <c r="I511" s="718"/>
      <c r="J511" s="64">
        <v>1</v>
      </c>
      <c r="K511" s="350">
        <f>4.51+2.89+2.55+1.58+1.17*2+3.28+3.02+4.24+28.19+23.93+1.47+1.54</f>
        <v>79.540000000000006</v>
      </c>
      <c r="L511" s="196"/>
      <c r="M511" s="196"/>
      <c r="R511" s="249"/>
      <c r="T511" s="45"/>
      <c r="V511" s="402"/>
      <c r="W511" s="42"/>
      <c r="X511" s="42"/>
    </row>
    <row r="512" spans="2:24" s="248" customFormat="1" ht="11.25" customHeight="1" outlineLevel="1">
      <c r="B512" s="247"/>
      <c r="E512" s="349" t="s">
        <v>1069</v>
      </c>
      <c r="F512" s="717" t="s">
        <v>110</v>
      </c>
      <c r="G512" s="718"/>
      <c r="H512" s="718"/>
      <c r="I512" s="718"/>
      <c r="J512" s="64">
        <v>1</v>
      </c>
      <c r="K512" s="350">
        <f>27.54+2.07</f>
        <v>29.61</v>
      </c>
      <c r="L512" s="196"/>
      <c r="M512" s="196"/>
      <c r="R512" s="249"/>
      <c r="T512" s="45"/>
      <c r="V512" s="402"/>
      <c r="W512" s="42"/>
      <c r="X512" s="42"/>
    </row>
    <row r="513" spans="2:29" s="248" customFormat="1" ht="11.25" customHeight="1" outlineLevel="1">
      <c r="B513" s="247"/>
      <c r="E513" s="349" t="s">
        <v>1070</v>
      </c>
      <c r="F513" s="717" t="s">
        <v>110</v>
      </c>
      <c r="G513" s="718"/>
      <c r="H513" s="718"/>
      <c r="I513" s="718"/>
      <c r="J513" s="64">
        <v>1</v>
      </c>
      <c r="K513" s="350">
        <f>3.03+4.4+7.62+6.73+2.36</f>
        <v>24.14</v>
      </c>
      <c r="L513" s="196"/>
      <c r="M513" s="196"/>
      <c r="R513" s="249"/>
      <c r="T513" s="45"/>
      <c r="V513" s="402"/>
      <c r="W513" s="42"/>
      <c r="X513" s="42"/>
    </row>
    <row r="514" spans="2:29" s="248" customFormat="1" ht="11.25" customHeight="1" outlineLevel="1">
      <c r="B514" s="247"/>
      <c r="E514" s="349" t="s">
        <v>1071</v>
      </c>
      <c r="F514" s="717" t="s">
        <v>110</v>
      </c>
      <c r="G514" s="718"/>
      <c r="H514" s="718"/>
      <c r="I514" s="718"/>
      <c r="J514" s="64">
        <v>1</v>
      </c>
      <c r="K514" s="350">
        <f>2*1.33</f>
        <v>2.66</v>
      </c>
      <c r="L514" s="196"/>
      <c r="M514" s="196"/>
      <c r="R514" s="249"/>
      <c r="T514" s="45"/>
      <c r="V514" s="402"/>
      <c r="W514" s="42"/>
      <c r="X514" s="42"/>
    </row>
    <row r="515" spans="2:29" s="248" customFormat="1" ht="11.25" customHeight="1" outlineLevel="1">
      <c r="B515" s="247"/>
      <c r="E515" s="349" t="s">
        <v>1072</v>
      </c>
      <c r="F515" s="717" t="s">
        <v>110</v>
      </c>
      <c r="G515" s="718"/>
      <c r="H515" s="718"/>
      <c r="I515" s="718"/>
      <c r="J515" s="64">
        <v>1</v>
      </c>
      <c r="K515" s="350">
        <f>4.39+1.6+1.63+1.58+2.1+5.77+2.26+1.87</f>
        <v>21.2</v>
      </c>
      <c r="L515" s="196"/>
      <c r="M515" s="196"/>
      <c r="R515" s="249"/>
      <c r="T515" s="45"/>
      <c r="V515" s="402"/>
      <c r="W515" s="42"/>
      <c r="X515" s="42"/>
    </row>
    <row r="516" spans="2:29" s="248" customFormat="1" ht="11.25" customHeight="1" outlineLevel="1">
      <c r="B516" s="247"/>
      <c r="E516" s="349" t="s">
        <v>1073</v>
      </c>
      <c r="F516" s="717" t="s">
        <v>110</v>
      </c>
      <c r="G516" s="718"/>
      <c r="H516" s="718"/>
      <c r="I516" s="718"/>
      <c r="J516" s="64">
        <v>1</v>
      </c>
      <c r="K516" s="350">
        <f>9.9</f>
        <v>9.9</v>
      </c>
      <c r="L516" s="196"/>
      <c r="M516" s="196"/>
      <c r="R516" s="249"/>
      <c r="T516" s="45"/>
      <c r="V516" s="402"/>
      <c r="W516" s="42"/>
      <c r="X516" s="42"/>
    </row>
    <row r="517" spans="2:29" s="248" customFormat="1" ht="11.25" customHeight="1" outlineLevel="1">
      <c r="B517" s="247"/>
      <c r="E517" s="349" t="s">
        <v>913</v>
      </c>
      <c r="F517" s="717" t="s">
        <v>110</v>
      </c>
      <c r="G517" s="718"/>
      <c r="H517" s="718"/>
      <c r="I517" s="718"/>
      <c r="J517" s="64">
        <v>1</v>
      </c>
      <c r="K517" s="350">
        <f>14.25</f>
        <v>14.25</v>
      </c>
      <c r="L517" s="196"/>
      <c r="M517" s="196"/>
      <c r="R517" s="249"/>
      <c r="T517" s="45"/>
      <c r="V517" s="402"/>
      <c r="W517" s="42"/>
      <c r="X517" s="42"/>
    </row>
    <row r="518" spans="2:29" s="248" customFormat="1" ht="11.25" customHeight="1" outlineLevel="1">
      <c r="B518" s="247"/>
      <c r="E518" s="349" t="s">
        <v>914</v>
      </c>
      <c r="F518" s="717" t="s">
        <v>110</v>
      </c>
      <c r="G518" s="718"/>
      <c r="H518" s="718"/>
      <c r="I518" s="718"/>
      <c r="J518" s="64">
        <v>1</v>
      </c>
      <c r="K518" s="350">
        <v>6.91</v>
      </c>
      <c r="L518" s="196"/>
      <c r="M518" s="196"/>
      <c r="R518" s="249"/>
      <c r="T518" s="45"/>
      <c r="V518" s="402"/>
      <c r="W518" s="42"/>
      <c r="X518" s="42"/>
    </row>
    <row r="519" spans="2:29" s="333" customFormat="1" outlineLevel="1">
      <c r="B519" s="362"/>
      <c r="E519" s="363" t="s">
        <v>2520</v>
      </c>
      <c r="F519" s="715" t="s">
        <v>2456</v>
      </c>
      <c r="G519" s="716">
        <f>(1.4+1.5)*2*(0.25*0.6)*12+0.35*0.45*2.3</f>
        <v>10.802249999999999</v>
      </c>
      <c r="H519" s="716">
        <f>(1.4+1.5)*2*(0.25*0.6)*12+0.35*0.45*2.3</f>
        <v>10.802249999999999</v>
      </c>
      <c r="I519" s="716">
        <f>(1.4+1.5)*2*(0.25*0.6)*12+0.35*0.45*2.3</f>
        <v>10.802249999999999</v>
      </c>
      <c r="J519" s="209">
        <v>-1</v>
      </c>
      <c r="K519" s="364">
        <f>K196*J519</f>
        <v>-52.97</v>
      </c>
      <c r="L519" s="210"/>
      <c r="M519" s="210"/>
      <c r="R519" s="365"/>
      <c r="T519" s="211"/>
      <c r="V519" s="217"/>
      <c r="W519" s="217"/>
      <c r="X519" s="217"/>
      <c r="AC519" s="366"/>
    </row>
    <row r="520" spans="2:29" outlineLevel="1">
      <c r="B520" s="237"/>
      <c r="C520" s="345"/>
      <c r="D520" s="345" t="s">
        <v>62</v>
      </c>
      <c r="E520" s="346">
        <v>632481215</v>
      </c>
      <c r="F520" s="719" t="s">
        <v>404</v>
      </c>
      <c r="G520" s="719"/>
      <c r="H520" s="719"/>
      <c r="I520" s="719"/>
      <c r="J520" s="63" t="s">
        <v>63</v>
      </c>
      <c r="K520" s="347">
        <f>SUM(K521:K521)</f>
        <v>12.87</v>
      </c>
      <c r="L520" s="726"/>
      <c r="M520" s="726"/>
      <c r="N520" s="720">
        <f>ROUND(L520*K520,2)</f>
        <v>0</v>
      </c>
      <c r="O520" s="720"/>
      <c r="P520" s="720"/>
      <c r="Q520" s="720"/>
      <c r="R520" s="238"/>
      <c r="T520" s="216"/>
      <c r="U520" s="416"/>
      <c r="V520" s="417"/>
      <c r="W520" s="418"/>
    </row>
    <row r="521" spans="2:29" s="248" customFormat="1" outlineLevel="1">
      <c r="B521" s="247"/>
      <c r="E521" s="349" t="s">
        <v>1074</v>
      </c>
      <c r="F521" s="717" t="s">
        <v>110</v>
      </c>
      <c r="G521" s="718"/>
      <c r="H521" s="718"/>
      <c r="I521" s="718"/>
      <c r="J521" s="64"/>
      <c r="K521" s="350">
        <f>12.87</f>
        <v>12.87</v>
      </c>
      <c r="L521" s="196"/>
      <c r="M521" s="196"/>
      <c r="R521" s="249"/>
      <c r="T521" s="45"/>
      <c r="V521" s="402"/>
      <c r="W521" s="42"/>
      <c r="X521" s="42"/>
    </row>
    <row r="522" spans="2:29" outlineLevel="1">
      <c r="B522" s="237"/>
      <c r="C522" s="345"/>
      <c r="D522" s="345" t="s">
        <v>62</v>
      </c>
      <c r="E522" s="346">
        <v>635211121</v>
      </c>
      <c r="F522" s="719" t="s">
        <v>405</v>
      </c>
      <c r="G522" s="719"/>
      <c r="H522" s="719"/>
      <c r="I522" s="719"/>
      <c r="J522" s="63" t="s">
        <v>64</v>
      </c>
      <c r="K522" s="347">
        <f>SUM(K523:K524)</f>
        <v>2.5327000000000002</v>
      </c>
      <c r="L522" s="726"/>
      <c r="M522" s="726"/>
      <c r="N522" s="720">
        <f>ROUND(L522*K522,2)</f>
        <v>0</v>
      </c>
      <c r="O522" s="720"/>
      <c r="P522" s="720"/>
      <c r="Q522" s="720"/>
      <c r="R522" s="238"/>
      <c r="T522" s="216"/>
      <c r="U522" s="416"/>
      <c r="V522" s="417"/>
      <c r="W522" s="418"/>
    </row>
    <row r="523" spans="2:29" s="248" customFormat="1" ht="11.25" customHeight="1" outlineLevel="1">
      <c r="B523" s="247"/>
      <c r="E523" s="349" t="s">
        <v>1071</v>
      </c>
      <c r="F523" s="717" t="s">
        <v>110</v>
      </c>
      <c r="G523" s="718"/>
      <c r="H523" s="718"/>
      <c r="I523" s="718"/>
      <c r="J523" s="64">
        <v>0.245</v>
      </c>
      <c r="K523" s="350">
        <f>2*1.33*J523</f>
        <v>0.65170000000000006</v>
      </c>
      <c r="L523" s="196"/>
      <c r="M523" s="196"/>
      <c r="R523" s="249"/>
      <c r="T523" s="45"/>
      <c r="V523" s="402"/>
      <c r="W523" s="42"/>
      <c r="X523" s="42"/>
    </row>
    <row r="524" spans="2:29" s="248" customFormat="1" ht="11.25" customHeight="1" outlineLevel="1">
      <c r="B524" s="247"/>
      <c r="E524" s="349" t="s">
        <v>1073</v>
      </c>
      <c r="F524" s="717" t="s">
        <v>110</v>
      </c>
      <c r="G524" s="718"/>
      <c r="H524" s="718"/>
      <c r="I524" s="718"/>
      <c r="J524" s="64">
        <v>0.19</v>
      </c>
      <c r="K524" s="350">
        <f>9.9*J524</f>
        <v>1.881</v>
      </c>
      <c r="L524" s="196"/>
      <c r="M524" s="196"/>
      <c r="R524" s="249"/>
      <c r="T524" s="45"/>
      <c r="V524" s="402"/>
      <c r="W524" s="42"/>
      <c r="X524" s="42"/>
    </row>
    <row r="525" spans="2:29" s="358" customFormat="1" ht="27" customHeight="1" outlineLevel="1">
      <c r="B525" s="353"/>
      <c r="C525" s="354"/>
      <c r="D525" s="354" t="s">
        <v>62</v>
      </c>
      <c r="E525" s="355">
        <v>631311115</v>
      </c>
      <c r="F525" s="727" t="s">
        <v>240</v>
      </c>
      <c r="G525" s="727"/>
      <c r="H525" s="727"/>
      <c r="I525" s="727"/>
      <c r="J525" s="215" t="s">
        <v>64</v>
      </c>
      <c r="K525" s="356">
        <f>SUM(K527:K540)</f>
        <v>20.587500000000006</v>
      </c>
      <c r="L525" s="728"/>
      <c r="M525" s="728"/>
      <c r="N525" s="729">
        <f>ROUND(L525*K525,2)</f>
        <v>0</v>
      </c>
      <c r="O525" s="729"/>
      <c r="P525" s="729"/>
      <c r="Q525" s="729"/>
      <c r="R525" s="357"/>
      <c r="T525" s="216"/>
      <c r="U525" s="416"/>
      <c r="V525" s="417"/>
      <c r="W525" s="418"/>
      <c r="X525" s="415"/>
    </row>
    <row r="526" spans="2:29" s="375" customFormat="1" ht="11.25" customHeight="1" outlineLevel="1">
      <c r="B526" s="404"/>
      <c r="E526" s="768" t="s">
        <v>1075</v>
      </c>
      <c r="F526" s="768"/>
      <c r="G526" s="768"/>
      <c r="H526" s="768"/>
      <c r="I526" s="768"/>
      <c r="J526" s="146"/>
      <c r="K526" s="405"/>
      <c r="L526" s="198"/>
      <c r="M526" s="198"/>
      <c r="R526" s="406"/>
      <c r="T526" s="144"/>
      <c r="V526" s="407"/>
      <c r="W526" s="408"/>
      <c r="X526" s="408"/>
    </row>
    <row r="527" spans="2:29" s="248" customFormat="1" ht="11.25" customHeight="1" outlineLevel="1">
      <c r="B527" s="247"/>
      <c r="E527" s="349" t="s">
        <v>912</v>
      </c>
      <c r="F527" s="717" t="s">
        <v>110</v>
      </c>
      <c r="G527" s="718"/>
      <c r="H527" s="718"/>
      <c r="I527" s="718"/>
      <c r="J527" s="64">
        <v>0.05</v>
      </c>
      <c r="K527" s="350">
        <f>(4.24+1.81)*J527</f>
        <v>0.30250000000000005</v>
      </c>
      <c r="L527" s="196"/>
      <c r="M527" s="196"/>
      <c r="R527" s="249"/>
      <c r="T527" s="45"/>
      <c r="V527" s="402"/>
      <c r="W527" s="42"/>
      <c r="X527" s="42"/>
    </row>
    <row r="528" spans="2:29" s="248" customFormat="1" ht="11.25" customHeight="1" outlineLevel="1">
      <c r="B528" s="247"/>
      <c r="E528" s="349" t="s">
        <v>1070</v>
      </c>
      <c r="F528" s="717" t="s">
        <v>110</v>
      </c>
      <c r="G528" s="718"/>
      <c r="H528" s="718"/>
      <c r="I528" s="718"/>
      <c r="J528" s="64">
        <v>0.05</v>
      </c>
      <c r="K528" s="350">
        <f>(3.03+4.4+7.62+6.73+2.36)*J528</f>
        <v>1.2070000000000001</v>
      </c>
      <c r="L528" s="196"/>
      <c r="M528" s="196"/>
      <c r="R528" s="249"/>
      <c r="T528" s="45"/>
      <c r="V528" s="402"/>
      <c r="W528" s="42"/>
      <c r="X528" s="42"/>
    </row>
    <row r="529" spans="2:29" s="248" customFormat="1" ht="11.25" customHeight="1" outlineLevel="1">
      <c r="B529" s="247"/>
      <c r="E529" s="349" t="s">
        <v>1072</v>
      </c>
      <c r="F529" s="717" t="s">
        <v>110</v>
      </c>
      <c r="G529" s="718"/>
      <c r="H529" s="718"/>
      <c r="I529" s="718"/>
      <c r="J529" s="64">
        <v>0.05</v>
      </c>
      <c r="K529" s="350">
        <f>(4.39+1.6+1.63+1.58+2.1+5.77+2.26+1.87)*J529</f>
        <v>1.06</v>
      </c>
      <c r="L529" s="196"/>
      <c r="M529" s="196"/>
      <c r="R529" s="249"/>
      <c r="T529" s="45"/>
      <c r="V529" s="402"/>
      <c r="W529" s="42"/>
      <c r="X529" s="42"/>
    </row>
    <row r="530" spans="2:29" s="248" customFormat="1" ht="11.25" customHeight="1" outlineLevel="1">
      <c r="B530" s="247"/>
      <c r="E530" s="349" t="s">
        <v>1073</v>
      </c>
      <c r="F530" s="717" t="s">
        <v>110</v>
      </c>
      <c r="G530" s="718"/>
      <c r="H530" s="718"/>
      <c r="I530" s="718"/>
      <c r="J530" s="64">
        <v>7.0000000000000007E-2</v>
      </c>
      <c r="K530" s="350">
        <f>9.9*J530</f>
        <v>0.69300000000000006</v>
      </c>
      <c r="L530" s="196"/>
      <c r="M530" s="196"/>
      <c r="R530" s="249"/>
      <c r="T530" s="45"/>
      <c r="V530" s="402"/>
      <c r="W530" s="42"/>
      <c r="X530" s="42"/>
    </row>
    <row r="531" spans="2:29" s="248" customFormat="1" outlineLevel="1">
      <c r="B531" s="247"/>
      <c r="E531" s="349" t="s">
        <v>1074</v>
      </c>
      <c r="F531" s="717" t="s">
        <v>110</v>
      </c>
      <c r="G531" s="718"/>
      <c r="H531" s="718"/>
      <c r="I531" s="718"/>
      <c r="J531" s="64">
        <f>(0.12+0.14)/2</f>
        <v>0.13</v>
      </c>
      <c r="K531" s="350">
        <f>12.87*J531</f>
        <v>1.6731</v>
      </c>
      <c r="L531" s="196"/>
      <c r="M531" s="196"/>
      <c r="R531" s="249"/>
      <c r="T531" s="45"/>
      <c r="V531" s="402"/>
      <c r="W531" s="42"/>
      <c r="X531" s="42"/>
    </row>
    <row r="532" spans="2:29" s="375" customFormat="1" ht="11.25" customHeight="1" outlineLevel="1">
      <c r="B532" s="404"/>
      <c r="E532" s="768" t="s">
        <v>1076</v>
      </c>
      <c r="F532" s="768"/>
      <c r="G532" s="768"/>
      <c r="H532" s="768"/>
      <c r="I532" s="768"/>
      <c r="J532" s="146"/>
      <c r="K532" s="405"/>
      <c r="L532" s="198"/>
      <c r="M532" s="198"/>
      <c r="R532" s="406"/>
      <c r="T532" s="144"/>
      <c r="V532" s="407"/>
      <c r="W532" s="408"/>
      <c r="X532" s="408"/>
    </row>
    <row r="533" spans="2:29" s="248" customFormat="1" ht="11.25" customHeight="1" outlineLevel="1">
      <c r="B533" s="247"/>
      <c r="E533" s="349" t="s">
        <v>912</v>
      </c>
      <c r="F533" s="717" t="s">
        <v>110</v>
      </c>
      <c r="G533" s="718"/>
      <c r="H533" s="718"/>
      <c r="I533" s="718"/>
      <c r="J533" s="64">
        <v>0.05</v>
      </c>
      <c r="K533" s="350">
        <f>(4.24+1.81)*J533</f>
        <v>0.30250000000000005</v>
      </c>
      <c r="L533" s="196"/>
      <c r="M533" s="196"/>
      <c r="R533" s="249"/>
      <c r="T533" s="45"/>
      <c r="V533" s="402"/>
      <c r="W533" s="42"/>
      <c r="X533" s="42"/>
    </row>
    <row r="534" spans="2:29" s="248" customFormat="1" outlineLevel="1">
      <c r="B534" s="247"/>
      <c r="E534" s="349" t="s">
        <v>1068</v>
      </c>
      <c r="F534" s="717" t="s">
        <v>110</v>
      </c>
      <c r="G534" s="718"/>
      <c r="H534" s="718"/>
      <c r="I534" s="718"/>
      <c r="J534" s="64">
        <v>7.0000000000000007E-2</v>
      </c>
      <c r="K534" s="350">
        <f>(20+17.25+40.52+27.72+22.76+30.61)*J534</f>
        <v>11.120200000000002</v>
      </c>
      <c r="L534" s="196"/>
      <c r="M534" s="196"/>
      <c r="R534" s="249"/>
      <c r="T534" s="45"/>
      <c r="V534" s="402"/>
      <c r="W534" s="42"/>
      <c r="X534" s="42"/>
    </row>
    <row r="535" spans="2:29" s="248" customFormat="1" ht="11.25" customHeight="1" outlineLevel="1">
      <c r="B535" s="247"/>
      <c r="E535" s="349" t="s">
        <v>1067</v>
      </c>
      <c r="F535" s="717" t="s">
        <v>110</v>
      </c>
      <c r="G535" s="718"/>
      <c r="H535" s="718"/>
      <c r="I535" s="718"/>
      <c r="J535" s="64">
        <v>0.05</v>
      </c>
      <c r="K535" s="350">
        <f>(4.51+2.89+2.55+1.58+1.17*2+3.28+3.02+4.24+28.19+23.93+1.47+1.54)*J535</f>
        <v>3.9770000000000003</v>
      </c>
      <c r="L535" s="196"/>
      <c r="M535" s="196"/>
      <c r="R535" s="249"/>
      <c r="T535" s="45"/>
      <c r="V535" s="402"/>
      <c r="W535" s="42"/>
      <c r="X535" s="42"/>
    </row>
    <row r="536" spans="2:29" s="248" customFormat="1" ht="11.25" customHeight="1" outlineLevel="1">
      <c r="B536" s="247"/>
      <c r="E536" s="349" t="s">
        <v>1069</v>
      </c>
      <c r="F536" s="717" t="s">
        <v>110</v>
      </c>
      <c r="G536" s="718"/>
      <c r="H536" s="718"/>
      <c r="I536" s="718"/>
      <c r="J536" s="64">
        <v>7.0000000000000007E-2</v>
      </c>
      <c r="K536" s="350">
        <f>(27.54+2.07)*J536</f>
        <v>2.0727000000000002</v>
      </c>
      <c r="L536" s="196"/>
      <c r="M536" s="196"/>
      <c r="R536" s="249"/>
      <c r="T536" s="45"/>
      <c r="V536" s="402"/>
      <c r="W536" s="42"/>
      <c r="X536" s="42"/>
    </row>
    <row r="537" spans="2:29" s="248" customFormat="1" ht="11.25" customHeight="1" outlineLevel="1">
      <c r="B537" s="247"/>
      <c r="E537" s="349" t="s">
        <v>1071</v>
      </c>
      <c r="F537" s="717" t="s">
        <v>110</v>
      </c>
      <c r="G537" s="718"/>
      <c r="H537" s="718"/>
      <c r="I537" s="718"/>
      <c r="J537" s="64">
        <v>7.0000000000000007E-2</v>
      </c>
      <c r="K537" s="350">
        <f>2*1.33*J537</f>
        <v>0.18620000000000003</v>
      </c>
      <c r="L537" s="196"/>
      <c r="M537" s="196"/>
      <c r="R537" s="249"/>
      <c r="T537" s="45"/>
      <c r="V537" s="402"/>
      <c r="W537" s="42"/>
      <c r="X537" s="42"/>
    </row>
    <row r="538" spans="2:29" s="248" customFormat="1" ht="11.25" customHeight="1" outlineLevel="1">
      <c r="B538" s="247"/>
      <c r="E538" s="349" t="s">
        <v>913</v>
      </c>
      <c r="F538" s="717" t="s">
        <v>110</v>
      </c>
      <c r="G538" s="718"/>
      <c r="H538" s="718"/>
      <c r="I538" s="718"/>
      <c r="J538" s="64">
        <v>7.0000000000000007E-2</v>
      </c>
      <c r="K538" s="350">
        <f>14.25*J538</f>
        <v>0.99750000000000005</v>
      </c>
      <c r="L538" s="196"/>
      <c r="M538" s="196"/>
      <c r="R538" s="249"/>
      <c r="T538" s="45"/>
      <c r="V538" s="402"/>
      <c r="W538" s="42"/>
      <c r="X538" s="42"/>
    </row>
    <row r="539" spans="2:29" s="248" customFormat="1" ht="11.25" customHeight="1" outlineLevel="1">
      <c r="B539" s="247"/>
      <c r="E539" s="349" t="s">
        <v>914</v>
      </c>
      <c r="F539" s="717" t="s">
        <v>110</v>
      </c>
      <c r="G539" s="718"/>
      <c r="H539" s="718"/>
      <c r="I539" s="718"/>
      <c r="J539" s="64">
        <v>0.05</v>
      </c>
      <c r="K539" s="350">
        <f>6.91*J539</f>
        <v>0.34550000000000003</v>
      </c>
      <c r="L539" s="196"/>
      <c r="M539" s="196"/>
      <c r="R539" s="249"/>
      <c r="T539" s="45"/>
      <c r="V539" s="402"/>
      <c r="W539" s="42"/>
      <c r="X539" s="42"/>
    </row>
    <row r="540" spans="2:29" s="333" customFormat="1" outlineLevel="1">
      <c r="B540" s="362"/>
      <c r="E540" s="363" t="s">
        <v>2520</v>
      </c>
      <c r="F540" s="715" t="s">
        <v>2456</v>
      </c>
      <c r="G540" s="716">
        <f>(1.4+1.5)*2*(0.25*0.6)*12+0.35*0.45*2.3</f>
        <v>10.802249999999999</v>
      </c>
      <c r="H540" s="716">
        <f>(1.4+1.5)*2*(0.25*0.6)*12+0.35*0.45*2.3</f>
        <v>10.802249999999999</v>
      </c>
      <c r="I540" s="716">
        <f>(1.4+1.5)*2*(0.25*0.6)*12+0.35*0.45*2.3</f>
        <v>10.802249999999999</v>
      </c>
      <c r="J540" s="209">
        <v>-1</v>
      </c>
      <c r="K540" s="364">
        <f>K199*J540</f>
        <v>-3.3497000000000003</v>
      </c>
      <c r="L540" s="210"/>
      <c r="M540" s="210"/>
      <c r="R540" s="365"/>
      <c r="T540" s="211"/>
      <c r="V540" s="217"/>
      <c r="W540" s="217"/>
      <c r="X540" s="217"/>
      <c r="AC540" s="366"/>
    </row>
    <row r="541" spans="2:29" s="358" customFormat="1" outlineLevel="1">
      <c r="B541" s="353"/>
      <c r="C541" s="354"/>
      <c r="D541" s="354" t="s">
        <v>62</v>
      </c>
      <c r="E541" s="355">
        <v>631319232</v>
      </c>
      <c r="F541" s="727" t="s">
        <v>241</v>
      </c>
      <c r="G541" s="727"/>
      <c r="H541" s="727"/>
      <c r="I541" s="727"/>
      <c r="J541" s="215" t="s">
        <v>64</v>
      </c>
      <c r="K541" s="356">
        <f>SUM(K542:K543)</f>
        <v>16.858900000000002</v>
      </c>
      <c r="L541" s="728"/>
      <c r="M541" s="728"/>
      <c r="N541" s="729">
        <f>ROUND(L541*K541,2)</f>
        <v>0</v>
      </c>
      <c r="O541" s="729"/>
      <c r="P541" s="729"/>
      <c r="Q541" s="729"/>
      <c r="R541" s="357"/>
      <c r="T541" s="216"/>
      <c r="U541" s="416"/>
      <c r="V541" s="417"/>
      <c r="W541" s="418"/>
      <c r="X541" s="415"/>
    </row>
    <row r="542" spans="2:29" s="248" customFormat="1" ht="11.25" customHeight="1" outlineLevel="1">
      <c r="B542" s="247"/>
      <c r="E542" s="349" t="s">
        <v>2527</v>
      </c>
      <c r="F542" s="717"/>
      <c r="G542" s="718"/>
      <c r="H542" s="718"/>
      <c r="I542" s="718"/>
      <c r="J542" s="64"/>
      <c r="K542" s="350">
        <v>19.001600000000003</v>
      </c>
      <c r="L542" s="196"/>
      <c r="M542" s="196"/>
      <c r="R542" s="249"/>
      <c r="T542" s="45"/>
      <c r="V542" s="402"/>
      <c r="W542" s="42"/>
      <c r="X542" s="42"/>
    </row>
    <row r="543" spans="2:29" s="333" customFormat="1" outlineLevel="1">
      <c r="B543" s="362"/>
      <c r="E543" s="363" t="s">
        <v>2520</v>
      </c>
      <c r="F543" s="715" t="s">
        <v>2456</v>
      </c>
      <c r="G543" s="716">
        <f>(1.4+1.5)*2*(0.25*0.6)*12+0.35*0.45*2.3</f>
        <v>10.802249999999999</v>
      </c>
      <c r="H543" s="716">
        <f>(1.4+1.5)*2*(0.25*0.6)*12+0.35*0.45*2.3</f>
        <v>10.802249999999999</v>
      </c>
      <c r="I543" s="716">
        <f>(1.4+1.5)*2*(0.25*0.6)*12+0.35*0.45*2.3</f>
        <v>10.802249999999999</v>
      </c>
      <c r="J543" s="209">
        <v>-1</v>
      </c>
      <c r="K543" s="364">
        <f>K204*J543</f>
        <v>-2.1427</v>
      </c>
      <c r="L543" s="210"/>
      <c r="M543" s="210"/>
      <c r="R543" s="365"/>
      <c r="T543" s="211"/>
      <c r="V543" s="217"/>
      <c r="W543" s="217"/>
      <c r="X543" s="217"/>
      <c r="AC543" s="366"/>
    </row>
    <row r="544" spans="2:29" outlineLevel="1">
      <c r="B544" s="237"/>
      <c r="C544" s="345"/>
      <c r="D544" s="345" t="s">
        <v>62</v>
      </c>
      <c r="E544" s="346">
        <v>985113131</v>
      </c>
      <c r="F544" s="719" t="s">
        <v>1077</v>
      </c>
      <c r="G544" s="719"/>
      <c r="H544" s="719"/>
      <c r="I544" s="719"/>
      <c r="J544" s="63" t="s">
        <v>63</v>
      </c>
      <c r="K544" s="347">
        <f>SUM(K545:K546)</f>
        <v>34.295079999999992</v>
      </c>
      <c r="L544" s="726"/>
      <c r="M544" s="726"/>
      <c r="N544" s="720">
        <f>ROUND(L544*K544,2)</f>
        <v>0</v>
      </c>
      <c r="O544" s="720"/>
      <c r="P544" s="720"/>
      <c r="Q544" s="720"/>
      <c r="R544" s="238"/>
      <c r="T544" s="216"/>
      <c r="U544" s="416"/>
      <c r="V544" s="417"/>
      <c r="W544" s="418"/>
    </row>
    <row r="545" spans="2:29" s="248" customFormat="1" outlineLevel="1">
      <c r="B545" s="247"/>
      <c r="E545" s="349" t="s">
        <v>1074</v>
      </c>
      <c r="F545" s="717" t="s">
        <v>110</v>
      </c>
      <c r="G545" s="718"/>
      <c r="H545" s="718"/>
      <c r="I545" s="718"/>
      <c r="J545" s="64"/>
      <c r="K545" s="350">
        <f>12.87</f>
        <v>12.87</v>
      </c>
      <c r="L545" s="196"/>
      <c r="M545" s="196"/>
      <c r="R545" s="249"/>
      <c r="T545" s="45"/>
      <c r="V545" s="402"/>
      <c r="W545" s="42"/>
      <c r="X545" s="42"/>
    </row>
    <row r="546" spans="2:29" s="248" customFormat="1" outlineLevel="1">
      <c r="B546" s="247"/>
      <c r="E546" s="349" t="s">
        <v>1078</v>
      </c>
      <c r="F546" s="717" t="s">
        <v>187</v>
      </c>
      <c r="G546" s="718"/>
      <c r="H546" s="718"/>
      <c r="I546" s="718"/>
      <c r="J546" s="64"/>
      <c r="K546" s="350">
        <f>K470</f>
        <v>21.425079999999994</v>
      </c>
      <c r="L546" s="196"/>
      <c r="M546" s="196"/>
      <c r="R546" s="249"/>
      <c r="T546" s="45"/>
      <c r="V546" s="402"/>
      <c r="W546" s="42"/>
      <c r="X546" s="42"/>
    </row>
    <row r="547" spans="2:29" s="358" customFormat="1" outlineLevel="1">
      <c r="B547" s="353"/>
      <c r="C547" s="354"/>
      <c r="D547" s="354" t="s">
        <v>62</v>
      </c>
      <c r="E547" s="355">
        <v>631362021</v>
      </c>
      <c r="F547" s="727" t="s">
        <v>409</v>
      </c>
      <c r="G547" s="727"/>
      <c r="H547" s="727"/>
      <c r="I547" s="727"/>
      <c r="J547" s="215" t="s">
        <v>66</v>
      </c>
      <c r="K547" s="356">
        <f>SUM(K548:K553)</f>
        <v>0.18007200000000001</v>
      </c>
      <c r="L547" s="728"/>
      <c r="M547" s="728"/>
      <c r="N547" s="729">
        <f>ROUND(L547*K547,2)</f>
        <v>0</v>
      </c>
      <c r="O547" s="729"/>
      <c r="P547" s="729"/>
      <c r="Q547" s="729"/>
      <c r="R547" s="357"/>
      <c r="T547" s="216"/>
      <c r="U547" s="416"/>
      <c r="V547" s="417"/>
      <c r="W547" s="418"/>
      <c r="X547" s="415"/>
    </row>
    <row r="548" spans="2:29" s="248" customFormat="1" ht="11.25" customHeight="1" outlineLevel="1">
      <c r="B548" s="247"/>
      <c r="E548" s="349" t="s">
        <v>912</v>
      </c>
      <c r="F548" s="717" t="s">
        <v>110</v>
      </c>
      <c r="G548" s="718"/>
      <c r="H548" s="718"/>
      <c r="I548" s="718"/>
      <c r="J548" s="64">
        <v>3.5999999999999999E-3</v>
      </c>
      <c r="K548" s="350">
        <f>(4.24+1.81)*J548</f>
        <v>2.1780000000000001E-2</v>
      </c>
      <c r="L548" s="196"/>
      <c r="M548" s="196"/>
      <c r="R548" s="249"/>
      <c r="T548" s="45"/>
      <c r="V548" s="402"/>
      <c r="W548" s="42"/>
      <c r="X548" s="42"/>
    </row>
    <row r="549" spans="2:29" s="248" customFormat="1" ht="11.25" customHeight="1" outlineLevel="1">
      <c r="B549" s="247"/>
      <c r="E549" s="349" t="s">
        <v>1070</v>
      </c>
      <c r="F549" s="717" t="s">
        <v>110</v>
      </c>
      <c r="G549" s="718"/>
      <c r="H549" s="718"/>
      <c r="I549" s="718"/>
      <c r="J549" s="64">
        <v>3.5999999999999999E-3</v>
      </c>
      <c r="K549" s="350">
        <f>(3.03+4.4+7.62+6.73+2.36)*J549</f>
        <v>8.6903999999999995E-2</v>
      </c>
      <c r="L549" s="196"/>
      <c r="M549" s="196"/>
      <c r="R549" s="249"/>
      <c r="T549" s="45"/>
      <c r="V549" s="402"/>
      <c r="W549" s="42"/>
      <c r="X549" s="42"/>
    </row>
    <row r="550" spans="2:29" s="248" customFormat="1" ht="11.25" customHeight="1" outlineLevel="1">
      <c r="B550" s="247"/>
      <c r="E550" s="349" t="s">
        <v>1072</v>
      </c>
      <c r="F550" s="717" t="s">
        <v>110</v>
      </c>
      <c r="G550" s="718"/>
      <c r="H550" s="718"/>
      <c r="I550" s="718"/>
      <c r="J550" s="64">
        <v>3.5999999999999999E-3</v>
      </c>
      <c r="K550" s="350">
        <f>(4.39+1.6+1.63+1.58+2.1+5.77+2.26+1.87)*J550</f>
        <v>7.6319999999999999E-2</v>
      </c>
      <c r="L550" s="196"/>
      <c r="M550" s="196"/>
      <c r="R550" s="249"/>
      <c r="T550" s="45"/>
      <c r="V550" s="402"/>
      <c r="W550" s="42"/>
      <c r="X550" s="42"/>
    </row>
    <row r="551" spans="2:29" s="248" customFormat="1" ht="11.25" customHeight="1" outlineLevel="1">
      <c r="B551" s="247"/>
      <c r="E551" s="349" t="s">
        <v>1073</v>
      </c>
      <c r="F551" s="717" t="s">
        <v>110</v>
      </c>
      <c r="G551" s="718"/>
      <c r="H551" s="718"/>
      <c r="I551" s="718"/>
      <c r="J551" s="64">
        <v>3.5999999999999999E-3</v>
      </c>
      <c r="K551" s="350">
        <f>9.9*J551</f>
        <v>3.5639999999999998E-2</v>
      </c>
      <c r="L551" s="196"/>
      <c r="M551" s="196"/>
      <c r="R551" s="249"/>
      <c r="T551" s="45"/>
      <c r="V551" s="402"/>
      <c r="W551" s="42"/>
      <c r="X551" s="42"/>
    </row>
    <row r="552" spans="2:29" s="248" customFormat="1" ht="11.25" customHeight="1" outlineLevel="1">
      <c r="B552" s="247"/>
      <c r="E552" s="349" t="s">
        <v>1074</v>
      </c>
      <c r="F552" s="717" t="s">
        <v>110</v>
      </c>
      <c r="G552" s="718"/>
      <c r="H552" s="718"/>
      <c r="I552" s="718"/>
      <c r="J552" s="64">
        <v>3.5999999999999999E-3</v>
      </c>
      <c r="K552" s="350">
        <f>12.87*J552</f>
        <v>4.6331999999999998E-2</v>
      </c>
      <c r="L552" s="196"/>
      <c r="M552" s="196"/>
      <c r="R552" s="249"/>
      <c r="T552" s="45"/>
      <c r="V552" s="402"/>
      <c r="W552" s="42"/>
      <c r="X552" s="42"/>
    </row>
    <row r="553" spans="2:29" s="333" customFormat="1" outlineLevel="1">
      <c r="B553" s="362"/>
      <c r="E553" s="363" t="s">
        <v>2520</v>
      </c>
      <c r="F553" s="715" t="s">
        <v>2456</v>
      </c>
      <c r="G553" s="716">
        <f>(1.4+1.5)*2*(0.25*0.6)*12+0.35*0.45*2.3</f>
        <v>10.802249999999999</v>
      </c>
      <c r="H553" s="716">
        <f>(1.4+1.5)*2*(0.25*0.6)*12+0.35*0.45*2.3</f>
        <v>10.802249999999999</v>
      </c>
      <c r="I553" s="716">
        <f>(1.4+1.5)*2*(0.25*0.6)*12+0.35*0.45*2.3</f>
        <v>10.802249999999999</v>
      </c>
      <c r="J553" s="209">
        <v>-1</v>
      </c>
      <c r="K553" s="364">
        <f>K206*J553</f>
        <v>-8.6903999999999995E-2</v>
      </c>
      <c r="L553" s="210"/>
      <c r="M553" s="210"/>
      <c r="R553" s="365"/>
      <c r="T553" s="211"/>
      <c r="V553" s="217"/>
      <c r="W553" s="217"/>
      <c r="X553" s="217"/>
      <c r="AC553" s="366"/>
    </row>
    <row r="554" spans="2:29" s="341" customFormat="1" ht="12.75">
      <c r="B554" s="340"/>
      <c r="C554" s="344"/>
      <c r="D554" s="344" t="s">
        <v>98</v>
      </c>
      <c r="E554" s="344"/>
      <c r="F554" s="344"/>
      <c r="G554" s="344"/>
      <c r="H554" s="344"/>
      <c r="I554" s="344"/>
      <c r="J554" s="61"/>
      <c r="K554" s="344"/>
      <c r="L554" s="72"/>
      <c r="M554" s="72"/>
      <c r="N554" s="734">
        <f>SUM(N555:Q556)</f>
        <v>0</v>
      </c>
      <c r="O554" s="734"/>
      <c r="P554" s="734"/>
      <c r="Q554" s="734"/>
      <c r="R554" s="342"/>
      <c r="T554" s="45">
        <f>SUM(N554:Q556)/2</f>
        <v>0</v>
      </c>
      <c r="U554" s="248"/>
      <c r="V554" s="398"/>
      <c r="W554" s="399"/>
      <c r="X554" s="399"/>
    </row>
    <row r="555" spans="2:29" s="358" customFormat="1" outlineLevel="1">
      <c r="B555" s="353"/>
      <c r="C555" s="354"/>
      <c r="D555" s="354" t="s">
        <v>62</v>
      </c>
      <c r="E555" s="355">
        <v>629991011</v>
      </c>
      <c r="F555" s="727" t="s">
        <v>159</v>
      </c>
      <c r="G555" s="727"/>
      <c r="H555" s="727"/>
      <c r="I555" s="727"/>
      <c r="J555" s="215" t="s">
        <v>63</v>
      </c>
      <c r="K555" s="356">
        <f>SUM(K556:K557)</f>
        <v>191.73200000000003</v>
      </c>
      <c r="L555" s="728"/>
      <c r="M555" s="728"/>
      <c r="N555" s="729">
        <f>ROUND(L555*K555,2)</f>
        <v>0</v>
      </c>
      <c r="O555" s="729"/>
      <c r="P555" s="729"/>
      <c r="Q555" s="729"/>
      <c r="R555" s="357"/>
      <c r="T555" s="216"/>
      <c r="U555" s="359"/>
      <c r="V555" s="414"/>
      <c r="W555" s="415"/>
      <c r="X555" s="415"/>
    </row>
    <row r="556" spans="2:29" s="248" customFormat="1" ht="48.75" customHeight="1" outlineLevel="1">
      <c r="B556" s="247"/>
      <c r="E556" s="349" t="s">
        <v>160</v>
      </c>
      <c r="F556" s="717" t="s">
        <v>1079</v>
      </c>
      <c r="G556" s="718" t="e">
        <f>(2.85*2.05+1.6*2.3+1.7*2.05+1.6*2.05+2.23*1.65+3.06*2.45+1.6*2.91+3.06*2.45+2.26*2.25+6.23*3+1*1.67*3+1.06*1.7+1.16*1.7+1.1*1.7+1.25*1.85*4+0.65*1.8*2+1.17*1.8+1*1.37*4+1*1.87+1.06*1.8*7)*F556</f>
        <v>#VALUE!</v>
      </c>
      <c r="H556" s="718" t="e">
        <f>(2.85*2.05+1.6*2.3+1.7*2.05+1.6*2.05+2.23*1.65+3.06*2.45+1.6*2.91+3.06*2.45+2.26*2.25+6.23*3+1*1.67*3+1.06*1.7+1.16*1.7+1.1*1.7+1.25*1.85*4+0.65*1.8*2+1.17*1.8+1*1.37*4+1*1.87+1.06*1.8*7)*G556</f>
        <v>#VALUE!</v>
      </c>
      <c r="I556" s="718" t="e">
        <f>(2.85*2.05+1.6*2.3+1.7*2.05+1.6*2.05+2.23*1.65+3.06*2.45+1.6*2.91+3.06*2.45+2.26*2.25+6.23*3+1*1.67*3+1.06*1.7+1.16*1.7+1.1*1.7+1.25*1.85*4+0.65*1.8*2+1.17*1.8+1*1.37*4+1*1.87+1.06*1.8*7)*H556</f>
        <v>#VALUE!</v>
      </c>
      <c r="J556" s="64">
        <v>2</v>
      </c>
      <c r="K556" s="350">
        <f>(2.85*2.05+1.6*2.3+1.7*2.05+1.6*2.05+2.23*1.65+3.06*2.45+1.6*2.91+3.06*2.45+2.26*2.25+6.23*3+1*1.67*3+1.06*1.7+1.16*1.7+1.1*1.7+1.25*1.85*4+0.65*1.8*2+1.17*1.8+1*1.37*4+1*1.87+1.06*1.8*7)*J556</f>
        <v>216.89600000000002</v>
      </c>
      <c r="L556" s="196"/>
      <c r="M556" s="196"/>
      <c r="R556" s="249"/>
      <c r="T556" s="45"/>
      <c r="V556" s="402"/>
      <c r="W556" s="42"/>
      <c r="X556" s="42"/>
    </row>
    <row r="557" spans="2:29" s="333" customFormat="1" outlineLevel="1">
      <c r="B557" s="362"/>
      <c r="E557" s="363" t="s">
        <v>2520</v>
      </c>
      <c r="F557" s="715" t="s">
        <v>2456</v>
      </c>
      <c r="G557" s="716">
        <f>(1.4+1.5)*2*(0.25*0.6)*12+0.35*0.45*2.3</f>
        <v>10.802249999999999</v>
      </c>
      <c r="H557" s="716">
        <f>(1.4+1.5)*2*(0.25*0.6)*12+0.35*0.45*2.3</f>
        <v>10.802249999999999</v>
      </c>
      <c r="I557" s="716">
        <f>(1.4+1.5)*2*(0.25*0.6)*12+0.35*0.45*2.3</f>
        <v>10.802249999999999</v>
      </c>
      <c r="J557" s="209">
        <v>-1</v>
      </c>
      <c r="K557" s="364">
        <f>K209*J557</f>
        <v>-25.164000000000001</v>
      </c>
      <c r="L557" s="210"/>
      <c r="M557" s="210"/>
      <c r="R557" s="365"/>
      <c r="T557" s="211"/>
      <c r="V557" s="217"/>
      <c r="W557" s="217"/>
      <c r="X557" s="217"/>
      <c r="AC557" s="366"/>
    </row>
    <row r="558" spans="2:29" s="341" customFormat="1" ht="12.75">
      <c r="B558" s="340"/>
      <c r="C558" s="344"/>
      <c r="D558" s="344" t="s">
        <v>74</v>
      </c>
      <c r="E558" s="344"/>
      <c r="F558" s="344"/>
      <c r="G558" s="344"/>
      <c r="H558" s="344"/>
      <c r="I558" s="344"/>
      <c r="J558" s="61"/>
      <c r="K558" s="344"/>
      <c r="L558" s="72"/>
      <c r="M558" s="72"/>
      <c r="N558" s="734">
        <f>SUM(N559:Q571)</f>
        <v>0</v>
      </c>
      <c r="O558" s="734"/>
      <c r="P558" s="734"/>
      <c r="Q558" s="734"/>
      <c r="R558" s="342"/>
      <c r="T558" s="45">
        <f>SUM(N558:Q571)/2</f>
        <v>0</v>
      </c>
      <c r="U558" s="248"/>
      <c r="V558" s="398"/>
      <c r="W558" s="399"/>
      <c r="X558" s="399"/>
    </row>
    <row r="559" spans="2:29" s="358" customFormat="1" outlineLevel="1">
      <c r="B559" s="353"/>
      <c r="C559" s="354"/>
      <c r="D559" s="354" t="s">
        <v>62</v>
      </c>
      <c r="E559" s="355">
        <v>949101111</v>
      </c>
      <c r="F559" s="727" t="s">
        <v>161</v>
      </c>
      <c r="G559" s="727"/>
      <c r="H559" s="727"/>
      <c r="I559" s="727"/>
      <c r="J559" s="215" t="s">
        <v>63</v>
      </c>
      <c r="K559" s="356">
        <f>SUM(K560:K561)</f>
        <v>803.81999999999982</v>
      </c>
      <c r="L559" s="728"/>
      <c r="M559" s="728"/>
      <c r="N559" s="729">
        <f>ROUND(L559*K559,2)</f>
        <v>0</v>
      </c>
      <c r="O559" s="729"/>
      <c r="P559" s="729"/>
      <c r="Q559" s="729"/>
      <c r="R559" s="357"/>
      <c r="T559" s="216"/>
      <c r="U559" s="416"/>
      <c r="V559" s="414"/>
      <c r="W559" s="415"/>
      <c r="X559" s="415"/>
    </row>
    <row r="560" spans="2:29" s="248" customFormat="1" ht="22.5" outlineLevel="1">
      <c r="B560" s="247"/>
      <c r="E560" s="349" t="s">
        <v>162</v>
      </c>
      <c r="F560" s="717"/>
      <c r="G560" s="718"/>
      <c r="H560" s="718"/>
      <c r="I560" s="718"/>
      <c r="J560" s="64"/>
      <c r="K560" s="350">
        <f>286.4+281.2+9.9+256.93</f>
        <v>834.42999999999984</v>
      </c>
      <c r="L560" s="196"/>
      <c r="M560" s="196"/>
      <c r="R560" s="249"/>
      <c r="T560" s="45"/>
      <c r="V560" s="402"/>
      <c r="W560" s="42"/>
      <c r="X560" s="42"/>
    </row>
    <row r="561" spans="2:29" s="333" customFormat="1" outlineLevel="1">
      <c r="B561" s="362"/>
      <c r="E561" s="363" t="s">
        <v>2520</v>
      </c>
      <c r="F561" s="715" t="s">
        <v>2456</v>
      </c>
      <c r="G561" s="716">
        <f>(1.4+1.5)*2*(0.25*0.6)*12+0.35*0.45*2.3</f>
        <v>10.802249999999999</v>
      </c>
      <c r="H561" s="716">
        <f>(1.4+1.5)*2*(0.25*0.6)*12+0.35*0.45*2.3</f>
        <v>10.802249999999999</v>
      </c>
      <c r="I561" s="716">
        <f>(1.4+1.5)*2*(0.25*0.6)*12+0.35*0.45*2.3</f>
        <v>10.802249999999999</v>
      </c>
      <c r="J561" s="209">
        <v>-1</v>
      </c>
      <c r="K561" s="364">
        <f>K212*J561</f>
        <v>-30.61</v>
      </c>
      <c r="L561" s="210"/>
      <c r="M561" s="210"/>
      <c r="R561" s="365"/>
      <c r="T561" s="211"/>
      <c r="V561" s="217"/>
      <c r="W561" s="217"/>
      <c r="X561" s="217"/>
      <c r="AC561" s="366"/>
    </row>
    <row r="562" spans="2:29" s="424" customFormat="1" outlineLevel="1">
      <c r="B562" s="419"/>
      <c r="C562" s="420"/>
      <c r="D562" s="420" t="s">
        <v>62</v>
      </c>
      <c r="E562" s="421">
        <v>941311111</v>
      </c>
      <c r="F562" s="784" t="s">
        <v>111</v>
      </c>
      <c r="G562" s="784"/>
      <c r="H562" s="784"/>
      <c r="I562" s="784"/>
      <c r="J562" s="231" t="s">
        <v>63</v>
      </c>
      <c r="K562" s="422">
        <f>SUM(K563:K563)</f>
        <v>668.85</v>
      </c>
      <c r="L562" s="785"/>
      <c r="M562" s="785"/>
      <c r="N562" s="786">
        <f>ROUND(L562*K562,2)</f>
        <v>0</v>
      </c>
      <c r="O562" s="786"/>
      <c r="P562" s="786"/>
      <c r="Q562" s="786"/>
      <c r="R562" s="423"/>
      <c r="T562" s="232"/>
      <c r="U562" s="425"/>
      <c r="V562" s="426"/>
      <c r="W562" s="427"/>
      <c r="X562" s="427"/>
    </row>
    <row r="563" spans="2:29" s="248" customFormat="1" outlineLevel="1">
      <c r="B563" s="247"/>
      <c r="E563" s="349" t="s">
        <v>122</v>
      </c>
      <c r="F563" s="717" t="s">
        <v>187</v>
      </c>
      <c r="G563" s="718" t="e">
        <f>42*F563</f>
        <v>#VALUE!</v>
      </c>
      <c r="H563" s="718" t="e">
        <f>42*G563</f>
        <v>#VALUE!</v>
      </c>
      <c r="I563" s="718" t="e">
        <f>42*H563</f>
        <v>#VALUE!</v>
      </c>
      <c r="J563" s="64"/>
      <c r="K563" s="350">
        <f>K487</f>
        <v>668.85</v>
      </c>
      <c r="L563" s="196"/>
      <c r="M563" s="196"/>
      <c r="R563" s="249"/>
      <c r="T563" s="45"/>
      <c r="V563" s="402"/>
      <c r="W563" s="42"/>
      <c r="X563" s="42"/>
    </row>
    <row r="564" spans="2:29" ht="27" customHeight="1" outlineLevel="1">
      <c r="B564" s="237"/>
      <c r="C564" s="345"/>
      <c r="D564" s="345" t="s">
        <v>62</v>
      </c>
      <c r="E564" s="346">
        <v>941311211</v>
      </c>
      <c r="F564" s="719" t="s">
        <v>112</v>
      </c>
      <c r="G564" s="719"/>
      <c r="H564" s="719"/>
      <c r="I564" s="719"/>
      <c r="J564" s="63" t="s">
        <v>63</v>
      </c>
      <c r="K564" s="347">
        <f>K565</f>
        <v>40131</v>
      </c>
      <c r="L564" s="726"/>
      <c r="M564" s="726"/>
      <c r="N564" s="720">
        <f>ROUND(L564*K564,2)</f>
        <v>0</v>
      </c>
      <c r="O564" s="720"/>
      <c r="P564" s="720"/>
      <c r="Q564" s="720"/>
      <c r="R564" s="238"/>
      <c r="T564" s="45"/>
    </row>
    <row r="565" spans="2:29" s="248" customFormat="1" outlineLevel="1">
      <c r="B565" s="247"/>
      <c r="E565" s="349" t="s">
        <v>0</v>
      </c>
      <c r="F565" s="717" t="s">
        <v>2299</v>
      </c>
      <c r="G565" s="718"/>
      <c r="H565" s="718"/>
      <c r="I565" s="718"/>
      <c r="J565" s="64">
        <v>60</v>
      </c>
      <c r="K565" s="350">
        <f>K562*J565</f>
        <v>40131</v>
      </c>
      <c r="L565" s="196"/>
      <c r="M565" s="196"/>
      <c r="R565" s="249"/>
      <c r="T565" s="45"/>
      <c r="V565" s="402"/>
      <c r="W565" s="42"/>
      <c r="X565" s="42"/>
    </row>
    <row r="566" spans="2:29" outlineLevel="1">
      <c r="B566" s="237"/>
      <c r="C566" s="345"/>
      <c r="D566" s="345" t="s">
        <v>62</v>
      </c>
      <c r="E566" s="346" t="s">
        <v>84</v>
      </c>
      <c r="F566" s="719" t="s">
        <v>85</v>
      </c>
      <c r="G566" s="719"/>
      <c r="H566" s="719"/>
      <c r="I566" s="719"/>
      <c r="J566" s="63" t="s">
        <v>63</v>
      </c>
      <c r="K566" s="347">
        <f>K567</f>
        <v>668.85</v>
      </c>
      <c r="L566" s="726"/>
      <c r="M566" s="726"/>
      <c r="N566" s="720">
        <f>ROUND(L566*K566,2)</f>
        <v>0</v>
      </c>
      <c r="O566" s="720"/>
      <c r="P566" s="720"/>
      <c r="Q566" s="720"/>
      <c r="R566" s="238"/>
      <c r="T566" s="45"/>
    </row>
    <row r="567" spans="2:29" s="248" customFormat="1" outlineLevel="1">
      <c r="B567" s="247"/>
      <c r="E567" s="349" t="s">
        <v>0</v>
      </c>
      <c r="F567" s="717" t="s">
        <v>187</v>
      </c>
      <c r="G567" s="718"/>
      <c r="H567" s="718"/>
      <c r="I567" s="718"/>
      <c r="J567" s="64"/>
      <c r="K567" s="350">
        <f>K562</f>
        <v>668.85</v>
      </c>
      <c r="L567" s="196"/>
      <c r="M567" s="196"/>
      <c r="R567" s="249"/>
      <c r="T567" s="45"/>
      <c r="V567" s="402"/>
      <c r="W567" s="42"/>
      <c r="X567" s="42"/>
    </row>
    <row r="568" spans="2:29" outlineLevel="1">
      <c r="B568" s="237"/>
      <c r="C568" s="345"/>
      <c r="D568" s="345" t="s">
        <v>62</v>
      </c>
      <c r="E568" s="346" t="s">
        <v>86</v>
      </c>
      <c r="F568" s="719" t="s">
        <v>87</v>
      </c>
      <c r="G568" s="719"/>
      <c r="H568" s="719"/>
      <c r="I568" s="719"/>
      <c r="J568" s="63" t="s">
        <v>63</v>
      </c>
      <c r="K568" s="347">
        <f>K569</f>
        <v>40131</v>
      </c>
      <c r="L568" s="726"/>
      <c r="M568" s="726"/>
      <c r="N568" s="720">
        <f>ROUND(L568*K568,2)</f>
        <v>0</v>
      </c>
      <c r="O568" s="720"/>
      <c r="P568" s="720"/>
      <c r="Q568" s="720"/>
      <c r="R568" s="238"/>
      <c r="T568" s="45"/>
    </row>
    <row r="569" spans="2:29" s="248" customFormat="1" ht="11.25" customHeight="1" outlineLevel="1">
      <c r="B569" s="247"/>
      <c r="E569" s="349" t="s">
        <v>0</v>
      </c>
      <c r="F569" s="717" t="s">
        <v>2299</v>
      </c>
      <c r="G569" s="718"/>
      <c r="H569" s="718"/>
      <c r="I569" s="718"/>
      <c r="J569" s="64">
        <v>60</v>
      </c>
      <c r="K569" s="350">
        <f>K566*J569</f>
        <v>40131</v>
      </c>
      <c r="L569" s="196"/>
      <c r="M569" s="196"/>
      <c r="R569" s="249"/>
      <c r="T569" s="45"/>
      <c r="V569" s="402"/>
      <c r="W569" s="42"/>
      <c r="X569" s="42"/>
    </row>
    <row r="570" spans="2:29" ht="27" customHeight="1" outlineLevel="1">
      <c r="B570" s="237"/>
      <c r="C570" s="345"/>
      <c r="D570" s="345" t="s">
        <v>62</v>
      </c>
      <c r="E570" s="346">
        <v>943311811</v>
      </c>
      <c r="F570" s="719" t="s">
        <v>113</v>
      </c>
      <c r="G570" s="719"/>
      <c r="H570" s="719"/>
      <c r="I570" s="719"/>
      <c r="J570" s="63" t="s">
        <v>63</v>
      </c>
      <c r="K570" s="347">
        <f>K559</f>
        <v>803.81999999999982</v>
      </c>
      <c r="L570" s="726"/>
      <c r="M570" s="726"/>
      <c r="N570" s="720">
        <f>ROUND(L570*K570,2)</f>
        <v>0</v>
      </c>
      <c r="O570" s="720"/>
      <c r="P570" s="720"/>
      <c r="Q570" s="720"/>
      <c r="R570" s="238"/>
      <c r="T570" s="45"/>
    </row>
    <row r="571" spans="2:29" outlineLevel="1">
      <c r="B571" s="237"/>
      <c r="C571" s="345"/>
      <c r="D571" s="345" t="s">
        <v>62</v>
      </c>
      <c r="E571" s="346" t="s">
        <v>88</v>
      </c>
      <c r="F571" s="719" t="s">
        <v>89</v>
      </c>
      <c r="G571" s="719"/>
      <c r="H571" s="719"/>
      <c r="I571" s="719"/>
      <c r="J571" s="63" t="s">
        <v>63</v>
      </c>
      <c r="K571" s="347">
        <f>K566</f>
        <v>668.85</v>
      </c>
      <c r="L571" s="726"/>
      <c r="M571" s="726"/>
      <c r="N571" s="720">
        <f>ROUND(L571*K571,2)</f>
        <v>0</v>
      </c>
      <c r="O571" s="720"/>
      <c r="P571" s="720"/>
      <c r="Q571" s="720"/>
      <c r="R571" s="238"/>
      <c r="T571" s="45"/>
    </row>
    <row r="572" spans="2:29" s="341" customFormat="1" ht="12.75">
      <c r="B572" s="340"/>
      <c r="C572" s="344"/>
      <c r="D572" s="344" t="s">
        <v>75</v>
      </c>
      <c r="E572" s="344"/>
      <c r="F572" s="344"/>
      <c r="G572" s="344"/>
      <c r="H572" s="344"/>
      <c r="I572" s="344"/>
      <c r="J572" s="61"/>
      <c r="K572" s="344"/>
      <c r="L572" s="72"/>
      <c r="M572" s="72"/>
      <c r="N572" s="734">
        <f>SUM(N573)</f>
        <v>0</v>
      </c>
      <c r="O572" s="734"/>
      <c r="P572" s="734"/>
      <c r="Q572" s="734"/>
      <c r="R572" s="342"/>
      <c r="T572" s="45">
        <f>SUM(N572:Q573)/2</f>
        <v>0</v>
      </c>
      <c r="U572" s="248"/>
      <c r="V572" s="398"/>
      <c r="W572" s="399"/>
      <c r="X572" s="399"/>
    </row>
    <row r="573" spans="2:29" ht="11.25" customHeight="1" outlineLevel="1">
      <c r="B573" s="237"/>
      <c r="C573" s="345"/>
      <c r="D573" s="345" t="s">
        <v>69</v>
      </c>
      <c r="E573" s="346" t="s">
        <v>196</v>
      </c>
      <c r="F573" s="719" t="s">
        <v>1110</v>
      </c>
      <c r="G573" s="719"/>
      <c r="H573" s="719"/>
      <c r="I573" s="719"/>
      <c r="J573" s="63" t="s">
        <v>70</v>
      </c>
      <c r="K573" s="66">
        <f>N311+N332+N368+N418+N471+N554+N558</f>
        <v>0</v>
      </c>
      <c r="L573" s="759"/>
      <c r="M573" s="759"/>
      <c r="N573" s="720">
        <f>ROUND(L573*K573,2)</f>
        <v>0</v>
      </c>
      <c r="O573" s="720"/>
      <c r="P573" s="720"/>
      <c r="Q573" s="720"/>
      <c r="R573" s="238"/>
      <c r="T573" s="45"/>
    </row>
    <row r="574" spans="2:29" s="341" customFormat="1" ht="15">
      <c r="B574" s="340"/>
      <c r="C574" s="323"/>
      <c r="D574" s="323" t="s">
        <v>48</v>
      </c>
      <c r="E574" s="323"/>
      <c r="F574" s="323"/>
      <c r="G574" s="323"/>
      <c r="H574" s="323"/>
      <c r="I574" s="323"/>
      <c r="J574" s="60"/>
      <c r="K574" s="323"/>
      <c r="L574" s="73"/>
      <c r="M574" s="73"/>
      <c r="N574" s="767">
        <f>N575+N608+N641+N745+N825+N867+N884+N904+N938+N945+N959+N979+N990+N1000+N1017</f>
        <v>0</v>
      </c>
      <c r="O574" s="767"/>
      <c r="P574" s="767"/>
      <c r="Q574" s="767"/>
      <c r="R574" s="342"/>
      <c r="T574" s="45">
        <f>SUM(N574:Q1031)/3</f>
        <v>0</v>
      </c>
      <c r="U574" s="248"/>
      <c r="V574" s="398"/>
      <c r="W574" s="399"/>
      <c r="X574" s="399"/>
    </row>
    <row r="575" spans="2:29" s="341" customFormat="1" ht="12.75" collapsed="1">
      <c r="B575" s="340"/>
      <c r="C575" s="344"/>
      <c r="D575" s="344" t="s">
        <v>49</v>
      </c>
      <c r="E575" s="344"/>
      <c r="F575" s="344"/>
      <c r="G575" s="344"/>
      <c r="H575" s="344"/>
      <c r="I575" s="344"/>
      <c r="J575" s="61"/>
      <c r="K575" s="344"/>
      <c r="L575" s="72"/>
      <c r="M575" s="72"/>
      <c r="N575" s="734">
        <f>SUM(N576:Q607)</f>
        <v>0</v>
      </c>
      <c r="O575" s="734"/>
      <c r="P575" s="734"/>
      <c r="Q575" s="734"/>
      <c r="R575" s="342"/>
      <c r="T575" s="45">
        <f>SUM(N575:Q607)/2</f>
        <v>0</v>
      </c>
      <c r="U575" s="248"/>
      <c r="V575" s="398"/>
      <c r="W575" s="399"/>
      <c r="X575" s="399"/>
    </row>
    <row r="576" spans="2:29" outlineLevel="1">
      <c r="B576" s="237"/>
      <c r="C576" s="345"/>
      <c r="D576" s="345" t="s">
        <v>62</v>
      </c>
      <c r="E576" s="346">
        <v>711111001</v>
      </c>
      <c r="F576" s="719" t="s">
        <v>76</v>
      </c>
      <c r="G576" s="719"/>
      <c r="H576" s="719"/>
      <c r="I576" s="719"/>
      <c r="J576" s="63" t="s">
        <v>63</v>
      </c>
      <c r="K576" s="347">
        <f>SUM(K577:K579)</f>
        <v>27.21</v>
      </c>
      <c r="L576" s="726"/>
      <c r="M576" s="726"/>
      <c r="N576" s="720">
        <f>ROUND(L576*K576,2)</f>
        <v>0</v>
      </c>
      <c r="O576" s="720"/>
      <c r="P576" s="720"/>
      <c r="Q576" s="720"/>
      <c r="R576" s="238"/>
      <c r="T576" s="45"/>
    </row>
    <row r="577" spans="2:24" s="248" customFormat="1" ht="11.25" customHeight="1" outlineLevel="1">
      <c r="B577" s="247"/>
      <c r="E577" s="349" t="s">
        <v>912</v>
      </c>
      <c r="F577" s="717" t="s">
        <v>110</v>
      </c>
      <c r="G577" s="718"/>
      <c r="H577" s="718"/>
      <c r="I577" s="718"/>
      <c r="J577" s="64">
        <v>1</v>
      </c>
      <c r="K577" s="350">
        <f>4.24+1.81</f>
        <v>6.0500000000000007</v>
      </c>
      <c r="L577" s="196"/>
      <c r="M577" s="196"/>
      <c r="R577" s="249"/>
      <c r="T577" s="45"/>
      <c r="V577" s="402"/>
      <c r="W577" s="42"/>
      <c r="X577" s="42"/>
    </row>
    <row r="578" spans="2:24" s="248" customFormat="1" ht="11.25" customHeight="1" outlineLevel="1">
      <c r="B578" s="247"/>
      <c r="E578" s="349" t="s">
        <v>913</v>
      </c>
      <c r="F578" s="717" t="s">
        <v>110</v>
      </c>
      <c r="G578" s="718"/>
      <c r="H578" s="718"/>
      <c r="I578" s="718"/>
      <c r="J578" s="64">
        <v>2</v>
      </c>
      <c r="K578" s="350">
        <f>14.25</f>
        <v>14.25</v>
      </c>
      <c r="L578" s="196"/>
      <c r="M578" s="196"/>
      <c r="R578" s="249"/>
      <c r="T578" s="45"/>
      <c r="V578" s="402"/>
      <c r="W578" s="42"/>
      <c r="X578" s="42"/>
    </row>
    <row r="579" spans="2:24" s="248" customFormat="1" ht="11.25" customHeight="1" outlineLevel="1">
      <c r="B579" s="247"/>
      <c r="E579" s="349" t="s">
        <v>914</v>
      </c>
      <c r="F579" s="717" t="s">
        <v>110</v>
      </c>
      <c r="G579" s="718"/>
      <c r="H579" s="718"/>
      <c r="I579" s="718"/>
      <c r="J579" s="64">
        <v>2</v>
      </c>
      <c r="K579" s="350">
        <f>6.91</f>
        <v>6.91</v>
      </c>
      <c r="L579" s="196"/>
      <c r="M579" s="196"/>
      <c r="R579" s="249"/>
      <c r="T579" s="45"/>
      <c r="V579" s="402"/>
      <c r="W579" s="42"/>
      <c r="X579" s="42"/>
    </row>
    <row r="580" spans="2:24" outlineLevel="1">
      <c r="B580" s="237"/>
      <c r="C580" s="345"/>
      <c r="D580" s="345" t="s">
        <v>62</v>
      </c>
      <c r="E580" s="346">
        <v>711112001</v>
      </c>
      <c r="F580" s="719" t="s">
        <v>915</v>
      </c>
      <c r="G580" s="719"/>
      <c r="H580" s="719"/>
      <c r="I580" s="719"/>
      <c r="J580" s="63" t="s">
        <v>63</v>
      </c>
      <c r="K580" s="347">
        <f>SUM(K581:K581)</f>
        <v>19.257000000000001</v>
      </c>
      <c r="L580" s="726"/>
      <c r="M580" s="726"/>
      <c r="N580" s="720">
        <f>ROUND(L580*K580,2)</f>
        <v>0</v>
      </c>
      <c r="O580" s="720"/>
      <c r="P580" s="720"/>
      <c r="Q580" s="720"/>
      <c r="R580" s="238"/>
      <c r="T580" s="45"/>
    </row>
    <row r="581" spans="2:24" s="248" customFormat="1" ht="11.25" customHeight="1" outlineLevel="1">
      <c r="B581" s="247"/>
      <c r="E581" s="349" t="s">
        <v>916</v>
      </c>
      <c r="F581" s="717" t="s">
        <v>918</v>
      </c>
      <c r="G581" s="718" t="e">
        <f>13.755*(0.75+0.35+0.3)*F581</f>
        <v>#VALUE!</v>
      </c>
      <c r="H581" s="718" t="e">
        <f>13.755*(0.75+0.35+0.3)*G581</f>
        <v>#VALUE!</v>
      </c>
      <c r="I581" s="718" t="e">
        <f>13.755*(0.75+0.35+0.3)*H581</f>
        <v>#VALUE!</v>
      </c>
      <c r="J581" s="64">
        <v>1</v>
      </c>
      <c r="K581" s="350">
        <f>13.755*(0.75+0.35+0.3)*J581</f>
        <v>19.257000000000001</v>
      </c>
      <c r="L581" s="196"/>
      <c r="M581" s="196"/>
      <c r="R581" s="249"/>
      <c r="T581" s="45"/>
      <c r="V581" s="402"/>
      <c r="W581" s="42"/>
      <c r="X581" s="42"/>
    </row>
    <row r="582" spans="2:24" outlineLevel="1">
      <c r="B582" s="237"/>
      <c r="C582" s="383"/>
      <c r="D582" s="383" t="s">
        <v>65</v>
      </c>
      <c r="E582" s="384" t="s">
        <v>77</v>
      </c>
      <c r="F582" s="751" t="s">
        <v>78</v>
      </c>
      <c r="G582" s="751"/>
      <c r="H582" s="751"/>
      <c r="I582" s="751"/>
      <c r="J582" s="65" t="s">
        <v>66</v>
      </c>
      <c r="K582" s="385">
        <f>(K576+K580)*0.0003</f>
        <v>1.3940099999999999E-2</v>
      </c>
      <c r="L582" s="726"/>
      <c r="M582" s="726"/>
      <c r="N582" s="752">
        <f>ROUND(L582*K582,2)</f>
        <v>0</v>
      </c>
      <c r="O582" s="720"/>
      <c r="P582" s="720"/>
      <c r="Q582" s="720"/>
      <c r="R582" s="238"/>
      <c r="T582" s="45"/>
    </row>
    <row r="583" spans="2:24" outlineLevel="1">
      <c r="B583" s="237"/>
      <c r="C583" s="345"/>
      <c r="D583" s="345" t="s">
        <v>62</v>
      </c>
      <c r="E583" s="346" t="s">
        <v>80</v>
      </c>
      <c r="F583" s="719" t="s">
        <v>79</v>
      </c>
      <c r="G583" s="719"/>
      <c r="H583" s="719"/>
      <c r="I583" s="719"/>
      <c r="J583" s="63" t="s">
        <v>63</v>
      </c>
      <c r="K583" s="347">
        <f>SUM(K584:K584)</f>
        <v>48.37</v>
      </c>
      <c r="L583" s="726"/>
      <c r="M583" s="726"/>
      <c r="N583" s="720">
        <f>ROUND(L583*K583,2)</f>
        <v>0</v>
      </c>
      <c r="O583" s="720"/>
      <c r="P583" s="720"/>
      <c r="Q583" s="720"/>
      <c r="R583" s="238"/>
      <c r="T583" s="45"/>
    </row>
    <row r="584" spans="2:24" s="248" customFormat="1" outlineLevel="1">
      <c r="B584" s="247"/>
      <c r="E584" s="349"/>
      <c r="F584" s="717" t="s">
        <v>2300</v>
      </c>
      <c r="G584" s="718"/>
      <c r="H584" s="718"/>
      <c r="I584" s="718"/>
      <c r="J584" s="64"/>
      <c r="K584" s="350">
        <f>K577*J577+K578*J578+K579*J579</f>
        <v>48.37</v>
      </c>
      <c r="L584" s="196"/>
      <c r="M584" s="196"/>
      <c r="R584" s="249"/>
      <c r="T584" s="45"/>
      <c r="V584" s="402"/>
      <c r="W584" s="42"/>
      <c r="X584" s="42"/>
    </row>
    <row r="585" spans="2:24" outlineLevel="1">
      <c r="B585" s="237"/>
      <c r="C585" s="345"/>
      <c r="D585" s="345" t="s">
        <v>62</v>
      </c>
      <c r="E585" s="346">
        <v>711142559</v>
      </c>
      <c r="F585" s="719" t="s">
        <v>917</v>
      </c>
      <c r="G585" s="719"/>
      <c r="H585" s="719"/>
      <c r="I585" s="719"/>
      <c r="J585" s="63" t="s">
        <v>63</v>
      </c>
      <c r="K585" s="347">
        <f>SUM(K586:K586)</f>
        <v>38.514000000000003</v>
      </c>
      <c r="L585" s="726"/>
      <c r="M585" s="726"/>
      <c r="N585" s="720">
        <f>ROUND(L585*K585,2)</f>
        <v>0</v>
      </c>
      <c r="O585" s="720"/>
      <c r="P585" s="720"/>
      <c r="Q585" s="720"/>
      <c r="R585" s="238"/>
      <c r="T585" s="45"/>
    </row>
    <row r="586" spans="2:24" s="248" customFormat="1" ht="11.25" customHeight="1" outlineLevel="1">
      <c r="B586" s="247"/>
      <c r="E586" s="349" t="s">
        <v>916</v>
      </c>
      <c r="F586" s="717" t="s">
        <v>918</v>
      </c>
      <c r="G586" s="718" t="e">
        <f>13.755*(0.75+0.35+0.3)*F586</f>
        <v>#VALUE!</v>
      </c>
      <c r="H586" s="718" t="e">
        <f>13.755*(0.75+0.35+0.3)*G586</f>
        <v>#VALUE!</v>
      </c>
      <c r="I586" s="718" t="e">
        <f>13.755*(0.75+0.35+0.3)*H586</f>
        <v>#VALUE!</v>
      </c>
      <c r="J586" s="64">
        <v>2</v>
      </c>
      <c r="K586" s="350">
        <f>13.755*(0.75+0.35+0.3)*J586</f>
        <v>38.514000000000003</v>
      </c>
      <c r="L586" s="196"/>
      <c r="M586" s="196"/>
      <c r="R586" s="249"/>
      <c r="T586" s="45"/>
      <c r="V586" s="402"/>
      <c r="W586" s="42"/>
      <c r="X586" s="42"/>
    </row>
    <row r="587" spans="2:24" ht="28.5" customHeight="1" outlineLevel="1">
      <c r="B587" s="237"/>
      <c r="C587" s="383"/>
      <c r="D587" s="383" t="s">
        <v>65</v>
      </c>
      <c r="E587" s="384">
        <v>62853004</v>
      </c>
      <c r="F587" s="751" t="s">
        <v>201</v>
      </c>
      <c r="G587" s="751"/>
      <c r="H587" s="751"/>
      <c r="I587" s="751"/>
      <c r="J587" s="65" t="s">
        <v>63</v>
      </c>
      <c r="K587" s="385">
        <f>SUM(K588:K590)</f>
        <v>104.2608</v>
      </c>
      <c r="L587" s="726"/>
      <c r="M587" s="726"/>
      <c r="N587" s="752">
        <f>ROUND(L587*K587,2)</f>
        <v>0</v>
      </c>
      <c r="O587" s="720"/>
      <c r="P587" s="720"/>
      <c r="Q587" s="720"/>
      <c r="R587" s="238"/>
      <c r="T587" s="45"/>
    </row>
    <row r="588" spans="2:24" s="429" customFormat="1" outlineLevel="1">
      <c r="B588" s="428"/>
      <c r="E588" s="430" t="s">
        <v>200</v>
      </c>
      <c r="F588" s="782" t="s">
        <v>163</v>
      </c>
      <c r="G588" s="783"/>
      <c r="H588" s="783"/>
      <c r="I588" s="783"/>
      <c r="J588" s="140"/>
      <c r="K588" s="431"/>
      <c r="L588" s="199"/>
      <c r="M588" s="199"/>
      <c r="R588" s="432"/>
      <c r="T588" s="70"/>
      <c r="V588" s="433"/>
      <c r="W588" s="434"/>
      <c r="X588" s="434"/>
    </row>
    <row r="589" spans="2:24" s="248" customFormat="1" outlineLevel="1">
      <c r="B589" s="247"/>
      <c r="E589" s="349" t="s">
        <v>2301</v>
      </c>
      <c r="F589" s="717" t="s">
        <v>158</v>
      </c>
      <c r="G589" s="718"/>
      <c r="H589" s="718"/>
      <c r="I589" s="718"/>
      <c r="J589" s="64"/>
      <c r="K589" s="350">
        <f>K583+K585</f>
        <v>86.884</v>
      </c>
      <c r="L589" s="196"/>
      <c r="M589" s="196"/>
      <c r="R589" s="249"/>
      <c r="T589" s="45"/>
      <c r="V589" s="402"/>
      <c r="W589" s="42"/>
      <c r="X589" s="42"/>
    </row>
    <row r="590" spans="2:24" s="248" customFormat="1" outlineLevel="1">
      <c r="B590" s="247"/>
      <c r="E590" s="349" t="s">
        <v>164</v>
      </c>
      <c r="F590" s="717"/>
      <c r="G590" s="718"/>
      <c r="H590" s="718"/>
      <c r="I590" s="718"/>
      <c r="J590" s="141">
        <v>0.2</v>
      </c>
      <c r="K590" s="350">
        <f>SUM(K589:K589)*J590</f>
        <v>17.376799999999999</v>
      </c>
      <c r="L590" s="196"/>
      <c r="M590" s="196"/>
      <c r="R590" s="249"/>
      <c r="T590" s="45"/>
      <c r="V590" s="402"/>
      <c r="W590" s="42"/>
      <c r="X590" s="42"/>
    </row>
    <row r="591" spans="2:24" outlineLevel="1">
      <c r="B591" s="237"/>
      <c r="C591" s="345"/>
      <c r="D591" s="345" t="s">
        <v>62</v>
      </c>
      <c r="E591" s="346">
        <v>711161273</v>
      </c>
      <c r="F591" s="760" t="s">
        <v>165</v>
      </c>
      <c r="G591" s="761"/>
      <c r="H591" s="761"/>
      <c r="I591" s="762"/>
      <c r="J591" s="63" t="s">
        <v>63</v>
      </c>
      <c r="K591" s="347">
        <f>SUM(K592:K592)</f>
        <v>19.257000000000001</v>
      </c>
      <c r="L591" s="726"/>
      <c r="M591" s="726"/>
      <c r="N591" s="763">
        <f>ROUND(L591*K591,2)</f>
        <v>0</v>
      </c>
      <c r="O591" s="764"/>
      <c r="P591" s="764"/>
      <c r="Q591" s="765"/>
      <c r="R591" s="238"/>
      <c r="T591" s="45"/>
    </row>
    <row r="592" spans="2:24" s="248" customFormat="1" ht="11.25" customHeight="1" outlineLevel="1">
      <c r="B592" s="247"/>
      <c r="E592" s="349" t="s">
        <v>916</v>
      </c>
      <c r="F592" s="717" t="s">
        <v>918</v>
      </c>
      <c r="G592" s="718" t="e">
        <f>13.755*(0.75+0.35+0.3)*F592</f>
        <v>#VALUE!</v>
      </c>
      <c r="H592" s="718" t="e">
        <f>13.755*(0.75+0.35+0.3)*G592</f>
        <v>#VALUE!</v>
      </c>
      <c r="I592" s="718" t="e">
        <f>13.755*(0.75+0.35+0.3)*H592</f>
        <v>#VALUE!</v>
      </c>
      <c r="J592" s="64">
        <v>1</v>
      </c>
      <c r="K592" s="350">
        <f>13.755*(0.75+0.35+0.3)*J592</f>
        <v>19.257000000000001</v>
      </c>
      <c r="L592" s="196"/>
      <c r="M592" s="196"/>
      <c r="R592" s="249"/>
      <c r="T592" s="45"/>
      <c r="V592" s="402"/>
      <c r="W592" s="42"/>
      <c r="X592" s="42"/>
    </row>
    <row r="593" spans="2:29" ht="28.5" customHeight="1" outlineLevel="1">
      <c r="B593" s="237"/>
      <c r="C593" s="383"/>
      <c r="D593" s="383" t="s">
        <v>65</v>
      </c>
      <c r="E593" s="384">
        <v>28323006</v>
      </c>
      <c r="F593" s="776" t="s">
        <v>166</v>
      </c>
      <c r="G593" s="777"/>
      <c r="H593" s="777"/>
      <c r="I593" s="778"/>
      <c r="J593" s="65" t="s">
        <v>63</v>
      </c>
      <c r="K593" s="385">
        <f>K591*1.2</f>
        <v>23.1084</v>
      </c>
      <c r="L593" s="726"/>
      <c r="M593" s="726"/>
      <c r="N593" s="779">
        <f>ROUND(L593*K593,2)</f>
        <v>0</v>
      </c>
      <c r="O593" s="780"/>
      <c r="P593" s="780"/>
      <c r="Q593" s="781"/>
      <c r="R593" s="238"/>
      <c r="T593" s="45"/>
    </row>
    <row r="594" spans="2:29" s="358" customFormat="1" ht="27" customHeight="1" outlineLevel="1">
      <c r="B594" s="353"/>
      <c r="C594" s="354"/>
      <c r="D594" s="354" t="s">
        <v>62</v>
      </c>
      <c r="E594" s="355">
        <v>711191201</v>
      </c>
      <c r="F594" s="727" t="s">
        <v>411</v>
      </c>
      <c r="G594" s="727"/>
      <c r="H594" s="727"/>
      <c r="I594" s="727"/>
      <c r="J594" s="215" t="s">
        <v>63</v>
      </c>
      <c r="K594" s="356">
        <f>SUM(K595:K598)</f>
        <v>52.88</v>
      </c>
      <c r="L594" s="728"/>
      <c r="M594" s="728"/>
      <c r="N594" s="729">
        <f>ROUND(L594*K594,2)</f>
        <v>0</v>
      </c>
      <c r="O594" s="729"/>
      <c r="P594" s="729"/>
      <c r="Q594" s="729"/>
      <c r="R594" s="357"/>
      <c r="T594" s="216"/>
      <c r="U594" s="359"/>
      <c r="V594" s="414"/>
      <c r="W594" s="415"/>
      <c r="X594" s="415"/>
    </row>
    <row r="595" spans="2:29" s="248" customFormat="1" ht="11.25" customHeight="1" outlineLevel="1">
      <c r="B595" s="247"/>
      <c r="E595" s="349" t="s">
        <v>1070</v>
      </c>
      <c r="F595" s="717" t="s">
        <v>110</v>
      </c>
      <c r="G595" s="718"/>
      <c r="H595" s="718"/>
      <c r="I595" s="718"/>
      <c r="J595" s="64"/>
      <c r="K595" s="350">
        <f>(3.03+4.4+7.62+6.73+2.36)</f>
        <v>24.14</v>
      </c>
      <c r="L595" s="196"/>
      <c r="M595" s="196"/>
      <c r="R595" s="249"/>
      <c r="T595" s="45"/>
      <c r="V595" s="402"/>
      <c r="W595" s="42"/>
      <c r="X595" s="42"/>
    </row>
    <row r="596" spans="2:29" s="248" customFormat="1" ht="11.25" customHeight="1" outlineLevel="1">
      <c r="B596" s="247"/>
      <c r="E596" s="349" t="s">
        <v>1072</v>
      </c>
      <c r="F596" s="717" t="s">
        <v>110</v>
      </c>
      <c r="G596" s="718"/>
      <c r="H596" s="718"/>
      <c r="I596" s="718"/>
      <c r="J596" s="64"/>
      <c r="K596" s="350">
        <f>(4.39+1.6+1.63+1.58+2.1+5.77+2.26+1.87)</f>
        <v>21.2</v>
      </c>
      <c r="L596" s="196"/>
      <c r="M596" s="196"/>
      <c r="R596" s="249"/>
      <c r="T596" s="45"/>
      <c r="V596" s="402"/>
      <c r="W596" s="42"/>
      <c r="X596" s="42"/>
    </row>
    <row r="597" spans="2:29" s="248" customFormat="1" ht="11.25" customHeight="1" outlineLevel="1">
      <c r="B597" s="247"/>
      <c r="E597" s="349" t="s">
        <v>1073</v>
      </c>
      <c r="F597" s="717" t="s">
        <v>110</v>
      </c>
      <c r="G597" s="718"/>
      <c r="H597" s="718"/>
      <c r="I597" s="718"/>
      <c r="J597" s="64"/>
      <c r="K597" s="350">
        <f>9.9</f>
        <v>9.9</v>
      </c>
      <c r="L597" s="196"/>
      <c r="M597" s="196"/>
      <c r="R597" s="249"/>
      <c r="T597" s="45"/>
      <c r="V597" s="402"/>
      <c r="W597" s="42"/>
      <c r="X597" s="42"/>
    </row>
    <row r="598" spans="2:29" s="333" customFormat="1" outlineLevel="1">
      <c r="B598" s="362"/>
      <c r="E598" s="363" t="s">
        <v>2520</v>
      </c>
      <c r="F598" s="715" t="s">
        <v>2456</v>
      </c>
      <c r="G598" s="716">
        <f>(1.4+1.5)*2*(0.25*0.6)*12+0.35*0.45*2.3</f>
        <v>10.802249999999999</v>
      </c>
      <c r="H598" s="716">
        <f>(1.4+1.5)*2*(0.25*0.6)*12+0.35*0.45*2.3</f>
        <v>10.802249999999999</v>
      </c>
      <c r="I598" s="716">
        <f>(1.4+1.5)*2*(0.25*0.6)*12+0.35*0.45*2.3</f>
        <v>10.802249999999999</v>
      </c>
      <c r="J598" s="209">
        <v>-1</v>
      </c>
      <c r="K598" s="364">
        <f>K228*J598</f>
        <v>-2.36</v>
      </c>
      <c r="L598" s="210"/>
      <c r="M598" s="210"/>
      <c r="R598" s="365"/>
      <c r="T598" s="211"/>
      <c r="V598" s="217"/>
      <c r="W598" s="217"/>
      <c r="X598" s="217"/>
      <c r="AC598" s="366"/>
    </row>
    <row r="599" spans="2:29" ht="11.25" customHeight="1" outlineLevel="1">
      <c r="B599" s="237"/>
      <c r="C599" s="383"/>
      <c r="D599" s="383" t="s">
        <v>65</v>
      </c>
      <c r="E599" s="384" t="s">
        <v>710</v>
      </c>
      <c r="F599" s="751" t="s">
        <v>711</v>
      </c>
      <c r="G599" s="751"/>
      <c r="H599" s="751"/>
      <c r="I599" s="751"/>
      <c r="J599" s="65" t="s">
        <v>412</v>
      </c>
      <c r="K599" s="385">
        <f>SUM(K600:K600)</f>
        <v>209.40480000000002</v>
      </c>
      <c r="L599" s="726"/>
      <c r="M599" s="726"/>
      <c r="N599" s="752">
        <f>ROUND(L599*K599,2)</f>
        <v>0</v>
      </c>
      <c r="O599" s="720"/>
      <c r="P599" s="720"/>
      <c r="Q599" s="720"/>
      <c r="R599" s="238"/>
      <c r="T599" s="45"/>
    </row>
    <row r="600" spans="2:29" s="248" customFormat="1" outlineLevel="1">
      <c r="B600" s="247"/>
      <c r="E600" s="349" t="s">
        <v>700</v>
      </c>
      <c r="F600" s="717" t="s">
        <v>703</v>
      </c>
      <c r="G600" s="718"/>
      <c r="H600" s="718"/>
      <c r="I600" s="718"/>
      <c r="J600" s="64">
        <f>1.8*2*1.1</f>
        <v>3.9600000000000004</v>
      </c>
      <c r="K600" s="350">
        <f>(K594)*J600</f>
        <v>209.40480000000002</v>
      </c>
      <c r="L600" s="196"/>
      <c r="M600" s="196"/>
      <c r="R600" s="249"/>
      <c r="T600" s="45"/>
      <c r="V600" s="402"/>
      <c r="W600" s="42"/>
      <c r="X600" s="42"/>
    </row>
    <row r="601" spans="2:29" outlineLevel="1">
      <c r="B601" s="237"/>
      <c r="C601" s="345"/>
      <c r="D601" s="345" t="s">
        <v>62</v>
      </c>
      <c r="E601" s="346" t="s">
        <v>202</v>
      </c>
      <c r="F601" s="760" t="s">
        <v>203</v>
      </c>
      <c r="G601" s="761"/>
      <c r="H601" s="761"/>
      <c r="I601" s="762"/>
      <c r="J601" s="63" t="s">
        <v>63</v>
      </c>
      <c r="K601" s="347">
        <f>SUM(K602:K604)</f>
        <v>27.57</v>
      </c>
      <c r="L601" s="726"/>
      <c r="M601" s="726"/>
      <c r="N601" s="763">
        <f>ROUND(L601*K601,2)</f>
        <v>0</v>
      </c>
      <c r="O601" s="764"/>
      <c r="P601" s="764"/>
      <c r="Q601" s="765"/>
      <c r="R601" s="238"/>
      <c r="T601" s="248"/>
    </row>
    <row r="602" spans="2:29" s="248" customFormat="1" outlineLevel="1">
      <c r="B602" s="247"/>
      <c r="E602" s="349" t="s">
        <v>913</v>
      </c>
      <c r="F602" s="717" t="s">
        <v>110</v>
      </c>
      <c r="G602" s="718"/>
      <c r="H602" s="718"/>
      <c r="I602" s="718"/>
      <c r="J602" s="64">
        <v>2</v>
      </c>
      <c r="K602" s="350" t="s">
        <v>12</v>
      </c>
      <c r="L602" s="196"/>
      <c r="M602" s="196"/>
      <c r="R602" s="249"/>
      <c r="T602" s="45"/>
      <c r="V602" s="402"/>
      <c r="W602" s="42"/>
      <c r="X602" s="42"/>
    </row>
    <row r="603" spans="2:29" s="248" customFormat="1" outlineLevel="1">
      <c r="B603" s="247"/>
      <c r="E603" s="349" t="s">
        <v>914</v>
      </c>
      <c r="F603" s="717" t="s">
        <v>110</v>
      </c>
      <c r="G603" s="718"/>
      <c r="H603" s="718"/>
      <c r="I603" s="718"/>
      <c r="J603" s="64">
        <v>2</v>
      </c>
      <c r="K603" s="350">
        <f>6.91*J603</f>
        <v>13.82</v>
      </c>
      <c r="L603" s="196"/>
      <c r="M603" s="196"/>
      <c r="R603" s="249"/>
      <c r="T603" s="45"/>
      <c r="V603" s="402"/>
      <c r="W603" s="42"/>
      <c r="X603" s="42"/>
    </row>
    <row r="604" spans="2:29" s="248" customFormat="1" outlineLevel="1">
      <c r="B604" s="247"/>
      <c r="E604" s="349" t="s">
        <v>919</v>
      </c>
      <c r="F604" s="717" t="s">
        <v>110</v>
      </c>
      <c r="G604" s="718"/>
      <c r="H604" s="718"/>
      <c r="I604" s="718"/>
      <c r="J604" s="64">
        <v>2</v>
      </c>
      <c r="K604" s="350">
        <f>2.75*2.5*J604</f>
        <v>13.75</v>
      </c>
      <c r="L604" s="196"/>
      <c r="M604" s="196"/>
      <c r="R604" s="249"/>
      <c r="T604" s="45"/>
      <c r="V604" s="402"/>
      <c r="W604" s="42"/>
      <c r="X604" s="42"/>
    </row>
    <row r="605" spans="2:29" outlineLevel="1">
      <c r="B605" s="237"/>
      <c r="C605" s="383"/>
      <c r="D605" s="383" t="s">
        <v>65</v>
      </c>
      <c r="E605" s="384">
        <v>69311068</v>
      </c>
      <c r="F605" s="776" t="s">
        <v>118</v>
      </c>
      <c r="G605" s="777"/>
      <c r="H605" s="777"/>
      <c r="I605" s="778"/>
      <c r="J605" s="65" t="s">
        <v>63</v>
      </c>
      <c r="K605" s="385">
        <f>(K601)*1.2</f>
        <v>33.083999999999996</v>
      </c>
      <c r="L605" s="726"/>
      <c r="M605" s="726"/>
      <c r="N605" s="779">
        <f>ROUND(L605*K605,2)</f>
        <v>0</v>
      </c>
      <c r="O605" s="780"/>
      <c r="P605" s="780"/>
      <c r="Q605" s="781"/>
      <c r="R605" s="238"/>
      <c r="T605" s="45"/>
    </row>
    <row r="606" spans="2:29" outlineLevel="1">
      <c r="B606" s="237"/>
      <c r="C606" s="345"/>
      <c r="D606" s="345" t="s">
        <v>69</v>
      </c>
      <c r="E606" s="346" t="s">
        <v>115</v>
      </c>
      <c r="F606" s="719" t="s">
        <v>116</v>
      </c>
      <c r="G606" s="719"/>
      <c r="H606" s="719"/>
      <c r="I606" s="719"/>
      <c r="J606" s="63" t="s">
        <v>67</v>
      </c>
      <c r="K606" s="347">
        <v>12</v>
      </c>
      <c r="L606" s="726"/>
      <c r="M606" s="726"/>
      <c r="N606" s="720">
        <f>ROUND(L606*K606,2)</f>
        <v>0</v>
      </c>
      <c r="O606" s="720"/>
      <c r="P606" s="720"/>
      <c r="Q606" s="720"/>
      <c r="R606" s="238"/>
      <c r="T606" s="45"/>
    </row>
    <row r="607" spans="2:29" ht="29.25" customHeight="1" outlineLevel="1">
      <c r="B607" s="237"/>
      <c r="C607" s="345"/>
      <c r="D607" s="345" t="s">
        <v>62</v>
      </c>
      <c r="E607" s="346">
        <v>998711202</v>
      </c>
      <c r="F607" s="719" t="s">
        <v>1111</v>
      </c>
      <c r="G607" s="719"/>
      <c r="H607" s="719"/>
      <c r="I607" s="719"/>
      <c r="J607" s="63" t="s">
        <v>70</v>
      </c>
      <c r="K607" s="66">
        <f>SUM(N576:Q606)</f>
        <v>0</v>
      </c>
      <c r="L607" s="759"/>
      <c r="M607" s="759"/>
      <c r="N607" s="720">
        <f>ROUND(L607*K607,2)</f>
        <v>0</v>
      </c>
      <c r="O607" s="720"/>
      <c r="P607" s="720"/>
      <c r="Q607" s="720"/>
      <c r="R607" s="238"/>
      <c r="T607" s="45"/>
    </row>
    <row r="608" spans="2:29" s="341" customFormat="1" ht="12.75">
      <c r="B608" s="340"/>
      <c r="C608" s="344"/>
      <c r="D608" s="344" t="s">
        <v>99</v>
      </c>
      <c r="E608" s="344"/>
      <c r="F608" s="344"/>
      <c r="G608" s="344"/>
      <c r="H608" s="344"/>
      <c r="I608" s="344"/>
      <c r="J608" s="61"/>
      <c r="K608" s="344"/>
      <c r="L608" s="72"/>
      <c r="M608" s="72"/>
      <c r="N608" s="769">
        <f>SUM(N609:Q640)</f>
        <v>0</v>
      </c>
      <c r="O608" s="769"/>
      <c r="P608" s="769"/>
      <c r="Q608" s="769"/>
      <c r="R608" s="342"/>
      <c r="T608" s="45">
        <f>SUM(N608:Q640)/2</f>
        <v>0</v>
      </c>
      <c r="U608" s="248"/>
      <c r="V608" s="398"/>
      <c r="W608" s="399"/>
      <c r="X608" s="399"/>
    </row>
    <row r="609" spans="2:24" ht="27" customHeight="1" outlineLevel="1">
      <c r="B609" s="237"/>
      <c r="C609" s="345"/>
      <c r="D609" s="345" t="s">
        <v>62</v>
      </c>
      <c r="E609" s="346">
        <v>712311101</v>
      </c>
      <c r="F609" s="719" t="s">
        <v>420</v>
      </c>
      <c r="G609" s="719"/>
      <c r="H609" s="719"/>
      <c r="I609" s="719"/>
      <c r="J609" s="63" t="s">
        <v>63</v>
      </c>
      <c r="K609" s="347">
        <f>SUM(K610:K612)</f>
        <v>24.550699999999999</v>
      </c>
      <c r="L609" s="726"/>
      <c r="M609" s="726"/>
      <c r="N609" s="720">
        <f>ROUND(L609*K609,2)</f>
        <v>0</v>
      </c>
      <c r="O609" s="720"/>
      <c r="P609" s="720"/>
      <c r="Q609" s="720"/>
      <c r="R609" s="238"/>
      <c r="T609" s="45"/>
    </row>
    <row r="610" spans="2:24" s="248" customFormat="1" outlineLevel="1">
      <c r="B610" s="247"/>
      <c r="E610" s="349" t="s">
        <v>1074</v>
      </c>
      <c r="F610" s="717" t="s">
        <v>110</v>
      </c>
      <c r="G610" s="718"/>
      <c r="H610" s="718"/>
      <c r="I610" s="718"/>
      <c r="J610" s="64"/>
      <c r="K610" s="350">
        <f>12.87</f>
        <v>12.87</v>
      </c>
      <c r="L610" s="196"/>
      <c r="M610" s="196"/>
      <c r="R610" s="249"/>
      <c r="T610" s="45"/>
      <c r="V610" s="402"/>
      <c r="W610" s="42"/>
      <c r="X610" s="42"/>
    </row>
    <row r="611" spans="2:24" s="248" customFormat="1" outlineLevel="1">
      <c r="B611" s="247"/>
      <c r="E611" s="349" t="s">
        <v>1090</v>
      </c>
      <c r="F611" s="717" t="s">
        <v>1091</v>
      </c>
      <c r="G611" s="718">
        <f t="shared" ref="G611:I612" si="15">2.75*1.25+2.22*2.56+(2.56)*2*0.5</f>
        <v>11.6807</v>
      </c>
      <c r="H611" s="718">
        <f t="shared" si="15"/>
        <v>11.6807</v>
      </c>
      <c r="I611" s="718">
        <f t="shared" si="15"/>
        <v>11.6807</v>
      </c>
      <c r="J611" s="64"/>
      <c r="K611" s="350">
        <f>2.75*1.25</f>
        <v>3.4375</v>
      </c>
      <c r="L611" s="196"/>
      <c r="M611" s="196"/>
      <c r="R611" s="249"/>
      <c r="T611" s="45"/>
      <c r="V611" s="402"/>
      <c r="W611" s="42"/>
      <c r="X611" s="42"/>
    </row>
    <row r="612" spans="2:24" s="248" customFormat="1" outlineLevel="1">
      <c r="B612" s="247"/>
      <c r="E612" s="349" t="s">
        <v>1089</v>
      </c>
      <c r="F612" s="717" t="s">
        <v>1092</v>
      </c>
      <c r="G612" s="718">
        <f t="shared" si="15"/>
        <v>11.6807</v>
      </c>
      <c r="H612" s="718">
        <f t="shared" si="15"/>
        <v>11.6807</v>
      </c>
      <c r="I612" s="718">
        <f t="shared" si="15"/>
        <v>11.6807</v>
      </c>
      <c r="J612" s="64"/>
      <c r="K612" s="350">
        <f>2.22*2.56+(2.56)*2*0.5</f>
        <v>8.2431999999999999</v>
      </c>
      <c r="L612" s="196"/>
      <c r="M612" s="196"/>
      <c r="R612" s="249"/>
      <c r="T612" s="45"/>
      <c r="V612" s="402"/>
      <c r="W612" s="42"/>
      <c r="X612" s="42"/>
    </row>
    <row r="613" spans="2:24" outlineLevel="1">
      <c r="B613" s="237"/>
      <c r="C613" s="383"/>
      <c r="D613" s="383" t="s">
        <v>65</v>
      </c>
      <c r="E613" s="384" t="s">
        <v>77</v>
      </c>
      <c r="F613" s="751" t="s">
        <v>78</v>
      </c>
      <c r="G613" s="751"/>
      <c r="H613" s="751"/>
      <c r="I613" s="751"/>
      <c r="J613" s="65" t="s">
        <v>66</v>
      </c>
      <c r="K613" s="385">
        <f>(K609)*0.0003</f>
        <v>7.3652099999999988E-3</v>
      </c>
      <c r="L613" s="726"/>
      <c r="M613" s="726"/>
      <c r="N613" s="752">
        <f>ROUND(L613*K613,2)</f>
        <v>0</v>
      </c>
      <c r="O613" s="720"/>
      <c r="P613" s="720"/>
      <c r="Q613" s="720"/>
      <c r="R613" s="238"/>
      <c r="T613" s="45"/>
    </row>
    <row r="614" spans="2:24" outlineLevel="1">
      <c r="B614" s="237"/>
      <c r="C614" s="345"/>
      <c r="D614" s="345" t="s">
        <v>62</v>
      </c>
      <c r="E614" s="346">
        <v>712341559</v>
      </c>
      <c r="F614" s="760" t="s">
        <v>421</v>
      </c>
      <c r="G614" s="761"/>
      <c r="H614" s="761"/>
      <c r="I614" s="762"/>
      <c r="J614" s="63" t="s">
        <v>63</v>
      </c>
      <c r="K614" s="347">
        <f>K609</f>
        <v>24.550699999999999</v>
      </c>
      <c r="L614" s="726"/>
      <c r="M614" s="726"/>
      <c r="N614" s="763">
        <f>ROUND(L614*K614,2)</f>
        <v>0</v>
      </c>
      <c r="O614" s="764"/>
      <c r="P614" s="764"/>
      <c r="Q614" s="765"/>
      <c r="R614" s="238"/>
      <c r="T614" s="45"/>
    </row>
    <row r="615" spans="2:24" ht="28.5" customHeight="1" outlineLevel="1">
      <c r="B615" s="237"/>
      <c r="C615" s="383"/>
      <c r="D615" s="383" t="s">
        <v>65</v>
      </c>
      <c r="E615" s="384">
        <v>62853004</v>
      </c>
      <c r="F615" s="751" t="s">
        <v>201</v>
      </c>
      <c r="G615" s="751"/>
      <c r="H615" s="751"/>
      <c r="I615" s="751"/>
      <c r="J615" s="65" t="s">
        <v>63</v>
      </c>
      <c r="K615" s="385">
        <f>K614*1.2</f>
        <v>29.460839999999997</v>
      </c>
      <c r="L615" s="726"/>
      <c r="M615" s="726"/>
      <c r="N615" s="752">
        <f>ROUND(L615*K615,2)</f>
        <v>0</v>
      </c>
      <c r="O615" s="720"/>
      <c r="P615" s="720"/>
      <c r="Q615" s="720"/>
      <c r="R615" s="238"/>
      <c r="T615" s="45"/>
    </row>
    <row r="616" spans="2:24" outlineLevel="1">
      <c r="B616" s="237"/>
      <c r="C616" s="345"/>
      <c r="D616" s="345" t="s">
        <v>62</v>
      </c>
      <c r="E616" s="346">
        <v>712392171</v>
      </c>
      <c r="F616" s="719" t="s">
        <v>426</v>
      </c>
      <c r="G616" s="719"/>
      <c r="H616" s="719"/>
      <c r="I616" s="719"/>
      <c r="J616" s="63" t="s">
        <v>63</v>
      </c>
      <c r="K616" s="347">
        <f>SUM(K617:K619)</f>
        <v>36.231399999999994</v>
      </c>
      <c r="L616" s="726"/>
      <c r="M616" s="726"/>
      <c r="N616" s="720">
        <f>ROUND(L616*K616,2)</f>
        <v>0</v>
      </c>
      <c r="O616" s="720"/>
      <c r="P616" s="720"/>
      <c r="Q616" s="720"/>
      <c r="R616" s="238"/>
      <c r="T616" s="45"/>
    </row>
    <row r="617" spans="2:24" s="248" customFormat="1" outlineLevel="1">
      <c r="B617" s="247"/>
      <c r="E617" s="349" t="s">
        <v>1074</v>
      </c>
      <c r="F617" s="717" t="s">
        <v>110</v>
      </c>
      <c r="G617" s="718"/>
      <c r="H617" s="718"/>
      <c r="I617" s="718"/>
      <c r="J617" s="64"/>
      <c r="K617" s="350">
        <f>12.87</f>
        <v>12.87</v>
      </c>
      <c r="L617" s="196"/>
      <c r="M617" s="196"/>
      <c r="R617" s="249"/>
      <c r="T617" s="45"/>
      <c r="V617" s="402"/>
      <c r="W617" s="42"/>
      <c r="X617" s="42"/>
    </row>
    <row r="618" spans="2:24" s="248" customFormat="1" outlineLevel="1">
      <c r="B618" s="247"/>
      <c r="E618" s="349" t="s">
        <v>1090</v>
      </c>
      <c r="F618" s="717" t="s">
        <v>1091</v>
      </c>
      <c r="G618" s="718">
        <f t="shared" ref="G618:I619" si="16">2.75*1.25+2.22*2.56+(2.56)*2*0.5</f>
        <v>11.6807</v>
      </c>
      <c r="H618" s="718">
        <f t="shared" si="16"/>
        <v>11.6807</v>
      </c>
      <c r="I618" s="718">
        <f t="shared" si="16"/>
        <v>11.6807</v>
      </c>
      <c r="J618" s="248">
        <v>2</v>
      </c>
      <c r="K618" s="350">
        <f>2.75*1.25*J618</f>
        <v>6.875</v>
      </c>
      <c r="L618" s="196"/>
      <c r="M618" s="196"/>
      <c r="R618" s="249"/>
      <c r="T618" s="45"/>
      <c r="V618" s="402"/>
      <c r="W618" s="42"/>
      <c r="X618" s="42"/>
    </row>
    <row r="619" spans="2:24" s="248" customFormat="1" outlineLevel="1">
      <c r="B619" s="247"/>
      <c r="E619" s="349" t="s">
        <v>1089</v>
      </c>
      <c r="F619" s="717" t="s">
        <v>1092</v>
      </c>
      <c r="G619" s="718">
        <f t="shared" si="16"/>
        <v>11.6807</v>
      </c>
      <c r="H619" s="718">
        <f t="shared" si="16"/>
        <v>11.6807</v>
      </c>
      <c r="I619" s="718">
        <f t="shared" si="16"/>
        <v>11.6807</v>
      </c>
      <c r="J619" s="64">
        <v>2</v>
      </c>
      <c r="K619" s="350">
        <f>(2.22*2.56+(2.56)*2*0.5)*J619</f>
        <v>16.4864</v>
      </c>
      <c r="L619" s="196"/>
      <c r="M619" s="196"/>
      <c r="R619" s="249"/>
      <c r="T619" s="45"/>
      <c r="V619" s="402"/>
      <c r="W619" s="42"/>
      <c r="X619" s="42"/>
    </row>
    <row r="620" spans="2:24" ht="27" customHeight="1" outlineLevel="1">
      <c r="B620" s="237"/>
      <c r="C620" s="345"/>
      <c r="D620" s="345" t="s">
        <v>62</v>
      </c>
      <c r="E620" s="346">
        <v>712363001</v>
      </c>
      <c r="F620" s="719" t="s">
        <v>242</v>
      </c>
      <c r="G620" s="719"/>
      <c r="H620" s="719"/>
      <c r="I620" s="719"/>
      <c r="J620" s="63" t="s">
        <v>63</v>
      </c>
      <c r="K620" s="347">
        <f>SUM(K621:K621)</f>
        <v>36.231399999999994</v>
      </c>
      <c r="L620" s="726"/>
      <c r="M620" s="726"/>
      <c r="N620" s="720">
        <f>ROUND(L620*K620,2)</f>
        <v>0</v>
      </c>
      <c r="O620" s="720"/>
      <c r="P620" s="720"/>
      <c r="Q620" s="720"/>
      <c r="R620" s="238"/>
      <c r="T620" s="45"/>
    </row>
    <row r="621" spans="2:24" s="248" customFormat="1" outlineLevel="1">
      <c r="B621" s="247"/>
      <c r="E621" s="349"/>
      <c r="F621" s="717" t="s">
        <v>187</v>
      </c>
      <c r="G621" s="718">
        <f>1.865*7.425</f>
        <v>13.847624999999999</v>
      </c>
      <c r="H621" s="718">
        <f>1.865*7.425</f>
        <v>13.847624999999999</v>
      </c>
      <c r="I621" s="718">
        <f>1.865*7.425</f>
        <v>13.847624999999999</v>
      </c>
      <c r="J621" s="64"/>
      <c r="K621" s="350">
        <f>K616</f>
        <v>36.231399999999994</v>
      </c>
      <c r="L621" s="196"/>
      <c r="M621" s="196"/>
      <c r="R621" s="249"/>
      <c r="T621" s="45"/>
      <c r="V621" s="402"/>
      <c r="W621" s="42"/>
      <c r="X621" s="42"/>
    </row>
    <row r="622" spans="2:24" ht="27" customHeight="1" outlineLevel="1">
      <c r="B622" s="237"/>
      <c r="C622" s="345"/>
      <c r="D622" s="345" t="s">
        <v>62</v>
      </c>
      <c r="E622" s="346">
        <v>712363003</v>
      </c>
      <c r="F622" s="719" t="s">
        <v>243</v>
      </c>
      <c r="G622" s="719"/>
      <c r="H622" s="719"/>
      <c r="I622" s="719"/>
      <c r="J622" s="63" t="s">
        <v>68</v>
      </c>
      <c r="K622" s="347">
        <f>SUM(K623:K623)</f>
        <v>10.620000000000001</v>
      </c>
      <c r="L622" s="726"/>
      <c r="M622" s="726"/>
      <c r="N622" s="720">
        <f>ROUND(L622*K622,2)</f>
        <v>0</v>
      </c>
      <c r="O622" s="720"/>
      <c r="P622" s="720"/>
      <c r="Q622" s="720"/>
      <c r="R622" s="238"/>
      <c r="T622" s="45"/>
    </row>
    <row r="623" spans="2:24" s="248" customFormat="1" outlineLevel="1">
      <c r="B623" s="247"/>
      <c r="E623" s="349"/>
      <c r="F623" s="717" t="s">
        <v>1093</v>
      </c>
      <c r="G623" s="718">
        <f>2.75*2+2.56*2</f>
        <v>10.620000000000001</v>
      </c>
      <c r="H623" s="718">
        <f>2.75*2+2.56*2</f>
        <v>10.620000000000001</v>
      </c>
      <c r="I623" s="718">
        <f>2.75*2+2.56*2</f>
        <v>10.620000000000001</v>
      </c>
      <c r="J623" s="64"/>
      <c r="K623" s="350">
        <f>2.75*2+2.56*2</f>
        <v>10.620000000000001</v>
      </c>
      <c r="L623" s="196"/>
      <c r="M623" s="196"/>
      <c r="R623" s="249"/>
      <c r="T623" s="45"/>
      <c r="V623" s="402"/>
      <c r="W623" s="42"/>
      <c r="X623" s="42"/>
    </row>
    <row r="624" spans="2:24" ht="27" customHeight="1" outlineLevel="1">
      <c r="B624" s="237"/>
      <c r="C624" s="345"/>
      <c r="D624" s="345" t="s">
        <v>62</v>
      </c>
      <c r="E624" s="346">
        <v>712363122</v>
      </c>
      <c r="F624" s="719" t="s">
        <v>244</v>
      </c>
      <c r="G624" s="719"/>
      <c r="H624" s="719"/>
      <c r="I624" s="719"/>
      <c r="J624" s="63" t="s">
        <v>67</v>
      </c>
      <c r="K624" s="347">
        <f>SUM(K625:K625)</f>
        <v>6</v>
      </c>
      <c r="L624" s="726"/>
      <c r="M624" s="726"/>
      <c r="N624" s="720">
        <f>ROUND(L624*K624,2)</f>
        <v>0</v>
      </c>
      <c r="O624" s="720"/>
      <c r="P624" s="720"/>
      <c r="Q624" s="720"/>
      <c r="R624" s="238"/>
      <c r="T624" s="45"/>
    </row>
    <row r="625" spans="2:24" s="248" customFormat="1" outlineLevel="1">
      <c r="B625" s="247"/>
      <c r="E625" s="349"/>
      <c r="F625" s="717"/>
      <c r="G625" s="718"/>
      <c r="H625" s="718"/>
      <c r="I625" s="718"/>
      <c r="J625" s="64"/>
      <c r="K625" s="350">
        <v>6</v>
      </c>
      <c r="L625" s="196"/>
      <c r="M625" s="196"/>
      <c r="R625" s="249"/>
      <c r="T625" s="45"/>
      <c r="V625" s="402"/>
      <c r="W625" s="42"/>
      <c r="X625" s="42"/>
    </row>
    <row r="626" spans="2:24" ht="27" customHeight="1" outlineLevel="1">
      <c r="B626" s="237"/>
      <c r="C626" s="345"/>
      <c r="D626" s="345" t="s">
        <v>62</v>
      </c>
      <c r="E626" s="346">
        <v>712363352</v>
      </c>
      <c r="F626" s="719" t="s">
        <v>245</v>
      </c>
      <c r="G626" s="719"/>
      <c r="H626" s="719"/>
      <c r="I626" s="719"/>
      <c r="J626" s="63" t="s">
        <v>68</v>
      </c>
      <c r="K626" s="347">
        <f>SUM(K627:K627)</f>
        <v>5.12</v>
      </c>
      <c r="L626" s="726"/>
      <c r="M626" s="726"/>
      <c r="N626" s="720">
        <f>ROUND(L626*K626,2)</f>
        <v>0</v>
      </c>
      <c r="O626" s="720"/>
      <c r="P626" s="720"/>
      <c r="Q626" s="720"/>
      <c r="R626" s="238"/>
      <c r="T626" s="45"/>
    </row>
    <row r="627" spans="2:24" s="248" customFormat="1" outlineLevel="1">
      <c r="B627" s="247"/>
      <c r="E627" s="349"/>
      <c r="F627" s="717"/>
      <c r="G627" s="718"/>
      <c r="H627" s="718"/>
      <c r="I627" s="718"/>
      <c r="J627" s="64"/>
      <c r="K627" s="350">
        <f>2.56*2</f>
        <v>5.12</v>
      </c>
      <c r="L627" s="196"/>
      <c r="M627" s="196"/>
      <c r="R627" s="249"/>
      <c r="T627" s="45"/>
      <c r="V627" s="402"/>
      <c r="W627" s="42"/>
      <c r="X627" s="42"/>
    </row>
    <row r="628" spans="2:24" outlineLevel="1">
      <c r="B628" s="237"/>
      <c r="C628" s="383"/>
      <c r="D628" s="383" t="s">
        <v>65</v>
      </c>
      <c r="E628" s="384">
        <v>55344006</v>
      </c>
      <c r="F628" s="751" t="s">
        <v>247</v>
      </c>
      <c r="G628" s="751"/>
      <c r="H628" s="751"/>
      <c r="I628" s="751"/>
      <c r="J628" s="65" t="s">
        <v>68</v>
      </c>
      <c r="K628" s="385">
        <f>K626*1.1</f>
        <v>5.6320000000000006</v>
      </c>
      <c r="L628" s="726"/>
      <c r="M628" s="726"/>
      <c r="N628" s="752">
        <f>ROUND(L628*K628,2)</f>
        <v>0</v>
      </c>
      <c r="O628" s="720"/>
      <c r="P628" s="720"/>
      <c r="Q628" s="720"/>
      <c r="R628" s="238"/>
      <c r="T628" s="45"/>
    </row>
    <row r="629" spans="2:24" ht="27" customHeight="1" outlineLevel="1">
      <c r="B629" s="237"/>
      <c r="C629" s="345"/>
      <c r="D629" s="345" t="s">
        <v>62</v>
      </c>
      <c r="E629" s="346">
        <v>712363354</v>
      </c>
      <c r="F629" s="719" t="s">
        <v>246</v>
      </c>
      <c r="G629" s="719"/>
      <c r="H629" s="719"/>
      <c r="I629" s="719"/>
      <c r="J629" s="63" t="s">
        <v>68</v>
      </c>
      <c r="K629" s="347">
        <f>SUM(K630:K630)</f>
        <v>2.2200000000000002</v>
      </c>
      <c r="L629" s="726"/>
      <c r="M629" s="726"/>
      <c r="N629" s="720">
        <f>ROUND(L629*K629,2)</f>
        <v>0</v>
      </c>
      <c r="O629" s="720"/>
      <c r="P629" s="720"/>
      <c r="Q629" s="720"/>
      <c r="R629" s="238"/>
      <c r="T629" s="45"/>
    </row>
    <row r="630" spans="2:24" s="248" customFormat="1" outlineLevel="1">
      <c r="B630" s="247"/>
      <c r="E630" s="349"/>
      <c r="F630" s="717"/>
      <c r="G630" s="718"/>
      <c r="H630" s="718"/>
      <c r="I630" s="718"/>
      <c r="J630" s="64"/>
      <c r="K630" s="350">
        <f>2.22</f>
        <v>2.2200000000000002</v>
      </c>
      <c r="L630" s="196"/>
      <c r="M630" s="196"/>
      <c r="R630" s="249"/>
      <c r="T630" s="45"/>
      <c r="V630" s="402"/>
      <c r="W630" s="42"/>
      <c r="X630" s="42"/>
    </row>
    <row r="631" spans="2:24" outlineLevel="1">
      <c r="B631" s="237"/>
      <c r="C631" s="383"/>
      <c r="D631" s="383" t="s">
        <v>65</v>
      </c>
      <c r="E631" s="384">
        <v>55344004</v>
      </c>
      <c r="F631" s="751" t="s">
        <v>248</v>
      </c>
      <c r="G631" s="751"/>
      <c r="H631" s="751"/>
      <c r="I631" s="751"/>
      <c r="J631" s="65" t="s">
        <v>68</v>
      </c>
      <c r="K631" s="385">
        <f>K629*1.1</f>
        <v>2.4420000000000006</v>
      </c>
      <c r="L631" s="726"/>
      <c r="M631" s="726"/>
      <c r="N631" s="752">
        <f>ROUND(L631*K631,2)</f>
        <v>0</v>
      </c>
      <c r="O631" s="720"/>
      <c r="P631" s="720"/>
      <c r="Q631" s="720"/>
      <c r="R631" s="238"/>
      <c r="T631" s="45"/>
    </row>
    <row r="632" spans="2:24" outlineLevel="1">
      <c r="B632" s="237"/>
      <c r="C632" s="345"/>
      <c r="D632" s="345" t="s">
        <v>62</v>
      </c>
      <c r="E632" s="346" t="s">
        <v>2033</v>
      </c>
      <c r="F632" s="719" t="s">
        <v>2034</v>
      </c>
      <c r="G632" s="719"/>
      <c r="H632" s="719"/>
      <c r="I632" s="719"/>
      <c r="J632" s="63" t="s">
        <v>63</v>
      </c>
      <c r="K632" s="347">
        <f>SUM(K633:K633)</f>
        <v>12.87</v>
      </c>
      <c r="L632" s="726"/>
      <c r="M632" s="726"/>
      <c r="N632" s="720">
        <f>ROUND(L632*K632,2)</f>
        <v>0</v>
      </c>
      <c r="O632" s="720"/>
      <c r="P632" s="720"/>
      <c r="Q632" s="720"/>
      <c r="R632" s="238"/>
      <c r="T632" s="45"/>
    </row>
    <row r="633" spans="2:24" s="248" customFormat="1" outlineLevel="1">
      <c r="B633" s="247"/>
      <c r="E633" s="349" t="s">
        <v>1074</v>
      </c>
      <c r="F633" s="717" t="s">
        <v>110</v>
      </c>
      <c r="G633" s="718"/>
      <c r="H633" s="718"/>
      <c r="I633" s="718"/>
      <c r="J633" s="64"/>
      <c r="K633" s="350">
        <f>12.87</f>
        <v>12.87</v>
      </c>
      <c r="L633" s="196"/>
      <c r="M633" s="196"/>
      <c r="R633" s="249"/>
      <c r="T633" s="45"/>
      <c r="V633" s="402"/>
      <c r="W633" s="42"/>
      <c r="X633" s="42"/>
    </row>
    <row r="634" spans="2:24" outlineLevel="1">
      <c r="B634" s="237"/>
      <c r="C634" s="383"/>
      <c r="D634" s="383" t="s">
        <v>69</v>
      </c>
      <c r="E634" s="384" t="s">
        <v>2035</v>
      </c>
      <c r="F634" s="751" t="s">
        <v>2036</v>
      </c>
      <c r="G634" s="751"/>
      <c r="H634" s="751"/>
      <c r="I634" s="751"/>
      <c r="J634" s="65" t="s">
        <v>63</v>
      </c>
      <c r="K634" s="385">
        <f>K632*1.1</f>
        <v>14.157</v>
      </c>
      <c r="L634" s="726"/>
      <c r="M634" s="726"/>
      <c r="N634" s="752">
        <f>ROUND(L634*K634,2)</f>
        <v>0</v>
      </c>
      <c r="O634" s="720"/>
      <c r="P634" s="720"/>
      <c r="Q634" s="720"/>
      <c r="R634" s="238"/>
      <c r="T634" s="45"/>
    </row>
    <row r="635" spans="2:24" outlineLevel="1">
      <c r="B635" s="237"/>
      <c r="C635" s="345"/>
      <c r="D635" s="345" t="s">
        <v>62</v>
      </c>
      <c r="E635" s="346">
        <v>712391382</v>
      </c>
      <c r="F635" s="719" t="s">
        <v>427</v>
      </c>
      <c r="G635" s="719"/>
      <c r="H635" s="719"/>
      <c r="I635" s="719"/>
      <c r="J635" s="63" t="s">
        <v>63</v>
      </c>
      <c r="K635" s="347">
        <f>SUM(K636:K637)</f>
        <v>9.1206999999999994</v>
      </c>
      <c r="L635" s="726"/>
      <c r="M635" s="726"/>
      <c r="N635" s="720">
        <f>ROUND(L635*K635,2)</f>
        <v>0</v>
      </c>
      <c r="O635" s="720"/>
      <c r="P635" s="720"/>
      <c r="Q635" s="720"/>
      <c r="R635" s="238"/>
      <c r="T635" s="45"/>
    </row>
    <row r="636" spans="2:24" s="248" customFormat="1" outlineLevel="1">
      <c r="B636" s="247"/>
      <c r="E636" s="349" t="s">
        <v>1090</v>
      </c>
      <c r="F636" s="717" t="s">
        <v>1091</v>
      </c>
      <c r="G636" s="718">
        <f t="shared" ref="G636:I637" si="17">2.75*1.25+2.22*2.56+(2.56)*2*0.5</f>
        <v>11.6807</v>
      </c>
      <c r="H636" s="718">
        <f t="shared" si="17"/>
        <v>11.6807</v>
      </c>
      <c r="I636" s="718">
        <f t="shared" si="17"/>
        <v>11.6807</v>
      </c>
      <c r="J636" s="64"/>
      <c r="K636" s="350">
        <f>2.75*1.25</f>
        <v>3.4375</v>
      </c>
      <c r="L636" s="196"/>
      <c r="M636" s="196"/>
      <c r="R636" s="249"/>
      <c r="T636" s="45"/>
      <c r="V636" s="402"/>
      <c r="W636" s="42"/>
      <c r="X636" s="42"/>
    </row>
    <row r="637" spans="2:24" s="248" customFormat="1" outlineLevel="1">
      <c r="B637" s="247"/>
      <c r="E637" s="349" t="s">
        <v>1089</v>
      </c>
      <c r="F637" s="717" t="s">
        <v>1094</v>
      </c>
      <c r="G637" s="718">
        <f t="shared" si="17"/>
        <v>11.6807</v>
      </c>
      <c r="H637" s="718">
        <f t="shared" si="17"/>
        <v>11.6807</v>
      </c>
      <c r="I637" s="718">
        <f t="shared" si="17"/>
        <v>11.6807</v>
      </c>
      <c r="J637" s="64"/>
      <c r="K637" s="350">
        <f>2.22*2.56</f>
        <v>5.6832000000000003</v>
      </c>
      <c r="L637" s="196"/>
      <c r="M637" s="196"/>
      <c r="R637" s="249"/>
      <c r="T637" s="45"/>
      <c r="V637" s="402"/>
      <c r="W637" s="42"/>
      <c r="X637" s="42"/>
    </row>
    <row r="638" spans="2:24" outlineLevel="1">
      <c r="B638" s="237"/>
      <c r="C638" s="383"/>
      <c r="D638" s="383" t="s">
        <v>65</v>
      </c>
      <c r="E638" s="384">
        <v>58337401</v>
      </c>
      <c r="F638" s="751" t="s">
        <v>428</v>
      </c>
      <c r="G638" s="751"/>
      <c r="H638" s="751"/>
      <c r="I638" s="751"/>
      <c r="J638" s="65" t="s">
        <v>66</v>
      </c>
      <c r="K638" s="385">
        <f>SUM(K639)</f>
        <v>0.5472419999999999</v>
      </c>
      <c r="L638" s="726"/>
      <c r="M638" s="726"/>
      <c r="N638" s="752">
        <f>ROUND(L638*K638,2)</f>
        <v>0</v>
      </c>
      <c r="O638" s="720"/>
      <c r="P638" s="720"/>
      <c r="Q638" s="720"/>
      <c r="R638" s="238"/>
      <c r="T638" s="45"/>
    </row>
    <row r="639" spans="2:24" s="248" customFormat="1" outlineLevel="1">
      <c r="B639" s="247"/>
      <c r="E639" s="349" t="s">
        <v>1089</v>
      </c>
      <c r="F639" s="717" t="s">
        <v>463</v>
      </c>
      <c r="G639" s="718">
        <f>G635*0.05*2</f>
        <v>0</v>
      </c>
      <c r="H639" s="718">
        <f>H635*0.05*2</f>
        <v>0</v>
      </c>
      <c r="I639" s="718">
        <f>I635*0.05*2</f>
        <v>0</v>
      </c>
      <c r="J639" s="64">
        <v>0.03</v>
      </c>
      <c r="K639" s="350">
        <f>K635*J639*2</f>
        <v>0.5472419999999999</v>
      </c>
      <c r="L639" s="196"/>
      <c r="M639" s="196"/>
      <c r="R639" s="249"/>
      <c r="T639" s="45"/>
      <c r="V639" s="402"/>
      <c r="W639" s="42"/>
      <c r="X639" s="42"/>
    </row>
    <row r="640" spans="2:24" outlineLevel="1">
      <c r="B640" s="237"/>
      <c r="C640" s="345"/>
      <c r="D640" s="345" t="s">
        <v>62</v>
      </c>
      <c r="E640" s="346">
        <v>998712202</v>
      </c>
      <c r="F640" s="719" t="s">
        <v>1112</v>
      </c>
      <c r="G640" s="719"/>
      <c r="H640" s="719"/>
      <c r="I640" s="719"/>
      <c r="J640" s="63" t="s">
        <v>70</v>
      </c>
      <c r="K640" s="66">
        <f>SUM(N609:Q638)</f>
        <v>0</v>
      </c>
      <c r="L640" s="759"/>
      <c r="M640" s="759"/>
      <c r="N640" s="720">
        <f>ROUND(L640*K640,2)</f>
        <v>0</v>
      </c>
      <c r="O640" s="720"/>
      <c r="P640" s="720"/>
      <c r="Q640" s="720"/>
      <c r="R640" s="238"/>
      <c r="T640" s="45"/>
    </row>
    <row r="641" spans="2:29" s="341" customFormat="1" ht="12.75">
      <c r="B641" s="340"/>
      <c r="C641" s="344"/>
      <c r="D641" s="344" t="s">
        <v>50</v>
      </c>
      <c r="E641" s="344"/>
      <c r="F641" s="344"/>
      <c r="G641" s="344"/>
      <c r="H641" s="344"/>
      <c r="I641" s="344"/>
      <c r="J641" s="61"/>
      <c r="K641" s="344"/>
      <c r="L641" s="72"/>
      <c r="M641" s="72"/>
      <c r="N641" s="734">
        <f>SUM(N642:Q744)</f>
        <v>0</v>
      </c>
      <c r="O641" s="734"/>
      <c r="P641" s="734"/>
      <c r="Q641" s="734"/>
      <c r="R641" s="342"/>
      <c r="T641" s="45">
        <f>SUM(N641:Q744)/2</f>
        <v>0</v>
      </c>
      <c r="U641" s="248"/>
      <c r="V641" s="398"/>
      <c r="W641" s="399"/>
      <c r="X641" s="399"/>
    </row>
    <row r="642" spans="2:29" outlineLevel="1">
      <c r="B642" s="237"/>
      <c r="C642" s="345"/>
      <c r="D642" s="345"/>
      <c r="E642" s="346"/>
      <c r="F642" s="719"/>
      <c r="G642" s="719"/>
      <c r="H642" s="719"/>
      <c r="I642" s="719"/>
      <c r="J642" s="63"/>
      <c r="K642" s="347"/>
      <c r="L642" s="766"/>
      <c r="M642" s="766"/>
      <c r="N642" s="720"/>
      <c r="O642" s="720"/>
      <c r="P642" s="720"/>
      <c r="Q642" s="720"/>
      <c r="R642" s="238"/>
      <c r="T642" s="78"/>
      <c r="U642" s="236"/>
    </row>
    <row r="643" spans="2:29" s="374" customFormat="1" outlineLevel="1">
      <c r="B643" s="370"/>
      <c r="C643" s="371"/>
      <c r="D643" s="371" t="s">
        <v>1009</v>
      </c>
      <c r="E643" s="753" t="s">
        <v>1010</v>
      </c>
      <c r="F643" s="754"/>
      <c r="G643" s="754"/>
      <c r="H643" s="754"/>
      <c r="I643" s="755"/>
      <c r="J643" s="145"/>
      <c r="K643" s="372">
        <f>4.26*2</f>
        <v>8.52</v>
      </c>
      <c r="L643" s="756"/>
      <c r="M643" s="756"/>
      <c r="N643" s="757"/>
      <c r="O643" s="757"/>
      <c r="P643" s="757"/>
      <c r="Q643" s="757"/>
      <c r="R643" s="373"/>
      <c r="T643" s="144"/>
      <c r="U643" s="375"/>
      <c r="V643" s="407"/>
      <c r="W643" s="408"/>
      <c r="X643" s="408"/>
      <c r="Y643" s="375"/>
      <c r="Z643" s="375"/>
      <c r="AA643" s="375"/>
      <c r="AB643" s="375"/>
    </row>
    <row r="644" spans="2:29" s="378" customFormat="1" outlineLevel="1">
      <c r="B644" s="377"/>
      <c r="E644" s="379" t="s">
        <v>2302</v>
      </c>
      <c r="F644" s="748" t="s">
        <v>1124</v>
      </c>
      <c r="G644" s="749">
        <f>4.26*2</f>
        <v>8.52</v>
      </c>
      <c r="H644" s="749">
        <f>4.26*2</f>
        <v>8.52</v>
      </c>
      <c r="I644" s="749">
        <f>4.26*2</f>
        <v>8.52</v>
      </c>
      <c r="J644" s="195"/>
      <c r="K644" s="380">
        <f>4.26*2</f>
        <v>8.52</v>
      </c>
      <c r="L644" s="197"/>
      <c r="M644" s="197"/>
      <c r="R644" s="381"/>
      <c r="T644" s="194"/>
      <c r="V644" s="435"/>
      <c r="W644" s="435"/>
      <c r="X644" s="435"/>
      <c r="AC644" s="382"/>
    </row>
    <row r="645" spans="2:29" outlineLevel="1">
      <c r="B645" s="237"/>
      <c r="C645" s="345"/>
      <c r="D645" s="345" t="s">
        <v>62</v>
      </c>
      <c r="E645" s="346">
        <v>763111741</v>
      </c>
      <c r="F645" s="719" t="s">
        <v>1992</v>
      </c>
      <c r="G645" s="719"/>
      <c r="H645" s="719"/>
      <c r="I645" s="719"/>
      <c r="J645" s="63" t="s">
        <v>63</v>
      </c>
      <c r="K645" s="347">
        <f>SUM(K646:K646)</f>
        <v>8.52</v>
      </c>
      <c r="L645" s="726"/>
      <c r="M645" s="726"/>
      <c r="N645" s="720">
        <f>ROUND(L645*K645,2)</f>
        <v>0</v>
      </c>
      <c r="O645" s="720"/>
      <c r="P645" s="720"/>
      <c r="Q645" s="720"/>
      <c r="R645" s="238"/>
      <c r="T645" s="45"/>
    </row>
    <row r="646" spans="2:29" s="248" customFormat="1" outlineLevel="1">
      <c r="B646" s="247"/>
      <c r="E646" s="349"/>
      <c r="F646" s="717"/>
      <c r="G646" s="718"/>
      <c r="H646" s="718"/>
      <c r="I646" s="718"/>
      <c r="J646" s="64"/>
      <c r="K646" s="350">
        <f>K643</f>
        <v>8.52</v>
      </c>
      <c r="L646" s="196"/>
      <c r="M646" s="196"/>
      <c r="R646" s="249"/>
      <c r="T646" s="45"/>
      <c r="V646" s="402"/>
      <c r="W646" s="42"/>
      <c r="X646" s="42"/>
    </row>
    <row r="647" spans="2:29" outlineLevel="1">
      <c r="B647" s="237"/>
      <c r="C647" s="383"/>
      <c r="D647" s="383" t="s">
        <v>65</v>
      </c>
      <c r="E647" s="384">
        <v>28329012</v>
      </c>
      <c r="F647" s="751" t="s">
        <v>117</v>
      </c>
      <c r="G647" s="751"/>
      <c r="H647" s="751"/>
      <c r="I647" s="751"/>
      <c r="J647" s="65" t="s">
        <v>63</v>
      </c>
      <c r="K647" s="385">
        <f>K645*1.2</f>
        <v>10.223999999999998</v>
      </c>
      <c r="L647" s="726"/>
      <c r="M647" s="726"/>
      <c r="N647" s="752">
        <f>ROUND(L647*K647,2)</f>
        <v>0</v>
      </c>
      <c r="O647" s="720"/>
      <c r="P647" s="720"/>
      <c r="Q647" s="720"/>
      <c r="R647" s="238"/>
      <c r="T647" s="45"/>
    </row>
    <row r="648" spans="2:29" outlineLevel="1">
      <c r="B648" s="237"/>
      <c r="C648" s="345"/>
      <c r="D648" s="345" t="s">
        <v>62</v>
      </c>
      <c r="E648" s="346">
        <v>713191233</v>
      </c>
      <c r="F648" s="719" t="s">
        <v>1017</v>
      </c>
      <c r="G648" s="719"/>
      <c r="H648" s="719"/>
      <c r="I648" s="719"/>
      <c r="J648" s="63" t="s">
        <v>63</v>
      </c>
      <c r="K648" s="347">
        <f>SUM(K649:K650)</f>
        <v>17.04</v>
      </c>
      <c r="L648" s="726"/>
      <c r="M648" s="726"/>
      <c r="N648" s="720">
        <f>ROUND(L648*K648,2)</f>
        <v>0</v>
      </c>
      <c r="O648" s="720"/>
      <c r="P648" s="720"/>
      <c r="Q648" s="720"/>
      <c r="R648" s="238"/>
      <c r="T648" s="78"/>
      <c r="U648" s="236"/>
    </row>
    <row r="649" spans="2:29" s="248" customFormat="1" outlineLevel="1">
      <c r="B649" s="247"/>
      <c r="E649" s="349" t="s">
        <v>1986</v>
      </c>
      <c r="F649" s="717"/>
      <c r="G649" s="718"/>
      <c r="H649" s="718"/>
      <c r="I649" s="718"/>
      <c r="J649" s="64" t="s">
        <v>1997</v>
      </c>
      <c r="K649" s="350">
        <f>K643</f>
        <v>8.52</v>
      </c>
      <c r="L649" s="196"/>
      <c r="M649" s="196"/>
      <c r="R649" s="249"/>
      <c r="T649" s="45"/>
      <c r="V649" s="402"/>
      <c r="W649" s="42"/>
      <c r="X649" s="42"/>
    </row>
    <row r="650" spans="2:29" s="248" customFormat="1" outlineLevel="1">
      <c r="B650" s="247"/>
      <c r="E650" s="349" t="s">
        <v>1987</v>
      </c>
      <c r="F650" s="717"/>
      <c r="G650" s="718"/>
      <c r="H650" s="718"/>
      <c r="I650" s="718"/>
      <c r="J650" s="64" t="s">
        <v>1998</v>
      </c>
      <c r="K650" s="350">
        <f>K643</f>
        <v>8.52</v>
      </c>
      <c r="L650" s="196"/>
      <c r="M650" s="196"/>
      <c r="R650" s="249"/>
      <c r="T650" s="45"/>
      <c r="V650" s="402"/>
      <c r="W650" s="42"/>
      <c r="X650" s="42"/>
    </row>
    <row r="651" spans="2:29" outlineLevel="1">
      <c r="B651" s="237"/>
      <c r="C651" s="383"/>
      <c r="D651" s="383" t="s">
        <v>65</v>
      </c>
      <c r="E651" s="384">
        <v>63152098</v>
      </c>
      <c r="F651" s="751" t="s">
        <v>2000</v>
      </c>
      <c r="G651" s="751"/>
      <c r="H651" s="751"/>
      <c r="I651" s="751"/>
      <c r="J651" s="65" t="s">
        <v>63</v>
      </c>
      <c r="K651" s="385">
        <f>K649*1.05</f>
        <v>8.9459999999999997</v>
      </c>
      <c r="L651" s="726"/>
      <c r="M651" s="726"/>
      <c r="N651" s="752">
        <f>ROUND(L651*K651,2)</f>
        <v>0</v>
      </c>
      <c r="O651" s="720"/>
      <c r="P651" s="720"/>
      <c r="Q651" s="720"/>
      <c r="R651" s="238"/>
      <c r="T651" s="45"/>
    </row>
    <row r="652" spans="2:29" outlineLevel="1">
      <c r="B652" s="237"/>
      <c r="C652" s="383"/>
      <c r="D652" s="383" t="s">
        <v>65</v>
      </c>
      <c r="E652" s="384">
        <v>63152106</v>
      </c>
      <c r="F652" s="751" t="s">
        <v>1999</v>
      </c>
      <c r="G652" s="751"/>
      <c r="H652" s="751"/>
      <c r="I652" s="751"/>
      <c r="J652" s="65" t="s">
        <v>63</v>
      </c>
      <c r="K652" s="385">
        <f>K650*1.05</f>
        <v>8.9459999999999997</v>
      </c>
      <c r="L652" s="726"/>
      <c r="M652" s="726"/>
      <c r="N652" s="752">
        <f>ROUND(L652*K652,2)</f>
        <v>0</v>
      </c>
      <c r="O652" s="720"/>
      <c r="P652" s="720"/>
      <c r="Q652" s="720"/>
      <c r="R652" s="238"/>
      <c r="T652" s="45"/>
    </row>
    <row r="653" spans="2:29" s="374" customFormat="1" ht="11.25" customHeight="1" outlineLevel="1">
      <c r="B653" s="370"/>
      <c r="C653" s="371"/>
      <c r="D653" s="371" t="s">
        <v>1023</v>
      </c>
      <c r="E653" s="753" t="s">
        <v>1025</v>
      </c>
      <c r="F653" s="754"/>
      <c r="G653" s="754"/>
      <c r="H653" s="754"/>
      <c r="I653" s="755"/>
      <c r="J653" s="145"/>
      <c r="K653" s="372">
        <f>6.5*2*(18.7+12.4)/2</f>
        <v>202.15</v>
      </c>
      <c r="L653" s="756"/>
      <c r="M653" s="756"/>
      <c r="N653" s="757"/>
      <c r="O653" s="757"/>
      <c r="P653" s="757"/>
      <c r="Q653" s="757"/>
      <c r="R653" s="373"/>
      <c r="T653" s="144"/>
      <c r="U653" s="375"/>
      <c r="V653" s="407"/>
      <c r="W653" s="408"/>
      <c r="X653" s="408"/>
      <c r="Y653" s="375"/>
      <c r="Z653" s="375"/>
      <c r="AA653" s="375"/>
      <c r="AB653" s="375"/>
    </row>
    <row r="654" spans="2:29" s="378" customFormat="1" outlineLevel="1">
      <c r="B654" s="377"/>
      <c r="E654" s="379" t="s">
        <v>2303</v>
      </c>
      <c r="F654" s="748" t="s">
        <v>2304</v>
      </c>
      <c r="G654" s="749">
        <f>6.5*2*(18.7+12.4)/2</f>
        <v>202.15</v>
      </c>
      <c r="H654" s="749">
        <f>6.5*2*(18.7+12.4)/2</f>
        <v>202.15</v>
      </c>
      <c r="I654" s="749">
        <f>6.5*2*(18.7+12.4)/2</f>
        <v>202.15</v>
      </c>
      <c r="J654" s="195"/>
      <c r="K654" s="380">
        <f>6.5*2*(18.7+12.4)/2</f>
        <v>202.15</v>
      </c>
      <c r="L654" s="197"/>
      <c r="M654" s="197"/>
      <c r="R654" s="381"/>
      <c r="T654" s="194"/>
      <c r="V654" s="435"/>
      <c r="W654" s="435"/>
      <c r="X654" s="435"/>
      <c r="AC654" s="382"/>
    </row>
    <row r="655" spans="2:29" outlineLevel="1">
      <c r="B655" s="237"/>
      <c r="C655" s="345"/>
      <c r="D655" s="345" t="s">
        <v>62</v>
      </c>
      <c r="E655" s="346">
        <v>713151111</v>
      </c>
      <c r="F655" s="719" t="s">
        <v>1033</v>
      </c>
      <c r="G655" s="719"/>
      <c r="H655" s="719"/>
      <c r="I655" s="719"/>
      <c r="J655" s="63" t="s">
        <v>63</v>
      </c>
      <c r="K655" s="347">
        <f>SUM(K656:K657)</f>
        <v>404.3</v>
      </c>
      <c r="L655" s="726"/>
      <c r="M655" s="726"/>
      <c r="N655" s="763">
        <f>ROUND(L655*K655,2)</f>
        <v>0</v>
      </c>
      <c r="O655" s="764"/>
      <c r="P655" s="764"/>
      <c r="Q655" s="765"/>
      <c r="R655" s="238"/>
      <c r="T655" s="45"/>
    </row>
    <row r="656" spans="2:29" s="248" customFormat="1" ht="11.25" customHeight="1" outlineLevel="1">
      <c r="B656" s="247"/>
      <c r="E656" s="349" t="s">
        <v>1986</v>
      </c>
      <c r="F656" s="717"/>
      <c r="G656" s="718"/>
      <c r="H656" s="718"/>
      <c r="I656" s="718"/>
      <c r="J656" s="64" t="s">
        <v>1997</v>
      </c>
      <c r="K656" s="350">
        <f>K653</f>
        <v>202.15</v>
      </c>
      <c r="L656" s="196"/>
      <c r="M656" s="196"/>
      <c r="R656" s="249"/>
      <c r="T656" s="45"/>
      <c r="V656" s="402"/>
      <c r="W656" s="42"/>
      <c r="X656" s="42"/>
    </row>
    <row r="657" spans="2:29" s="248" customFormat="1" ht="11.25" customHeight="1" outlineLevel="1">
      <c r="B657" s="247"/>
      <c r="E657" s="349" t="s">
        <v>1987</v>
      </c>
      <c r="F657" s="717"/>
      <c r="G657" s="718"/>
      <c r="H657" s="718"/>
      <c r="I657" s="718"/>
      <c r="J657" s="64" t="s">
        <v>2003</v>
      </c>
      <c r="K657" s="350">
        <f>K653</f>
        <v>202.15</v>
      </c>
      <c r="L657" s="196"/>
      <c r="M657" s="196"/>
      <c r="R657" s="249"/>
      <c r="T657" s="45"/>
      <c r="V657" s="402"/>
      <c r="W657" s="42"/>
      <c r="X657" s="42"/>
    </row>
    <row r="658" spans="2:29" ht="11.25" customHeight="1" outlineLevel="1">
      <c r="B658" s="237"/>
      <c r="C658" s="383"/>
      <c r="D658" s="383" t="s">
        <v>65</v>
      </c>
      <c r="E658" s="384">
        <v>63152098</v>
      </c>
      <c r="F658" s="751" t="s">
        <v>2000</v>
      </c>
      <c r="G658" s="751"/>
      <c r="H658" s="751"/>
      <c r="I658" s="751"/>
      <c r="J658" s="65" t="s">
        <v>63</v>
      </c>
      <c r="K658" s="385">
        <f>K656*1.05</f>
        <v>212.25750000000002</v>
      </c>
      <c r="L658" s="726"/>
      <c r="M658" s="726"/>
      <c r="N658" s="752">
        <f>ROUND(L658*K658,2)</f>
        <v>0</v>
      </c>
      <c r="O658" s="720"/>
      <c r="P658" s="720"/>
      <c r="Q658" s="720"/>
      <c r="R658" s="238"/>
      <c r="T658" s="45"/>
    </row>
    <row r="659" spans="2:29" ht="11.25" customHeight="1" outlineLevel="1">
      <c r="B659" s="237"/>
      <c r="C659" s="383"/>
      <c r="D659" s="383" t="s">
        <v>65</v>
      </c>
      <c r="E659" s="384">
        <v>63152104</v>
      </c>
      <c r="F659" s="751" t="s">
        <v>1981</v>
      </c>
      <c r="G659" s="751"/>
      <c r="H659" s="751"/>
      <c r="I659" s="751"/>
      <c r="J659" s="65" t="s">
        <v>63</v>
      </c>
      <c r="K659" s="385">
        <f>K657*1.05</f>
        <v>212.25750000000002</v>
      </c>
      <c r="L659" s="726"/>
      <c r="M659" s="726"/>
      <c r="N659" s="752">
        <f>ROUND(L659*K659,2)</f>
        <v>0</v>
      </c>
      <c r="O659" s="720"/>
      <c r="P659" s="720"/>
      <c r="Q659" s="720"/>
      <c r="R659" s="238"/>
      <c r="T659" s="45"/>
    </row>
    <row r="660" spans="2:29" ht="27" customHeight="1" outlineLevel="1">
      <c r="B660" s="237"/>
      <c r="C660" s="345"/>
      <c r="D660" s="345" t="s">
        <v>62</v>
      </c>
      <c r="E660" s="346">
        <v>713191133</v>
      </c>
      <c r="F660" s="760" t="s">
        <v>1027</v>
      </c>
      <c r="G660" s="761"/>
      <c r="H660" s="761"/>
      <c r="I660" s="762"/>
      <c r="J660" s="63" t="s">
        <v>63</v>
      </c>
      <c r="K660" s="347">
        <f>K653</f>
        <v>202.15</v>
      </c>
      <c r="L660" s="726"/>
      <c r="M660" s="726"/>
      <c r="N660" s="763">
        <f>ROUND(L660*K660,2)</f>
        <v>0</v>
      </c>
      <c r="O660" s="764"/>
      <c r="P660" s="764"/>
      <c r="Q660" s="765"/>
      <c r="R660" s="238"/>
      <c r="T660" s="45"/>
    </row>
    <row r="661" spans="2:29" ht="26.25" customHeight="1" outlineLevel="1">
      <c r="B661" s="237"/>
      <c r="C661" s="383"/>
      <c r="D661" s="383" t="s">
        <v>65</v>
      </c>
      <c r="E661" s="384">
        <v>28329028</v>
      </c>
      <c r="F661" s="751" t="s">
        <v>1028</v>
      </c>
      <c r="G661" s="751"/>
      <c r="H661" s="751"/>
      <c r="I661" s="751"/>
      <c r="J661" s="65" t="s">
        <v>63</v>
      </c>
      <c r="K661" s="385">
        <f>K660</f>
        <v>202.15</v>
      </c>
      <c r="L661" s="726"/>
      <c r="M661" s="726"/>
      <c r="N661" s="752">
        <f>ROUND(L661*K661,2)</f>
        <v>0</v>
      </c>
      <c r="O661" s="720"/>
      <c r="P661" s="720"/>
      <c r="Q661" s="720"/>
      <c r="R661" s="238"/>
      <c r="T661" s="45"/>
    </row>
    <row r="662" spans="2:29" s="374" customFormat="1" outlineLevel="1">
      <c r="B662" s="370"/>
      <c r="C662" s="371"/>
      <c r="D662" s="371" t="s">
        <v>1029</v>
      </c>
      <c r="E662" s="753" t="s">
        <v>1030</v>
      </c>
      <c r="F662" s="754"/>
      <c r="G662" s="754"/>
      <c r="H662" s="754"/>
      <c r="I662" s="755"/>
      <c r="J662" s="145"/>
      <c r="K662" s="372">
        <f>2.4*1.7*2</f>
        <v>8.16</v>
      </c>
      <c r="L662" s="756"/>
      <c r="M662" s="756"/>
      <c r="N662" s="757"/>
      <c r="O662" s="757"/>
      <c r="P662" s="757"/>
      <c r="Q662" s="757"/>
      <c r="R662" s="373"/>
      <c r="T662" s="144"/>
      <c r="U662" s="375"/>
      <c r="V662" s="407"/>
      <c r="W662" s="408"/>
      <c r="X662" s="408"/>
      <c r="Y662" s="375"/>
      <c r="Z662" s="375"/>
      <c r="AA662" s="375"/>
      <c r="AB662" s="375"/>
    </row>
    <row r="663" spans="2:29" s="378" customFormat="1" outlineLevel="1">
      <c r="B663" s="377"/>
      <c r="E663" s="379" t="s">
        <v>2305</v>
      </c>
      <c r="F663" s="748" t="s">
        <v>1158</v>
      </c>
      <c r="G663" s="749">
        <f>2.4*1.7*2</f>
        <v>8.16</v>
      </c>
      <c r="H663" s="749">
        <f>2.4*1.7*2</f>
        <v>8.16</v>
      </c>
      <c r="I663" s="749">
        <f>2.4*1.7*2</f>
        <v>8.16</v>
      </c>
      <c r="J663" s="195"/>
      <c r="K663" s="380">
        <f>2.4*1.7*2</f>
        <v>8.16</v>
      </c>
      <c r="L663" s="197"/>
      <c r="M663" s="197"/>
      <c r="R663" s="381"/>
      <c r="T663" s="194"/>
      <c r="V663" s="435"/>
      <c r="W663" s="435"/>
      <c r="X663" s="435"/>
      <c r="AC663" s="382"/>
    </row>
    <row r="664" spans="2:29" outlineLevel="1">
      <c r="B664" s="237"/>
      <c r="C664" s="345"/>
      <c r="D664" s="345" t="s">
        <v>62</v>
      </c>
      <c r="E664" s="346">
        <v>713151111</v>
      </c>
      <c r="F664" s="719" t="s">
        <v>1033</v>
      </c>
      <c r="G664" s="719"/>
      <c r="H664" s="719"/>
      <c r="I664" s="719"/>
      <c r="J664" s="63" t="s">
        <v>63</v>
      </c>
      <c r="K664" s="347">
        <f>SUM(K665:K666)</f>
        <v>16.32</v>
      </c>
      <c r="L664" s="726"/>
      <c r="M664" s="726"/>
      <c r="N664" s="763">
        <f>ROUND(L664*K664,2)</f>
        <v>0</v>
      </c>
      <c r="O664" s="764"/>
      <c r="P664" s="764"/>
      <c r="Q664" s="765"/>
      <c r="R664" s="238"/>
      <c r="T664" s="45"/>
    </row>
    <row r="665" spans="2:29" s="248" customFormat="1" ht="11.25" customHeight="1" outlineLevel="1">
      <c r="B665" s="247"/>
      <c r="E665" s="349" t="s">
        <v>1986</v>
      </c>
      <c r="F665" s="717"/>
      <c r="G665" s="718"/>
      <c r="H665" s="718"/>
      <c r="I665" s="718"/>
      <c r="J665" s="64" t="s">
        <v>1997</v>
      </c>
      <c r="K665" s="350">
        <f>K662</f>
        <v>8.16</v>
      </c>
      <c r="L665" s="196"/>
      <c r="M665" s="196"/>
      <c r="R665" s="249"/>
      <c r="T665" s="45"/>
      <c r="V665" s="402"/>
      <c r="W665" s="42"/>
      <c r="X665" s="42"/>
    </row>
    <row r="666" spans="2:29" s="248" customFormat="1" ht="11.25" customHeight="1" outlineLevel="1">
      <c r="B666" s="247"/>
      <c r="E666" s="349" t="s">
        <v>1987</v>
      </c>
      <c r="F666" s="717"/>
      <c r="G666" s="718"/>
      <c r="H666" s="718"/>
      <c r="I666" s="718"/>
      <c r="J666" s="64" t="s">
        <v>2003</v>
      </c>
      <c r="K666" s="350">
        <f>K662</f>
        <v>8.16</v>
      </c>
      <c r="L666" s="196"/>
      <c r="M666" s="196"/>
      <c r="R666" s="249"/>
      <c r="T666" s="45"/>
      <c r="V666" s="402"/>
      <c r="W666" s="42"/>
      <c r="X666" s="42"/>
    </row>
    <row r="667" spans="2:29" ht="11.25" customHeight="1" outlineLevel="1">
      <c r="B667" s="237"/>
      <c r="C667" s="383"/>
      <c r="D667" s="383" t="s">
        <v>65</v>
      </c>
      <c r="E667" s="384">
        <v>63152098</v>
      </c>
      <c r="F667" s="751" t="s">
        <v>2000</v>
      </c>
      <c r="G667" s="751"/>
      <c r="H667" s="751"/>
      <c r="I667" s="751"/>
      <c r="J667" s="65" t="s">
        <v>63</v>
      </c>
      <c r="K667" s="385">
        <f>K665*1.05</f>
        <v>8.5680000000000014</v>
      </c>
      <c r="L667" s="726"/>
      <c r="M667" s="726"/>
      <c r="N667" s="752">
        <f>ROUND(L667*K667,2)</f>
        <v>0</v>
      </c>
      <c r="O667" s="720"/>
      <c r="P667" s="720"/>
      <c r="Q667" s="720"/>
      <c r="R667" s="238"/>
      <c r="T667" s="45"/>
    </row>
    <row r="668" spans="2:29" ht="11.25" customHeight="1" outlineLevel="1">
      <c r="B668" s="237"/>
      <c r="C668" s="383"/>
      <c r="D668" s="383" t="s">
        <v>65</v>
      </c>
      <c r="E668" s="384">
        <v>63152104</v>
      </c>
      <c r="F668" s="751" t="s">
        <v>1981</v>
      </c>
      <c r="G668" s="751"/>
      <c r="H668" s="751"/>
      <c r="I668" s="751"/>
      <c r="J668" s="65" t="s">
        <v>63</v>
      </c>
      <c r="K668" s="385">
        <f>K666*1.05</f>
        <v>8.5680000000000014</v>
      </c>
      <c r="L668" s="726"/>
      <c r="M668" s="726"/>
      <c r="N668" s="752">
        <f>ROUND(L668*K668,2)</f>
        <v>0</v>
      </c>
      <c r="O668" s="720"/>
      <c r="P668" s="720"/>
      <c r="Q668" s="720"/>
      <c r="R668" s="238"/>
      <c r="T668" s="45"/>
    </row>
    <row r="669" spans="2:29" ht="27" customHeight="1" outlineLevel="1">
      <c r="B669" s="237"/>
      <c r="C669" s="345"/>
      <c r="D669" s="345" t="s">
        <v>62</v>
      </c>
      <c r="E669" s="346">
        <v>713191133</v>
      </c>
      <c r="F669" s="760" t="s">
        <v>1027</v>
      </c>
      <c r="G669" s="761"/>
      <c r="H669" s="761"/>
      <c r="I669" s="762"/>
      <c r="J669" s="63" t="s">
        <v>63</v>
      </c>
      <c r="K669" s="347">
        <f>K662</f>
        <v>8.16</v>
      </c>
      <c r="L669" s="726"/>
      <c r="M669" s="726"/>
      <c r="N669" s="763">
        <f>ROUND(L669*K669,2)</f>
        <v>0</v>
      </c>
      <c r="O669" s="764"/>
      <c r="P669" s="764"/>
      <c r="Q669" s="765"/>
      <c r="R669" s="238"/>
      <c r="T669" s="45"/>
    </row>
    <row r="670" spans="2:29" ht="26.25" customHeight="1" outlineLevel="1">
      <c r="B670" s="237"/>
      <c r="C670" s="383"/>
      <c r="D670" s="383" t="s">
        <v>65</v>
      </c>
      <c r="E670" s="384">
        <v>28329028</v>
      </c>
      <c r="F670" s="751" t="s">
        <v>1028</v>
      </c>
      <c r="G670" s="751"/>
      <c r="H670" s="751"/>
      <c r="I670" s="751"/>
      <c r="J670" s="65" t="s">
        <v>63</v>
      </c>
      <c r="K670" s="385">
        <f>K669*1.05</f>
        <v>8.5680000000000014</v>
      </c>
      <c r="L670" s="726"/>
      <c r="M670" s="726"/>
      <c r="N670" s="752">
        <f>ROUND(L670*K670,2)</f>
        <v>0</v>
      </c>
      <c r="O670" s="720"/>
      <c r="P670" s="720"/>
      <c r="Q670" s="720"/>
      <c r="R670" s="238"/>
      <c r="T670" s="45"/>
    </row>
    <row r="671" spans="2:29" s="374" customFormat="1" outlineLevel="1">
      <c r="B671" s="370"/>
      <c r="C671" s="371"/>
      <c r="D671" s="371" t="s">
        <v>1035</v>
      </c>
      <c r="E671" s="753" t="s">
        <v>1982</v>
      </c>
      <c r="F671" s="754"/>
      <c r="G671" s="754"/>
      <c r="H671" s="754"/>
      <c r="I671" s="755"/>
      <c r="J671" s="145"/>
      <c r="K671" s="372">
        <f>2.3*(12.4+3)</f>
        <v>35.419999999999995</v>
      </c>
      <c r="L671" s="756"/>
      <c r="M671" s="756"/>
      <c r="N671" s="757"/>
      <c r="O671" s="757"/>
      <c r="P671" s="757"/>
      <c r="Q671" s="757"/>
      <c r="R671" s="373"/>
      <c r="T671" s="144"/>
      <c r="U671" s="375"/>
      <c r="V671" s="407"/>
      <c r="W671" s="408"/>
      <c r="X671" s="408"/>
      <c r="Y671" s="375"/>
      <c r="Z671" s="375"/>
      <c r="AA671" s="375"/>
      <c r="AB671" s="375"/>
    </row>
    <row r="672" spans="2:29" s="378" customFormat="1" outlineLevel="1">
      <c r="B672" s="377"/>
      <c r="E672" s="379" t="s">
        <v>2307</v>
      </c>
      <c r="F672" s="748" t="s">
        <v>2306</v>
      </c>
      <c r="G672" s="749">
        <f>2.3*(12.4+3)</f>
        <v>35.419999999999995</v>
      </c>
      <c r="H672" s="749">
        <f>2.3*(12.4+3)</f>
        <v>35.419999999999995</v>
      </c>
      <c r="I672" s="749">
        <f>2.3*(12.4+3)</f>
        <v>35.419999999999995</v>
      </c>
      <c r="J672" s="195"/>
      <c r="K672" s="380">
        <f>2.3*(12.4+3)</f>
        <v>35.419999999999995</v>
      </c>
      <c r="L672" s="197"/>
      <c r="M672" s="197"/>
      <c r="R672" s="381"/>
      <c r="T672" s="194"/>
      <c r="V672" s="435"/>
      <c r="W672" s="435"/>
      <c r="X672" s="435"/>
      <c r="AC672" s="382"/>
    </row>
    <row r="673" spans="2:29" ht="27" customHeight="1" outlineLevel="1">
      <c r="B673" s="237"/>
      <c r="C673" s="345"/>
      <c r="D673" s="345" t="s">
        <v>62</v>
      </c>
      <c r="E673" s="346">
        <v>713141151</v>
      </c>
      <c r="F673" s="760" t="s">
        <v>422</v>
      </c>
      <c r="G673" s="761"/>
      <c r="H673" s="761"/>
      <c r="I673" s="762"/>
      <c r="J673" s="63" t="s">
        <v>63</v>
      </c>
      <c r="K673" s="347">
        <f>SUM(K674:K675)</f>
        <v>70.839999999999989</v>
      </c>
      <c r="L673" s="726"/>
      <c r="M673" s="726"/>
      <c r="N673" s="763">
        <f>ROUND(L673*K673,2)</f>
        <v>0</v>
      </c>
      <c r="O673" s="764"/>
      <c r="P673" s="764"/>
      <c r="Q673" s="765"/>
      <c r="R673" s="238"/>
      <c r="T673" s="45"/>
    </row>
    <row r="674" spans="2:29" s="248" customFormat="1" ht="11.25" customHeight="1" outlineLevel="1">
      <c r="B674" s="247"/>
      <c r="E674" s="349" t="s">
        <v>1986</v>
      </c>
      <c r="F674" s="717"/>
      <c r="G674" s="718"/>
      <c r="H674" s="718"/>
      <c r="I674" s="718"/>
      <c r="J674" s="64" t="s">
        <v>2003</v>
      </c>
      <c r="K674" s="350">
        <f>K671</f>
        <v>35.419999999999995</v>
      </c>
      <c r="L674" s="196"/>
      <c r="M674" s="196"/>
      <c r="R674" s="249"/>
      <c r="T674" s="45"/>
      <c r="V674" s="402"/>
      <c r="W674" s="42"/>
      <c r="X674" s="42"/>
    </row>
    <row r="675" spans="2:29" s="248" customFormat="1" ht="11.25" customHeight="1" outlineLevel="1">
      <c r="B675" s="247"/>
      <c r="E675" s="349" t="s">
        <v>1987</v>
      </c>
      <c r="F675" s="717"/>
      <c r="G675" s="718"/>
      <c r="H675" s="718"/>
      <c r="I675" s="718"/>
      <c r="J675" s="64" t="s">
        <v>2001</v>
      </c>
      <c r="K675" s="350">
        <f>K671</f>
        <v>35.419999999999995</v>
      </c>
      <c r="L675" s="196"/>
      <c r="M675" s="196"/>
      <c r="R675" s="249"/>
      <c r="T675" s="45"/>
      <c r="V675" s="402"/>
      <c r="W675" s="42"/>
      <c r="X675" s="42"/>
    </row>
    <row r="676" spans="2:29" ht="11.25" customHeight="1" outlineLevel="1">
      <c r="B676" s="237"/>
      <c r="C676" s="383"/>
      <c r="D676" s="383" t="s">
        <v>65</v>
      </c>
      <c r="E676" s="384">
        <v>63152104</v>
      </c>
      <c r="F676" s="751" t="s">
        <v>1981</v>
      </c>
      <c r="G676" s="751"/>
      <c r="H676" s="751"/>
      <c r="I676" s="751"/>
      <c r="J676" s="65" t="s">
        <v>63</v>
      </c>
      <c r="K676" s="385">
        <f>K674*1.05</f>
        <v>37.190999999999995</v>
      </c>
      <c r="L676" s="726"/>
      <c r="M676" s="726"/>
      <c r="N676" s="752">
        <f>ROUND(L676*K676,2)</f>
        <v>0</v>
      </c>
      <c r="O676" s="720"/>
      <c r="P676" s="720"/>
      <c r="Q676" s="720"/>
      <c r="R676" s="238"/>
      <c r="T676" s="45"/>
    </row>
    <row r="677" spans="2:29" outlineLevel="1">
      <c r="B677" s="237"/>
      <c r="C677" s="383"/>
      <c r="D677" s="383" t="s">
        <v>65</v>
      </c>
      <c r="E677" s="384">
        <v>63152108</v>
      </c>
      <c r="F677" s="751" t="s">
        <v>419</v>
      </c>
      <c r="G677" s="751"/>
      <c r="H677" s="751"/>
      <c r="I677" s="751"/>
      <c r="J677" s="65" t="s">
        <v>63</v>
      </c>
      <c r="K677" s="385">
        <f>(K675)*1.05</f>
        <v>37.190999999999995</v>
      </c>
      <c r="L677" s="726"/>
      <c r="M677" s="726"/>
      <c r="N677" s="752">
        <f>ROUND(L677*K677,2)</f>
        <v>0</v>
      </c>
      <c r="O677" s="720"/>
      <c r="P677" s="720"/>
      <c r="Q677" s="720"/>
      <c r="R677" s="238"/>
      <c r="T677" s="45"/>
    </row>
    <row r="678" spans="2:29" ht="27" customHeight="1" outlineLevel="1">
      <c r="B678" s="237"/>
      <c r="C678" s="345"/>
      <c r="D678" s="345" t="s">
        <v>62</v>
      </c>
      <c r="E678" s="346">
        <v>713191133</v>
      </c>
      <c r="F678" s="760" t="s">
        <v>1027</v>
      </c>
      <c r="G678" s="761"/>
      <c r="H678" s="761"/>
      <c r="I678" s="762"/>
      <c r="J678" s="63" t="s">
        <v>63</v>
      </c>
      <c r="K678" s="347">
        <f>K671</f>
        <v>35.419999999999995</v>
      </c>
      <c r="L678" s="726"/>
      <c r="M678" s="726"/>
      <c r="N678" s="763">
        <f>ROUND(L678*K678,2)</f>
        <v>0</v>
      </c>
      <c r="O678" s="764"/>
      <c r="P678" s="764"/>
      <c r="Q678" s="765"/>
      <c r="R678" s="238"/>
      <c r="T678" s="45"/>
    </row>
    <row r="679" spans="2:29" ht="26.25" customHeight="1" outlineLevel="1">
      <c r="B679" s="237"/>
      <c r="C679" s="383"/>
      <c r="D679" s="383" t="s">
        <v>65</v>
      </c>
      <c r="E679" s="384">
        <v>28329028</v>
      </c>
      <c r="F679" s="751" t="s">
        <v>1028</v>
      </c>
      <c r="G679" s="751"/>
      <c r="H679" s="751"/>
      <c r="I679" s="751"/>
      <c r="J679" s="65" t="s">
        <v>63</v>
      </c>
      <c r="K679" s="385">
        <f>K678</f>
        <v>35.419999999999995</v>
      </c>
      <c r="L679" s="726"/>
      <c r="M679" s="726"/>
      <c r="N679" s="752">
        <f>ROUND(L679*K679,2)</f>
        <v>0</v>
      </c>
      <c r="O679" s="720"/>
      <c r="P679" s="720"/>
      <c r="Q679" s="720"/>
      <c r="R679" s="238"/>
      <c r="T679" s="45"/>
    </row>
    <row r="680" spans="2:29" s="374" customFormat="1" ht="11.25" customHeight="1" outlineLevel="1">
      <c r="B680" s="370"/>
      <c r="C680" s="371"/>
      <c r="D680" s="371" t="s">
        <v>1036</v>
      </c>
      <c r="E680" s="753" t="s">
        <v>1037</v>
      </c>
      <c r="F680" s="754"/>
      <c r="G680" s="754"/>
      <c r="H680" s="754"/>
      <c r="I680" s="755"/>
      <c r="J680" s="145"/>
      <c r="K680" s="372">
        <f>4.2*2*(23.6+32.3)/2</f>
        <v>234.78</v>
      </c>
      <c r="L680" s="756"/>
      <c r="M680" s="756"/>
      <c r="N680" s="757"/>
      <c r="O680" s="757"/>
      <c r="P680" s="757"/>
      <c r="Q680" s="757"/>
      <c r="R680" s="373"/>
      <c r="T680" s="144"/>
      <c r="U680" s="375"/>
      <c r="V680" s="407"/>
      <c r="W680" s="408"/>
      <c r="X680" s="408"/>
      <c r="Y680" s="375"/>
      <c r="Z680" s="375"/>
      <c r="AA680" s="375"/>
      <c r="AB680" s="375"/>
    </row>
    <row r="681" spans="2:29" s="378" customFormat="1" outlineLevel="1">
      <c r="B681" s="377"/>
      <c r="E681" s="379" t="s">
        <v>2308</v>
      </c>
      <c r="F681" s="748" t="s">
        <v>2309</v>
      </c>
      <c r="G681" s="749">
        <f>4.2*2*(23.6+32.3)/2</f>
        <v>234.78</v>
      </c>
      <c r="H681" s="749">
        <f>4.2*2*(23.6+32.3)/2</f>
        <v>234.78</v>
      </c>
      <c r="I681" s="749">
        <f>4.2*2*(23.6+32.3)/2</f>
        <v>234.78</v>
      </c>
      <c r="J681" s="195"/>
      <c r="K681" s="380">
        <f>4.2*2*(23.6+32.3)/2</f>
        <v>234.78</v>
      </c>
      <c r="L681" s="197"/>
      <c r="M681" s="197"/>
      <c r="R681" s="381"/>
      <c r="T681" s="194"/>
      <c r="V681" s="435"/>
      <c r="W681" s="435"/>
      <c r="X681" s="435"/>
      <c r="AC681" s="382"/>
    </row>
    <row r="682" spans="2:29" outlineLevel="1">
      <c r="B682" s="237"/>
      <c r="C682" s="345"/>
      <c r="D682" s="345" t="s">
        <v>62</v>
      </c>
      <c r="E682" s="346">
        <v>713151111</v>
      </c>
      <c r="F682" s="719" t="s">
        <v>1033</v>
      </c>
      <c r="G682" s="719"/>
      <c r="H682" s="719"/>
      <c r="I682" s="719"/>
      <c r="J682" s="63" t="s">
        <v>63</v>
      </c>
      <c r="K682" s="347">
        <f>SUM(K683:K684)</f>
        <v>469.56</v>
      </c>
      <c r="L682" s="726"/>
      <c r="M682" s="726"/>
      <c r="N682" s="763">
        <f>ROUND(L682*K682,2)</f>
        <v>0</v>
      </c>
      <c r="O682" s="764"/>
      <c r="P682" s="764"/>
      <c r="Q682" s="765"/>
      <c r="R682" s="238"/>
      <c r="T682" s="45"/>
    </row>
    <row r="683" spans="2:29" s="248" customFormat="1" ht="11.25" customHeight="1" outlineLevel="1">
      <c r="B683" s="247"/>
      <c r="E683" s="349" t="s">
        <v>1986</v>
      </c>
      <c r="F683" s="717"/>
      <c r="G683" s="718"/>
      <c r="H683" s="718"/>
      <c r="I683" s="718"/>
      <c r="J683" s="64" t="s">
        <v>1997</v>
      </c>
      <c r="K683" s="350">
        <f>K680</f>
        <v>234.78</v>
      </c>
      <c r="L683" s="196"/>
      <c r="M683" s="196"/>
      <c r="R683" s="249"/>
      <c r="T683" s="45"/>
      <c r="V683" s="402"/>
      <c r="W683" s="42"/>
      <c r="X683" s="42"/>
    </row>
    <row r="684" spans="2:29" s="248" customFormat="1" ht="11.25" customHeight="1" outlineLevel="1">
      <c r="B684" s="247"/>
      <c r="E684" s="349" t="s">
        <v>1987</v>
      </c>
      <c r="F684" s="717"/>
      <c r="G684" s="718"/>
      <c r="H684" s="718"/>
      <c r="I684" s="718"/>
      <c r="J684" s="64" t="s">
        <v>2003</v>
      </c>
      <c r="K684" s="350">
        <f>K680</f>
        <v>234.78</v>
      </c>
      <c r="L684" s="196"/>
      <c r="M684" s="196"/>
      <c r="R684" s="249"/>
      <c r="T684" s="45"/>
      <c r="V684" s="402"/>
      <c r="W684" s="42"/>
      <c r="X684" s="42"/>
    </row>
    <row r="685" spans="2:29" ht="11.25" customHeight="1" outlineLevel="1">
      <c r="B685" s="237"/>
      <c r="C685" s="383"/>
      <c r="D685" s="383" t="s">
        <v>65</v>
      </c>
      <c r="E685" s="384">
        <v>63152098</v>
      </c>
      <c r="F685" s="751" t="s">
        <v>2000</v>
      </c>
      <c r="G685" s="751"/>
      <c r="H685" s="751"/>
      <c r="I685" s="751"/>
      <c r="J685" s="65" t="s">
        <v>63</v>
      </c>
      <c r="K685" s="385">
        <f>K683*1.05</f>
        <v>246.51900000000001</v>
      </c>
      <c r="L685" s="726"/>
      <c r="M685" s="726"/>
      <c r="N685" s="752">
        <f>ROUND(L685*K685,2)</f>
        <v>0</v>
      </c>
      <c r="O685" s="720"/>
      <c r="P685" s="720"/>
      <c r="Q685" s="720"/>
      <c r="R685" s="238"/>
      <c r="T685" s="45"/>
    </row>
    <row r="686" spans="2:29" ht="11.25" customHeight="1" outlineLevel="1">
      <c r="B686" s="237"/>
      <c r="C686" s="383"/>
      <c r="D686" s="383" t="s">
        <v>65</v>
      </c>
      <c r="E686" s="384">
        <v>63152104</v>
      </c>
      <c r="F686" s="751" t="s">
        <v>1981</v>
      </c>
      <c r="G686" s="751"/>
      <c r="H686" s="751"/>
      <c r="I686" s="751"/>
      <c r="J686" s="65" t="s">
        <v>63</v>
      </c>
      <c r="K686" s="385">
        <f>K684*1.05</f>
        <v>246.51900000000001</v>
      </c>
      <c r="L686" s="726"/>
      <c r="M686" s="726"/>
      <c r="N686" s="752">
        <f>ROUND(L686*K686,2)</f>
        <v>0</v>
      </c>
      <c r="O686" s="720"/>
      <c r="P686" s="720"/>
      <c r="Q686" s="720"/>
      <c r="R686" s="238"/>
      <c r="T686" s="45"/>
    </row>
    <row r="687" spans="2:29" ht="27" customHeight="1" outlineLevel="1">
      <c r="B687" s="237"/>
      <c r="C687" s="345"/>
      <c r="D687" s="345" t="s">
        <v>62</v>
      </c>
      <c r="E687" s="346">
        <v>713191133</v>
      </c>
      <c r="F687" s="760" t="s">
        <v>1027</v>
      </c>
      <c r="G687" s="761"/>
      <c r="H687" s="761"/>
      <c r="I687" s="762"/>
      <c r="J687" s="63" t="s">
        <v>63</v>
      </c>
      <c r="K687" s="347">
        <f>K680</f>
        <v>234.78</v>
      </c>
      <c r="L687" s="726"/>
      <c r="M687" s="726"/>
      <c r="N687" s="763">
        <f>ROUND(L687*K687,2)</f>
        <v>0</v>
      </c>
      <c r="O687" s="764"/>
      <c r="P687" s="764"/>
      <c r="Q687" s="765"/>
      <c r="R687" s="238"/>
      <c r="T687" s="45"/>
    </row>
    <row r="688" spans="2:29" ht="26.25" customHeight="1" outlineLevel="1">
      <c r="B688" s="237"/>
      <c r="C688" s="383"/>
      <c r="D688" s="383" t="s">
        <v>65</v>
      </c>
      <c r="E688" s="384">
        <v>28329028</v>
      </c>
      <c r="F688" s="751" t="s">
        <v>1028</v>
      </c>
      <c r="G688" s="751"/>
      <c r="H688" s="751"/>
      <c r="I688" s="751"/>
      <c r="J688" s="65" t="s">
        <v>63</v>
      </c>
      <c r="K688" s="385">
        <f>K687</f>
        <v>234.78</v>
      </c>
      <c r="L688" s="726"/>
      <c r="M688" s="726"/>
      <c r="N688" s="752">
        <f>ROUND(L688*K688,2)</f>
        <v>0</v>
      </c>
      <c r="O688" s="720"/>
      <c r="P688" s="720"/>
      <c r="Q688" s="720"/>
      <c r="R688" s="238"/>
      <c r="T688" s="45"/>
    </row>
    <row r="689" spans="2:29" s="374" customFormat="1" outlineLevel="1">
      <c r="B689" s="370"/>
      <c r="C689" s="371"/>
      <c r="D689" s="371" t="s">
        <v>1038</v>
      </c>
      <c r="E689" s="753" t="s">
        <v>1039</v>
      </c>
      <c r="F689" s="754"/>
      <c r="G689" s="754"/>
      <c r="H689" s="754"/>
      <c r="I689" s="755"/>
      <c r="J689" s="145"/>
      <c r="K689" s="372">
        <f>2.4*1.7*9</f>
        <v>36.72</v>
      </c>
      <c r="L689" s="756"/>
      <c r="M689" s="756"/>
      <c r="N689" s="757"/>
      <c r="O689" s="757"/>
      <c r="P689" s="757"/>
      <c r="Q689" s="757"/>
      <c r="R689" s="373"/>
      <c r="T689" s="144"/>
      <c r="U689" s="375"/>
      <c r="V689" s="407"/>
      <c r="W689" s="408"/>
      <c r="X689" s="408"/>
      <c r="Y689" s="375"/>
      <c r="Z689" s="375"/>
      <c r="AA689" s="375"/>
      <c r="AB689" s="375"/>
    </row>
    <row r="690" spans="2:29" s="378" customFormat="1" outlineLevel="1">
      <c r="B690" s="377"/>
      <c r="E690" s="379" t="s">
        <v>2310</v>
      </c>
      <c r="F690" s="748" t="s">
        <v>1159</v>
      </c>
      <c r="G690" s="749">
        <f>2.4*1.7*9</f>
        <v>36.72</v>
      </c>
      <c r="H690" s="749">
        <f>2.4*1.7*9</f>
        <v>36.72</v>
      </c>
      <c r="I690" s="749">
        <f>2.4*1.7*9</f>
        <v>36.72</v>
      </c>
      <c r="J690" s="195"/>
      <c r="K690" s="380">
        <f>2.4*1.7*9</f>
        <v>36.72</v>
      </c>
      <c r="L690" s="197"/>
      <c r="M690" s="197"/>
      <c r="R690" s="381"/>
      <c r="T690" s="194"/>
      <c r="V690" s="435"/>
      <c r="W690" s="435"/>
      <c r="X690" s="435"/>
      <c r="AC690" s="382"/>
    </row>
    <row r="691" spans="2:29" outlineLevel="1">
      <c r="B691" s="237"/>
      <c r="C691" s="345"/>
      <c r="D691" s="345" t="s">
        <v>62</v>
      </c>
      <c r="E691" s="346">
        <v>713151111</v>
      </c>
      <c r="F691" s="719" t="s">
        <v>1033</v>
      </c>
      <c r="G691" s="719"/>
      <c r="H691" s="719"/>
      <c r="I691" s="719"/>
      <c r="J691" s="63" t="s">
        <v>63</v>
      </c>
      <c r="K691" s="347">
        <f>SUM(K692:K693)</f>
        <v>73.44</v>
      </c>
      <c r="L691" s="726"/>
      <c r="M691" s="726"/>
      <c r="N691" s="763">
        <f>ROUND(L691*K691,2)</f>
        <v>0</v>
      </c>
      <c r="O691" s="764"/>
      <c r="P691" s="764"/>
      <c r="Q691" s="765"/>
      <c r="R691" s="238"/>
      <c r="T691" s="45"/>
    </row>
    <row r="692" spans="2:29" s="248" customFormat="1" ht="11.25" customHeight="1" outlineLevel="1">
      <c r="B692" s="247"/>
      <c r="E692" s="349" t="s">
        <v>1986</v>
      </c>
      <c r="F692" s="717"/>
      <c r="G692" s="718"/>
      <c r="H692" s="718"/>
      <c r="I692" s="718"/>
      <c r="J692" s="64" t="s">
        <v>1997</v>
      </c>
      <c r="K692" s="350">
        <f>K689</f>
        <v>36.72</v>
      </c>
      <c r="L692" s="196"/>
      <c r="M692" s="196"/>
      <c r="R692" s="249"/>
      <c r="T692" s="45"/>
      <c r="V692" s="402"/>
      <c r="W692" s="42"/>
      <c r="X692" s="42"/>
    </row>
    <row r="693" spans="2:29" s="248" customFormat="1" ht="11.25" customHeight="1" outlineLevel="1">
      <c r="B693" s="247"/>
      <c r="E693" s="349" t="s">
        <v>1987</v>
      </c>
      <c r="F693" s="717"/>
      <c r="G693" s="718"/>
      <c r="H693" s="718"/>
      <c r="I693" s="718"/>
      <c r="J693" s="64" t="s">
        <v>2003</v>
      </c>
      <c r="K693" s="350">
        <f>K689</f>
        <v>36.72</v>
      </c>
      <c r="L693" s="196"/>
      <c r="M693" s="196"/>
      <c r="R693" s="249"/>
      <c r="T693" s="45"/>
      <c r="V693" s="402"/>
      <c r="W693" s="42"/>
      <c r="X693" s="42"/>
    </row>
    <row r="694" spans="2:29" ht="11.25" customHeight="1" outlineLevel="1">
      <c r="B694" s="237"/>
      <c r="C694" s="383"/>
      <c r="D694" s="383" t="s">
        <v>65</v>
      </c>
      <c r="E694" s="384">
        <v>63152098</v>
      </c>
      <c r="F694" s="751" t="s">
        <v>2000</v>
      </c>
      <c r="G694" s="751"/>
      <c r="H694" s="751"/>
      <c r="I694" s="751"/>
      <c r="J694" s="65" t="s">
        <v>63</v>
      </c>
      <c r="K694" s="385">
        <f>K692*1.05</f>
        <v>38.555999999999997</v>
      </c>
      <c r="L694" s="726"/>
      <c r="M694" s="726"/>
      <c r="N694" s="752">
        <f>ROUND(L694*K694,2)</f>
        <v>0</v>
      </c>
      <c r="O694" s="720"/>
      <c r="P694" s="720"/>
      <c r="Q694" s="720"/>
      <c r="R694" s="238"/>
      <c r="T694" s="45"/>
    </row>
    <row r="695" spans="2:29" ht="11.25" customHeight="1" outlineLevel="1">
      <c r="B695" s="237"/>
      <c r="C695" s="383"/>
      <c r="D695" s="383" t="s">
        <v>65</v>
      </c>
      <c r="E695" s="384">
        <v>63152104</v>
      </c>
      <c r="F695" s="751" t="s">
        <v>1981</v>
      </c>
      <c r="G695" s="751"/>
      <c r="H695" s="751"/>
      <c r="I695" s="751"/>
      <c r="J695" s="65" t="s">
        <v>63</v>
      </c>
      <c r="K695" s="385">
        <f>K693*1.05</f>
        <v>38.555999999999997</v>
      </c>
      <c r="L695" s="726"/>
      <c r="M695" s="726"/>
      <c r="N695" s="752">
        <f>ROUND(L695*K695,2)</f>
        <v>0</v>
      </c>
      <c r="O695" s="720"/>
      <c r="P695" s="720"/>
      <c r="Q695" s="720"/>
      <c r="R695" s="238"/>
      <c r="T695" s="45"/>
    </row>
    <row r="696" spans="2:29" ht="27" customHeight="1" outlineLevel="1">
      <c r="B696" s="237"/>
      <c r="C696" s="345"/>
      <c r="D696" s="345" t="s">
        <v>62</v>
      </c>
      <c r="E696" s="346">
        <v>713191133</v>
      </c>
      <c r="F696" s="760" t="s">
        <v>1027</v>
      </c>
      <c r="G696" s="761"/>
      <c r="H696" s="761"/>
      <c r="I696" s="762"/>
      <c r="J696" s="63" t="s">
        <v>63</v>
      </c>
      <c r="K696" s="347">
        <f>K689</f>
        <v>36.72</v>
      </c>
      <c r="L696" s="726"/>
      <c r="M696" s="726"/>
      <c r="N696" s="763">
        <f>ROUND(L696*K696,2)</f>
        <v>0</v>
      </c>
      <c r="O696" s="764"/>
      <c r="P696" s="764"/>
      <c r="Q696" s="765"/>
      <c r="R696" s="238"/>
      <c r="T696" s="45"/>
    </row>
    <row r="697" spans="2:29" ht="26.25" customHeight="1" outlineLevel="1">
      <c r="B697" s="237"/>
      <c r="C697" s="383"/>
      <c r="D697" s="383" t="s">
        <v>65</v>
      </c>
      <c r="E697" s="384">
        <v>28329028</v>
      </c>
      <c r="F697" s="751" t="s">
        <v>1028</v>
      </c>
      <c r="G697" s="751"/>
      <c r="H697" s="751"/>
      <c r="I697" s="751"/>
      <c r="J697" s="65" t="s">
        <v>63</v>
      </c>
      <c r="K697" s="385">
        <f>K696*1.05</f>
        <v>38.555999999999997</v>
      </c>
      <c r="L697" s="726"/>
      <c r="M697" s="726"/>
      <c r="N697" s="752">
        <f>ROUND(L697*K697,2)</f>
        <v>0</v>
      </c>
      <c r="O697" s="720"/>
      <c r="P697" s="720"/>
      <c r="Q697" s="720"/>
      <c r="R697" s="238"/>
      <c r="T697" s="45"/>
    </row>
    <row r="698" spans="2:29" s="374" customFormat="1" outlineLevel="1">
      <c r="B698" s="370"/>
      <c r="C698" s="371"/>
      <c r="D698" s="371" t="s">
        <v>1041</v>
      </c>
      <c r="E698" s="753" t="s">
        <v>1983</v>
      </c>
      <c r="F698" s="754"/>
      <c r="G698" s="754"/>
      <c r="H698" s="754"/>
      <c r="I698" s="755"/>
      <c r="J698" s="145"/>
      <c r="K698" s="372">
        <f>1.8*(23.6)</f>
        <v>42.480000000000004</v>
      </c>
      <c r="L698" s="756"/>
      <c r="M698" s="756"/>
      <c r="N698" s="757"/>
      <c r="O698" s="757"/>
      <c r="P698" s="757"/>
      <c r="Q698" s="757"/>
      <c r="R698" s="373"/>
      <c r="T698" s="144"/>
      <c r="U698" s="375"/>
      <c r="V698" s="407"/>
      <c r="W698" s="408"/>
      <c r="X698" s="408"/>
      <c r="Y698" s="375"/>
      <c r="Z698" s="375"/>
      <c r="AA698" s="375"/>
      <c r="AB698" s="375"/>
    </row>
    <row r="699" spans="2:29" s="378" customFormat="1" outlineLevel="1">
      <c r="B699" s="377"/>
      <c r="E699" s="379" t="s">
        <v>2311</v>
      </c>
      <c r="F699" s="748" t="s">
        <v>2312</v>
      </c>
      <c r="G699" s="749">
        <f>1.8*(23.6)</f>
        <v>42.480000000000004</v>
      </c>
      <c r="H699" s="749">
        <f>1.8*(23.6)</f>
        <v>42.480000000000004</v>
      </c>
      <c r="I699" s="749">
        <f>1.8*(23.6)</f>
        <v>42.480000000000004</v>
      </c>
      <c r="J699" s="195"/>
      <c r="K699" s="380">
        <f>1.8*(23.6)</f>
        <v>42.480000000000004</v>
      </c>
      <c r="L699" s="197"/>
      <c r="M699" s="197"/>
      <c r="R699" s="381"/>
      <c r="T699" s="194"/>
      <c r="V699" s="435"/>
      <c r="W699" s="435"/>
      <c r="X699" s="435"/>
      <c r="AC699" s="382"/>
    </row>
    <row r="700" spans="2:29" ht="27" customHeight="1" outlineLevel="1">
      <c r="B700" s="237"/>
      <c r="C700" s="345"/>
      <c r="D700" s="345" t="s">
        <v>62</v>
      </c>
      <c r="E700" s="346">
        <v>713141151</v>
      </c>
      <c r="F700" s="760" t="s">
        <v>422</v>
      </c>
      <c r="G700" s="761"/>
      <c r="H700" s="761"/>
      <c r="I700" s="762"/>
      <c r="J700" s="63" t="s">
        <v>63</v>
      </c>
      <c r="K700" s="347">
        <f>SUM(K701:K702)</f>
        <v>127.44000000000001</v>
      </c>
      <c r="L700" s="726"/>
      <c r="M700" s="726"/>
      <c r="N700" s="763">
        <f>ROUND(L700*K700,2)</f>
        <v>0</v>
      </c>
      <c r="O700" s="764"/>
      <c r="P700" s="764"/>
      <c r="Q700" s="765"/>
      <c r="R700" s="238"/>
      <c r="T700" s="45"/>
    </row>
    <row r="701" spans="2:29" s="248" customFormat="1" ht="11.25" customHeight="1" outlineLevel="1">
      <c r="B701" s="247"/>
      <c r="E701" s="349" t="s">
        <v>1986</v>
      </c>
      <c r="F701" s="717"/>
      <c r="G701" s="718"/>
      <c r="H701" s="718"/>
      <c r="I701" s="718"/>
      <c r="J701" s="64" t="s">
        <v>2002</v>
      </c>
      <c r="K701" s="350">
        <f>K698</f>
        <v>42.480000000000004</v>
      </c>
      <c r="L701" s="196"/>
      <c r="M701" s="196"/>
      <c r="R701" s="249"/>
      <c r="T701" s="45"/>
      <c r="V701" s="402"/>
      <c r="W701" s="42"/>
      <c r="X701" s="42"/>
    </row>
    <row r="702" spans="2:29" s="248" customFormat="1" ht="11.25" customHeight="1" outlineLevel="1">
      <c r="B702" s="247"/>
      <c r="E702" s="349" t="s">
        <v>1987</v>
      </c>
      <c r="F702" s="717" t="s">
        <v>737</v>
      </c>
      <c r="G702" s="718"/>
      <c r="H702" s="718"/>
      <c r="I702" s="718"/>
      <c r="J702" s="64" t="s">
        <v>2003</v>
      </c>
      <c r="K702" s="350">
        <f>K698*2</f>
        <v>84.960000000000008</v>
      </c>
      <c r="L702" s="196"/>
      <c r="M702" s="196"/>
      <c r="R702" s="249"/>
      <c r="T702" s="45"/>
      <c r="V702" s="402"/>
      <c r="W702" s="42"/>
      <c r="X702" s="42"/>
    </row>
    <row r="703" spans="2:29" outlineLevel="1">
      <c r="B703" s="237"/>
      <c r="C703" s="383"/>
      <c r="D703" s="383" t="s">
        <v>65</v>
      </c>
      <c r="E703" s="384">
        <v>63152096</v>
      </c>
      <c r="F703" s="751" t="s">
        <v>2004</v>
      </c>
      <c r="G703" s="751"/>
      <c r="H703" s="751"/>
      <c r="I703" s="751"/>
      <c r="J703" s="65" t="s">
        <v>63</v>
      </c>
      <c r="K703" s="385">
        <f>K701*1.05</f>
        <v>44.604000000000006</v>
      </c>
      <c r="L703" s="726"/>
      <c r="M703" s="726"/>
      <c r="N703" s="752">
        <f>ROUND(L703*K703,2)</f>
        <v>0</v>
      </c>
      <c r="O703" s="720"/>
      <c r="P703" s="720"/>
      <c r="Q703" s="720"/>
      <c r="R703" s="238"/>
      <c r="T703" s="45"/>
    </row>
    <row r="704" spans="2:29" outlineLevel="1">
      <c r="B704" s="237"/>
      <c r="C704" s="383"/>
      <c r="D704" s="383" t="s">
        <v>65</v>
      </c>
      <c r="E704" s="384">
        <v>63152104</v>
      </c>
      <c r="F704" s="751" t="s">
        <v>1981</v>
      </c>
      <c r="G704" s="751"/>
      <c r="H704" s="751"/>
      <c r="I704" s="751"/>
      <c r="J704" s="65" t="s">
        <v>63</v>
      </c>
      <c r="K704" s="385">
        <f>K702*1.05</f>
        <v>89.208000000000013</v>
      </c>
      <c r="L704" s="726"/>
      <c r="M704" s="726"/>
      <c r="N704" s="752">
        <f>ROUND(L704*K704,2)</f>
        <v>0</v>
      </c>
      <c r="O704" s="720"/>
      <c r="P704" s="720"/>
      <c r="Q704" s="720"/>
      <c r="R704" s="238"/>
      <c r="T704" s="45"/>
    </row>
    <row r="705" spans="2:28" ht="27" customHeight="1" outlineLevel="1">
      <c r="B705" s="237"/>
      <c r="C705" s="345"/>
      <c r="D705" s="345" t="s">
        <v>62</v>
      </c>
      <c r="E705" s="346">
        <v>713191133</v>
      </c>
      <c r="F705" s="760" t="s">
        <v>1027</v>
      </c>
      <c r="G705" s="761"/>
      <c r="H705" s="761"/>
      <c r="I705" s="762"/>
      <c r="J705" s="63" t="s">
        <v>63</v>
      </c>
      <c r="K705" s="347">
        <f>K698</f>
        <v>42.480000000000004</v>
      </c>
      <c r="L705" s="726"/>
      <c r="M705" s="726"/>
      <c r="N705" s="763">
        <f>ROUND(L705*K705,2)</f>
        <v>0</v>
      </c>
      <c r="O705" s="764"/>
      <c r="P705" s="764"/>
      <c r="Q705" s="765"/>
      <c r="R705" s="238"/>
      <c r="T705" s="45"/>
    </row>
    <row r="706" spans="2:28" ht="26.25" customHeight="1" outlineLevel="1">
      <c r="B706" s="237"/>
      <c r="C706" s="383"/>
      <c r="D706" s="383" t="s">
        <v>65</v>
      </c>
      <c r="E706" s="384">
        <v>28329028</v>
      </c>
      <c r="F706" s="751" t="s">
        <v>1028</v>
      </c>
      <c r="G706" s="751"/>
      <c r="H706" s="751"/>
      <c r="I706" s="751"/>
      <c r="J706" s="65" t="s">
        <v>63</v>
      </c>
      <c r="K706" s="385">
        <f>K705</f>
        <v>42.480000000000004</v>
      </c>
      <c r="L706" s="726"/>
      <c r="M706" s="726"/>
      <c r="N706" s="752">
        <f>ROUND(L706*K706,2)</f>
        <v>0</v>
      </c>
      <c r="O706" s="720"/>
      <c r="P706" s="720"/>
      <c r="Q706" s="720"/>
      <c r="R706" s="238"/>
      <c r="T706" s="45"/>
    </row>
    <row r="707" spans="2:28" s="374" customFormat="1" outlineLevel="1">
      <c r="B707" s="370"/>
      <c r="C707" s="371"/>
      <c r="D707" s="371"/>
      <c r="E707" s="753" t="s">
        <v>2009</v>
      </c>
      <c r="F707" s="754"/>
      <c r="G707" s="754"/>
      <c r="H707" s="754"/>
      <c r="I707" s="755"/>
      <c r="J707" s="145"/>
      <c r="K707" s="372"/>
      <c r="L707" s="756"/>
      <c r="M707" s="756"/>
      <c r="N707" s="757"/>
      <c r="O707" s="757"/>
      <c r="P707" s="757"/>
      <c r="Q707" s="757"/>
      <c r="R707" s="373"/>
      <c r="T707" s="144"/>
      <c r="U707" s="375"/>
      <c r="V707" s="407"/>
      <c r="W707" s="408"/>
      <c r="X707" s="408"/>
      <c r="Y707" s="375"/>
      <c r="Z707" s="375"/>
      <c r="AA707" s="375"/>
      <c r="AB707" s="375"/>
    </row>
    <row r="708" spans="2:28" ht="27" customHeight="1" outlineLevel="1">
      <c r="B708" s="237"/>
      <c r="C708" s="345"/>
      <c r="D708" s="345" t="s">
        <v>62</v>
      </c>
      <c r="E708" s="346">
        <v>713141151</v>
      </c>
      <c r="F708" s="719" t="s">
        <v>422</v>
      </c>
      <c r="G708" s="719"/>
      <c r="H708" s="719"/>
      <c r="I708" s="719"/>
      <c r="J708" s="63" t="s">
        <v>63</v>
      </c>
      <c r="K708" s="347">
        <f>SUM(K709:K711)</f>
        <v>18.2807</v>
      </c>
      <c r="L708" s="726"/>
      <c r="M708" s="726"/>
      <c r="N708" s="720">
        <f>ROUND(L708*K708,2)</f>
        <v>0</v>
      </c>
      <c r="O708" s="720"/>
      <c r="P708" s="720"/>
      <c r="Q708" s="720"/>
      <c r="R708" s="238"/>
      <c r="T708" s="45"/>
    </row>
    <row r="709" spans="2:28" s="248" customFormat="1" outlineLevel="1">
      <c r="B709" s="247"/>
      <c r="E709" s="349" t="s">
        <v>1090</v>
      </c>
      <c r="F709" s="717" t="s">
        <v>1091</v>
      </c>
      <c r="G709" s="718">
        <f t="shared" ref="G709:I710" si="18">2.75*1.25+2.22*2.56</f>
        <v>9.1206999999999994</v>
      </c>
      <c r="H709" s="718">
        <f t="shared" si="18"/>
        <v>9.1206999999999994</v>
      </c>
      <c r="I709" s="718">
        <f t="shared" si="18"/>
        <v>9.1206999999999994</v>
      </c>
      <c r="J709" s="64"/>
      <c r="K709" s="350">
        <f>2.75*1.25</f>
        <v>3.4375</v>
      </c>
      <c r="L709" s="196"/>
      <c r="M709" s="196"/>
      <c r="R709" s="249"/>
      <c r="T709" s="45"/>
      <c r="V709" s="402"/>
      <c r="W709" s="42"/>
      <c r="X709" s="42"/>
    </row>
    <row r="710" spans="2:28" s="248" customFormat="1" outlineLevel="1">
      <c r="B710" s="247"/>
      <c r="E710" s="349" t="s">
        <v>2010</v>
      </c>
      <c r="F710" s="717" t="s">
        <v>2011</v>
      </c>
      <c r="G710" s="718">
        <f t="shared" si="18"/>
        <v>9.1206999999999994</v>
      </c>
      <c r="H710" s="718">
        <f t="shared" si="18"/>
        <v>9.1206999999999994</v>
      </c>
      <c r="I710" s="718">
        <f t="shared" si="18"/>
        <v>9.1206999999999994</v>
      </c>
      <c r="J710" s="64"/>
      <c r="K710" s="350">
        <f>2.75*2.4</f>
        <v>6.6</v>
      </c>
      <c r="L710" s="196"/>
      <c r="M710" s="196"/>
      <c r="R710" s="249"/>
      <c r="T710" s="45"/>
      <c r="V710" s="402"/>
      <c r="W710" s="42"/>
      <c r="X710" s="42"/>
    </row>
    <row r="711" spans="2:28" s="248" customFormat="1" ht="11.25" customHeight="1" outlineLevel="1">
      <c r="B711" s="247"/>
      <c r="E711" s="349" t="s">
        <v>1089</v>
      </c>
      <c r="F711" s="717" t="s">
        <v>1092</v>
      </c>
      <c r="G711" s="718">
        <f>2.75*1.25+2.22*2.56+(2.56)*2*0.5</f>
        <v>11.6807</v>
      </c>
      <c r="H711" s="718">
        <f>2.75*1.25+2.22*2.56+(2.56)*2*0.5</f>
        <v>11.6807</v>
      </c>
      <c r="I711" s="718">
        <f>2.75*1.25+2.22*2.56+(2.56)*2*0.5</f>
        <v>11.6807</v>
      </c>
      <c r="J711" s="64"/>
      <c r="K711" s="350">
        <f>2.22*2.56+(2.56)*2*0.5</f>
        <v>8.2431999999999999</v>
      </c>
      <c r="L711" s="196"/>
      <c r="M711" s="196"/>
      <c r="R711" s="249"/>
      <c r="T711" s="45"/>
      <c r="V711" s="402"/>
      <c r="W711" s="42"/>
      <c r="X711" s="42"/>
    </row>
    <row r="712" spans="2:28" ht="26.25" customHeight="1" outlineLevel="1">
      <c r="B712" s="237"/>
      <c r="C712" s="383"/>
      <c r="D712" s="383" t="s">
        <v>65</v>
      </c>
      <c r="E712" s="384">
        <v>28376518</v>
      </c>
      <c r="F712" s="751" t="s">
        <v>2006</v>
      </c>
      <c r="G712" s="751"/>
      <c r="H712" s="751"/>
      <c r="I712" s="751"/>
      <c r="J712" s="65" t="s">
        <v>63</v>
      </c>
      <c r="K712" s="385">
        <f>(K709)*1.05</f>
        <v>3.609375</v>
      </c>
      <c r="L712" s="726"/>
      <c r="M712" s="726"/>
      <c r="N712" s="752">
        <f>ROUND(L712*K712,2)</f>
        <v>0</v>
      </c>
      <c r="O712" s="720"/>
      <c r="P712" s="720"/>
      <c r="Q712" s="720"/>
      <c r="R712" s="238"/>
      <c r="T712" s="45"/>
    </row>
    <row r="713" spans="2:28" ht="11.25" customHeight="1" outlineLevel="1">
      <c r="B713" s="237"/>
      <c r="C713" s="383"/>
      <c r="D713" s="383" t="s">
        <v>65</v>
      </c>
      <c r="E713" s="384" t="s">
        <v>1108</v>
      </c>
      <c r="F713" s="751" t="s">
        <v>1109</v>
      </c>
      <c r="G713" s="751"/>
      <c r="H713" s="751"/>
      <c r="I713" s="751"/>
      <c r="J713" s="65" t="s">
        <v>63</v>
      </c>
      <c r="K713" s="385">
        <f>(K711)*1.05</f>
        <v>8.6553599999999999</v>
      </c>
      <c r="L713" s="726"/>
      <c r="M713" s="726"/>
      <c r="N713" s="752">
        <f>ROUND(L713*K713,2)</f>
        <v>0</v>
      </c>
      <c r="O713" s="720"/>
      <c r="P713" s="720"/>
      <c r="Q713" s="720"/>
      <c r="R713" s="238"/>
      <c r="T713" s="45"/>
    </row>
    <row r="714" spans="2:28" outlineLevel="1">
      <c r="B714" s="237"/>
      <c r="C714" s="383"/>
      <c r="D714" s="383" t="s">
        <v>65</v>
      </c>
      <c r="E714" s="384">
        <v>63152100</v>
      </c>
      <c r="F714" s="751" t="s">
        <v>418</v>
      </c>
      <c r="G714" s="751"/>
      <c r="H714" s="751"/>
      <c r="I714" s="751"/>
      <c r="J714" s="65" t="s">
        <v>63</v>
      </c>
      <c r="K714" s="385">
        <f>K710*1.05</f>
        <v>6.93</v>
      </c>
      <c r="L714" s="726"/>
      <c r="M714" s="726"/>
      <c r="N714" s="752">
        <f>ROUND(L714*K714,2)</f>
        <v>0</v>
      </c>
      <c r="O714" s="720"/>
      <c r="P714" s="720"/>
      <c r="Q714" s="720"/>
      <c r="R714" s="238"/>
      <c r="T714" s="45"/>
    </row>
    <row r="715" spans="2:28" outlineLevel="1">
      <c r="B715" s="237"/>
      <c r="C715" s="383"/>
      <c r="D715" s="383" t="s">
        <v>65</v>
      </c>
      <c r="E715" s="384">
        <v>63152106</v>
      </c>
      <c r="F715" s="751" t="s">
        <v>1999</v>
      </c>
      <c r="G715" s="751"/>
      <c r="H715" s="751"/>
      <c r="I715" s="751"/>
      <c r="J715" s="65" t="s">
        <v>63</v>
      </c>
      <c r="K715" s="385">
        <f>K714</f>
        <v>6.93</v>
      </c>
      <c r="L715" s="726"/>
      <c r="M715" s="726"/>
      <c r="N715" s="752">
        <f>ROUND(L715*K715,2)</f>
        <v>0</v>
      </c>
      <c r="O715" s="720"/>
      <c r="P715" s="720"/>
      <c r="Q715" s="720"/>
      <c r="R715" s="238"/>
      <c r="T715" s="45"/>
    </row>
    <row r="716" spans="2:28" outlineLevel="1">
      <c r="B716" s="237"/>
      <c r="C716" s="345"/>
      <c r="D716" s="345" t="s">
        <v>62</v>
      </c>
      <c r="E716" s="346">
        <v>713141311</v>
      </c>
      <c r="F716" s="719" t="s">
        <v>423</v>
      </c>
      <c r="G716" s="719"/>
      <c r="H716" s="719"/>
      <c r="I716" s="719"/>
      <c r="J716" s="63" t="s">
        <v>63</v>
      </c>
      <c r="K716" s="347">
        <f>SUM(K717:K718)</f>
        <v>11.6807</v>
      </c>
      <c r="L716" s="726"/>
      <c r="M716" s="726"/>
      <c r="N716" s="720">
        <f>ROUND(L716*K716,2)</f>
        <v>0</v>
      </c>
      <c r="O716" s="720"/>
      <c r="P716" s="720"/>
      <c r="Q716" s="720"/>
      <c r="R716" s="238"/>
      <c r="T716" s="45"/>
    </row>
    <row r="717" spans="2:28" s="248" customFormat="1" outlineLevel="1">
      <c r="B717" s="247"/>
      <c r="E717" s="349" t="s">
        <v>1090</v>
      </c>
      <c r="F717" s="717" t="s">
        <v>1091</v>
      </c>
      <c r="G717" s="718">
        <f>2.75*1.25+2.22*2.56</f>
        <v>9.1206999999999994</v>
      </c>
      <c r="H717" s="718">
        <f>2.75*1.25+2.22*2.56</f>
        <v>9.1206999999999994</v>
      </c>
      <c r="I717" s="718">
        <f>2.75*1.25+2.22*2.56</f>
        <v>9.1206999999999994</v>
      </c>
      <c r="J717" s="64"/>
      <c r="K717" s="350">
        <f>2.75*1.25</f>
        <v>3.4375</v>
      </c>
      <c r="L717" s="196"/>
      <c r="M717" s="196"/>
      <c r="R717" s="249"/>
      <c r="T717" s="45"/>
      <c r="V717" s="402"/>
      <c r="W717" s="42"/>
      <c r="X717" s="42"/>
    </row>
    <row r="718" spans="2:28" s="248" customFormat="1" ht="11.25" customHeight="1" outlineLevel="1">
      <c r="B718" s="247"/>
      <c r="E718" s="349" t="s">
        <v>1089</v>
      </c>
      <c r="F718" s="717" t="s">
        <v>1092</v>
      </c>
      <c r="G718" s="718">
        <f>2.75*1.25+2.22*2.56+(2.56)*2*0.5</f>
        <v>11.6807</v>
      </c>
      <c r="H718" s="718">
        <f>2.75*1.25+2.22*2.56+(2.56)*2*0.5</f>
        <v>11.6807</v>
      </c>
      <c r="I718" s="718">
        <f>2.75*1.25+2.22*2.56+(2.56)*2*0.5</f>
        <v>11.6807</v>
      </c>
      <c r="J718" s="64"/>
      <c r="K718" s="350">
        <f>2.22*2.56+(2.56)*2*0.5</f>
        <v>8.2431999999999999</v>
      </c>
      <c r="L718" s="196"/>
      <c r="M718" s="196"/>
      <c r="R718" s="249"/>
      <c r="T718" s="45"/>
      <c r="V718" s="402"/>
      <c r="W718" s="42"/>
      <c r="X718" s="42"/>
    </row>
    <row r="719" spans="2:28" outlineLevel="1">
      <c r="B719" s="237"/>
      <c r="C719" s="383"/>
      <c r="D719" s="383" t="s">
        <v>65</v>
      </c>
      <c r="E719" s="384" t="s">
        <v>424</v>
      </c>
      <c r="F719" s="751" t="s">
        <v>425</v>
      </c>
      <c r="G719" s="751"/>
      <c r="H719" s="751"/>
      <c r="I719" s="751"/>
      <c r="J719" s="65" t="s">
        <v>64</v>
      </c>
      <c r="K719" s="385">
        <f>SUM(K720:K721)</f>
        <v>0.40882450000000004</v>
      </c>
      <c r="L719" s="726"/>
      <c r="M719" s="726"/>
      <c r="N719" s="752">
        <f>ROUND(L719*K719,2)</f>
        <v>0</v>
      </c>
      <c r="O719" s="720"/>
      <c r="P719" s="720"/>
      <c r="Q719" s="720"/>
      <c r="R719" s="238"/>
      <c r="T719" s="45"/>
    </row>
    <row r="720" spans="2:28" s="248" customFormat="1" outlineLevel="1">
      <c r="B720" s="247"/>
      <c r="E720" s="349" t="s">
        <v>1090</v>
      </c>
      <c r="F720" s="717" t="s">
        <v>461</v>
      </c>
      <c r="G720" s="718">
        <f t="shared" ref="G720:I721" si="19">2.75*1.25+2.22*2.56</f>
        <v>9.1206999999999994</v>
      </c>
      <c r="H720" s="718">
        <f t="shared" si="19"/>
        <v>9.1206999999999994</v>
      </c>
      <c r="I720" s="718">
        <f t="shared" si="19"/>
        <v>9.1206999999999994</v>
      </c>
      <c r="J720" s="64">
        <f>(0.02+0.05)/2</f>
        <v>3.5000000000000003E-2</v>
      </c>
      <c r="K720" s="350">
        <f>K717*J720</f>
        <v>0.12031250000000002</v>
      </c>
      <c r="L720" s="196"/>
      <c r="M720" s="196"/>
      <c r="R720" s="249"/>
      <c r="T720" s="45"/>
      <c r="V720" s="402"/>
      <c r="W720" s="42"/>
      <c r="X720" s="42"/>
    </row>
    <row r="721" spans="2:29" s="248" customFormat="1" ht="11.25" customHeight="1" outlineLevel="1">
      <c r="B721" s="247"/>
      <c r="E721" s="349" t="s">
        <v>1089</v>
      </c>
      <c r="F721" s="717" t="s">
        <v>461</v>
      </c>
      <c r="G721" s="718">
        <f t="shared" si="19"/>
        <v>9.1206999999999994</v>
      </c>
      <c r="H721" s="718">
        <f t="shared" si="19"/>
        <v>9.1206999999999994</v>
      </c>
      <c r="I721" s="718">
        <f t="shared" si="19"/>
        <v>9.1206999999999994</v>
      </c>
      <c r="J721" s="64">
        <f>(0.02+0.05)/2</f>
        <v>3.5000000000000003E-2</v>
      </c>
      <c r="K721" s="350">
        <f>K718*J721</f>
        <v>0.28851200000000005</v>
      </c>
      <c r="L721" s="196"/>
      <c r="M721" s="196"/>
      <c r="R721" s="249"/>
      <c r="T721" s="45"/>
      <c r="V721" s="402"/>
      <c r="W721" s="42"/>
      <c r="X721" s="42"/>
    </row>
    <row r="722" spans="2:29" ht="27" customHeight="1" outlineLevel="1">
      <c r="B722" s="237"/>
      <c r="C722" s="345"/>
      <c r="D722" s="345" t="s">
        <v>62</v>
      </c>
      <c r="E722" s="346">
        <v>713191133</v>
      </c>
      <c r="F722" s="760" t="s">
        <v>1027</v>
      </c>
      <c r="G722" s="761"/>
      <c r="H722" s="761"/>
      <c r="I722" s="762"/>
      <c r="J722" s="63" t="s">
        <v>63</v>
      </c>
      <c r="K722" s="347">
        <f>K710</f>
        <v>6.6</v>
      </c>
      <c r="L722" s="726"/>
      <c r="M722" s="726"/>
      <c r="N722" s="763">
        <f>ROUND(L722*K722,2)</f>
        <v>0</v>
      </c>
      <c r="O722" s="764"/>
      <c r="P722" s="764"/>
      <c r="Q722" s="765"/>
      <c r="R722" s="238"/>
      <c r="T722" s="45"/>
    </row>
    <row r="723" spans="2:29" ht="26.25" customHeight="1" outlineLevel="1">
      <c r="B723" s="237"/>
      <c r="C723" s="383"/>
      <c r="D723" s="383" t="s">
        <v>65</v>
      </c>
      <c r="E723" s="384">
        <v>28329028</v>
      </c>
      <c r="F723" s="751" t="s">
        <v>1028</v>
      </c>
      <c r="G723" s="751"/>
      <c r="H723" s="751"/>
      <c r="I723" s="751"/>
      <c r="J723" s="65" t="s">
        <v>63</v>
      </c>
      <c r="K723" s="385">
        <f>K722*1.05</f>
        <v>6.93</v>
      </c>
      <c r="L723" s="726"/>
      <c r="M723" s="726"/>
      <c r="N723" s="752">
        <f>ROUND(L723*K723,2)</f>
        <v>0</v>
      </c>
      <c r="O723" s="720"/>
      <c r="P723" s="720"/>
      <c r="Q723" s="720"/>
      <c r="R723" s="238"/>
      <c r="T723" s="45"/>
    </row>
    <row r="724" spans="2:29" s="374" customFormat="1" outlineLevel="1">
      <c r="B724" s="370"/>
      <c r="C724" s="371"/>
      <c r="D724" s="371"/>
      <c r="E724" s="753" t="s">
        <v>2012</v>
      </c>
      <c r="F724" s="754"/>
      <c r="G724" s="754"/>
      <c r="H724" s="754"/>
      <c r="I724" s="755"/>
      <c r="J724" s="145"/>
      <c r="K724" s="372"/>
      <c r="L724" s="756"/>
      <c r="M724" s="756"/>
      <c r="N724" s="757"/>
      <c r="O724" s="757"/>
      <c r="P724" s="757"/>
      <c r="Q724" s="757"/>
      <c r="R724" s="373"/>
      <c r="T724" s="144"/>
      <c r="U724" s="375"/>
      <c r="V724" s="407"/>
      <c r="W724" s="408"/>
      <c r="X724" s="408"/>
      <c r="Y724" s="375"/>
      <c r="Z724" s="375"/>
      <c r="AA724" s="375"/>
      <c r="AB724" s="375"/>
    </row>
    <row r="725" spans="2:29" s="358" customFormat="1" outlineLevel="1">
      <c r="B725" s="353"/>
      <c r="C725" s="354"/>
      <c r="D725" s="354" t="s">
        <v>62</v>
      </c>
      <c r="E725" s="355" t="s">
        <v>71</v>
      </c>
      <c r="F725" s="727" t="s">
        <v>72</v>
      </c>
      <c r="G725" s="727"/>
      <c r="H725" s="727"/>
      <c r="I725" s="727"/>
      <c r="J725" s="215" t="s">
        <v>63</v>
      </c>
      <c r="K725" s="356">
        <f>SUM(K726:K737)</f>
        <v>476.32000000000005</v>
      </c>
      <c r="L725" s="728"/>
      <c r="M725" s="728"/>
      <c r="N725" s="729">
        <f>ROUND(L725*K725,2)</f>
        <v>0</v>
      </c>
      <c r="O725" s="729"/>
      <c r="P725" s="729"/>
      <c r="Q725" s="729"/>
      <c r="R725" s="357"/>
      <c r="T725" s="216"/>
      <c r="U725" s="359"/>
      <c r="V725" s="414"/>
      <c r="W725" s="415"/>
      <c r="X725" s="415"/>
    </row>
    <row r="726" spans="2:29" s="248" customFormat="1" outlineLevel="1">
      <c r="B726" s="247"/>
      <c r="E726" s="349" t="s">
        <v>1068</v>
      </c>
      <c r="F726" s="717" t="s">
        <v>110</v>
      </c>
      <c r="G726" s="718"/>
      <c r="H726" s="718"/>
      <c r="I726" s="718"/>
      <c r="J726" s="64" t="s">
        <v>413</v>
      </c>
      <c r="K726" s="350">
        <f>(20+17.25+40.52+27.72+22.76+30.61)</f>
        <v>158.86000000000001</v>
      </c>
      <c r="L726" s="196"/>
      <c r="M726" s="196"/>
      <c r="R726" s="249"/>
      <c r="T726" s="45"/>
      <c r="V726" s="402"/>
      <c r="W726" s="42"/>
      <c r="X726" s="42"/>
    </row>
    <row r="727" spans="2:29" s="333" customFormat="1" outlineLevel="1">
      <c r="B727" s="362"/>
      <c r="E727" s="363" t="s">
        <v>2520</v>
      </c>
      <c r="F727" s="715" t="s">
        <v>2456</v>
      </c>
      <c r="G727" s="716">
        <f>(1.4+1.5)*2*(0.25*0.6)*12+0.35*0.45*2.3</f>
        <v>10.802249999999999</v>
      </c>
      <c r="H727" s="716">
        <f>(1.4+1.5)*2*(0.25*0.6)*12+0.35*0.45*2.3</f>
        <v>10.802249999999999</v>
      </c>
      <c r="I727" s="716">
        <f>(1.4+1.5)*2*(0.25*0.6)*12+0.35*0.45*2.3</f>
        <v>10.802249999999999</v>
      </c>
      <c r="J727" s="209">
        <v>-1</v>
      </c>
      <c r="K727" s="364">
        <f>K236*J727</f>
        <v>-30.61</v>
      </c>
      <c r="L727" s="210"/>
      <c r="M727" s="210"/>
      <c r="R727" s="365"/>
      <c r="T727" s="211"/>
      <c r="V727" s="217"/>
      <c r="W727" s="217"/>
      <c r="X727" s="217"/>
      <c r="AC727" s="366"/>
    </row>
    <row r="728" spans="2:29" s="248" customFormat="1" ht="11.25" customHeight="1" outlineLevel="1">
      <c r="B728" s="247"/>
      <c r="E728" s="349" t="s">
        <v>1067</v>
      </c>
      <c r="F728" s="717" t="s">
        <v>110</v>
      </c>
      <c r="G728" s="718"/>
      <c r="H728" s="718"/>
      <c r="I728" s="718"/>
      <c r="J728" s="64" t="s">
        <v>413</v>
      </c>
      <c r="K728" s="350">
        <f>(4.51+2.89+2.55+1.58+1.17*2+3.28+3.02+4.24+28.19+23.93+1.47+1.54)</f>
        <v>79.540000000000006</v>
      </c>
      <c r="L728" s="196"/>
      <c r="M728" s="196"/>
      <c r="R728" s="249"/>
      <c r="T728" s="45"/>
      <c r="V728" s="402"/>
      <c r="W728" s="42"/>
      <c r="X728" s="42"/>
    </row>
    <row r="729" spans="2:29" s="248" customFormat="1" ht="11.25" customHeight="1" outlineLevel="1">
      <c r="B729" s="247"/>
      <c r="E729" s="349" t="s">
        <v>1071</v>
      </c>
      <c r="F729" s="717" t="s">
        <v>110</v>
      </c>
      <c r="G729" s="718"/>
      <c r="H729" s="718"/>
      <c r="I729" s="718"/>
      <c r="J729" s="64" t="s">
        <v>1096</v>
      </c>
      <c r="K729" s="350">
        <f>2*1.33</f>
        <v>2.66</v>
      </c>
      <c r="L729" s="196"/>
      <c r="M729" s="196"/>
      <c r="R729" s="249"/>
      <c r="T729" s="45"/>
      <c r="V729" s="402"/>
      <c r="W729" s="42"/>
      <c r="X729" s="42"/>
    </row>
    <row r="730" spans="2:29" s="248" customFormat="1" ht="11.25" customHeight="1" outlineLevel="1">
      <c r="B730" s="247"/>
      <c r="E730" s="349" t="s">
        <v>1072</v>
      </c>
      <c r="F730" s="717" t="s">
        <v>110</v>
      </c>
      <c r="G730" s="718"/>
      <c r="H730" s="718"/>
      <c r="I730" s="718"/>
      <c r="J730" s="64" t="s">
        <v>1096</v>
      </c>
      <c r="K730" s="350">
        <f>(4.39+1.6+1.63+1.58+2.1+5.77+2.26+1.87)</f>
        <v>21.2</v>
      </c>
      <c r="L730" s="196"/>
      <c r="M730" s="196"/>
      <c r="R730" s="249"/>
      <c r="T730" s="45"/>
      <c r="V730" s="402"/>
      <c r="W730" s="42"/>
      <c r="X730" s="42"/>
    </row>
    <row r="731" spans="2:29" s="248" customFormat="1" ht="11.25" customHeight="1" outlineLevel="1">
      <c r="B731" s="247"/>
      <c r="E731" s="349" t="s">
        <v>1073</v>
      </c>
      <c r="F731" s="717" t="s">
        <v>110</v>
      </c>
      <c r="G731" s="718"/>
      <c r="H731" s="718"/>
      <c r="I731" s="718"/>
      <c r="J731" s="64" t="s">
        <v>1096</v>
      </c>
      <c r="K731" s="350">
        <f>9.9</f>
        <v>9.9</v>
      </c>
      <c r="L731" s="196"/>
      <c r="M731" s="196"/>
      <c r="R731" s="249"/>
      <c r="T731" s="45"/>
      <c r="V731" s="402"/>
      <c r="W731" s="42"/>
      <c r="X731" s="42"/>
    </row>
    <row r="732" spans="2:29" s="248" customFormat="1" ht="11.25" customHeight="1" outlineLevel="1">
      <c r="B732" s="247"/>
      <c r="E732" s="349" t="s">
        <v>1097</v>
      </c>
      <c r="F732" s="717" t="s">
        <v>110</v>
      </c>
      <c r="G732" s="718"/>
      <c r="H732" s="718"/>
      <c r="I732" s="718"/>
      <c r="J732" s="64" t="s">
        <v>416</v>
      </c>
      <c r="K732" s="350">
        <f>143.12+3.3</f>
        <v>146.42000000000002</v>
      </c>
      <c r="L732" s="196"/>
      <c r="M732" s="196"/>
      <c r="R732" s="249"/>
      <c r="T732" s="45"/>
      <c r="V732" s="402"/>
      <c r="W732" s="42"/>
      <c r="X732" s="42"/>
    </row>
    <row r="733" spans="2:29" s="248" customFormat="1" ht="11.25" customHeight="1" outlineLevel="1">
      <c r="B733" s="247"/>
      <c r="E733" s="349" t="s">
        <v>1099</v>
      </c>
      <c r="F733" s="717" t="s">
        <v>110</v>
      </c>
      <c r="G733" s="718"/>
      <c r="H733" s="718"/>
      <c r="I733" s="718"/>
      <c r="J733" s="64" t="s">
        <v>1100</v>
      </c>
      <c r="K733" s="350">
        <f>16.84+14.96+9.65</f>
        <v>41.45</v>
      </c>
      <c r="L733" s="196"/>
      <c r="M733" s="196"/>
      <c r="R733" s="249"/>
      <c r="T733" s="45"/>
      <c r="V733" s="402"/>
      <c r="W733" s="42"/>
      <c r="X733" s="42"/>
    </row>
    <row r="734" spans="2:29" s="248" customFormat="1" ht="11.25" customHeight="1" outlineLevel="1">
      <c r="B734" s="247"/>
      <c r="E734" s="349" t="s">
        <v>913</v>
      </c>
      <c r="F734" s="717" t="s">
        <v>110</v>
      </c>
      <c r="G734" s="718"/>
      <c r="H734" s="718"/>
      <c r="I734" s="718"/>
      <c r="J734" s="64" t="s">
        <v>413</v>
      </c>
      <c r="K734" s="350">
        <f>14.25</f>
        <v>14.25</v>
      </c>
      <c r="L734" s="196"/>
      <c r="M734" s="196"/>
      <c r="R734" s="249"/>
      <c r="T734" s="45"/>
      <c r="V734" s="402"/>
      <c r="W734" s="42"/>
      <c r="X734" s="42"/>
    </row>
    <row r="735" spans="2:29" s="248" customFormat="1" ht="11.25" customHeight="1" outlineLevel="1">
      <c r="B735" s="247"/>
      <c r="E735" s="349" t="s">
        <v>914</v>
      </c>
      <c r="F735" s="717" t="s">
        <v>110</v>
      </c>
      <c r="G735" s="718"/>
      <c r="H735" s="718"/>
      <c r="I735" s="718"/>
      <c r="J735" s="64" t="s">
        <v>1095</v>
      </c>
      <c r="K735" s="350">
        <f>6.91</f>
        <v>6.91</v>
      </c>
      <c r="L735" s="196"/>
      <c r="M735" s="196"/>
      <c r="R735" s="249"/>
      <c r="T735" s="45"/>
      <c r="V735" s="402"/>
      <c r="W735" s="42"/>
      <c r="X735" s="42"/>
    </row>
    <row r="736" spans="2:29" s="248" customFormat="1" outlineLevel="1">
      <c r="B736" s="247"/>
      <c r="E736" s="349" t="s">
        <v>1074</v>
      </c>
      <c r="F736" s="717" t="s">
        <v>110</v>
      </c>
      <c r="G736" s="718"/>
      <c r="H736" s="718"/>
      <c r="I736" s="718"/>
      <c r="J736" s="64" t="s">
        <v>1101</v>
      </c>
      <c r="K736" s="350">
        <f>12.87</f>
        <v>12.87</v>
      </c>
      <c r="L736" s="196"/>
      <c r="M736" s="196"/>
      <c r="R736" s="249"/>
      <c r="T736" s="45"/>
      <c r="V736" s="402"/>
      <c r="W736" s="42"/>
      <c r="X736" s="42"/>
    </row>
    <row r="737" spans="2:28" s="248" customFormat="1" outlineLevel="1">
      <c r="B737" s="247"/>
      <c r="E737" s="349" t="s">
        <v>1106</v>
      </c>
      <c r="F737" s="717" t="s">
        <v>110</v>
      </c>
      <c r="G737" s="718"/>
      <c r="H737" s="718"/>
      <c r="I737" s="718"/>
      <c r="J737" s="64" t="s">
        <v>2032</v>
      </c>
      <c r="K737" s="350">
        <f>12.87</f>
        <v>12.87</v>
      </c>
      <c r="L737" s="196"/>
      <c r="M737" s="196"/>
      <c r="R737" s="249"/>
      <c r="T737" s="45"/>
      <c r="V737" s="402"/>
      <c r="W737" s="42"/>
      <c r="X737" s="42"/>
    </row>
    <row r="738" spans="2:28" outlineLevel="1">
      <c r="B738" s="237"/>
      <c r="C738" s="383"/>
      <c r="D738" s="383" t="s">
        <v>65</v>
      </c>
      <c r="E738" s="384">
        <v>28375924</v>
      </c>
      <c r="F738" s="751" t="s">
        <v>1102</v>
      </c>
      <c r="G738" s="751"/>
      <c r="H738" s="751"/>
      <c r="I738" s="751"/>
      <c r="J738" s="65" t="s">
        <v>63</v>
      </c>
      <c r="K738" s="385">
        <f>(K729+K730+K731)*1.05</f>
        <v>35.448</v>
      </c>
      <c r="L738" s="726"/>
      <c r="M738" s="726"/>
      <c r="N738" s="752">
        <f t="shared" ref="N738:N743" si="20">ROUND(L738*K738,2)</f>
        <v>0</v>
      </c>
      <c r="O738" s="720"/>
      <c r="P738" s="720"/>
      <c r="Q738" s="720"/>
      <c r="R738" s="238"/>
      <c r="T738" s="45"/>
    </row>
    <row r="739" spans="2:28" s="358" customFormat="1" ht="11.25" customHeight="1" outlineLevel="1">
      <c r="B739" s="353"/>
      <c r="C739" s="386"/>
      <c r="D739" s="386" t="s">
        <v>65</v>
      </c>
      <c r="E739" s="387" t="s">
        <v>414</v>
      </c>
      <c r="F739" s="750" t="s">
        <v>415</v>
      </c>
      <c r="G739" s="750"/>
      <c r="H739" s="750"/>
      <c r="I739" s="750"/>
      <c r="J739" s="219" t="s">
        <v>63</v>
      </c>
      <c r="K739" s="388">
        <f>(K726+K727+K728+K734)*1.05</f>
        <v>233.14200000000002</v>
      </c>
      <c r="L739" s="728"/>
      <c r="M739" s="728"/>
      <c r="N739" s="758">
        <f t="shared" si="20"/>
        <v>0</v>
      </c>
      <c r="O739" s="729"/>
      <c r="P739" s="729"/>
      <c r="Q739" s="729"/>
      <c r="R739" s="357"/>
      <c r="T739" s="216"/>
      <c r="U739" s="359"/>
      <c r="V739" s="414"/>
      <c r="W739" s="415"/>
      <c r="X739" s="415"/>
    </row>
    <row r="740" spans="2:28" ht="11.25" customHeight="1" outlineLevel="1">
      <c r="B740" s="237"/>
      <c r="C740" s="383"/>
      <c r="D740" s="383" t="s">
        <v>65</v>
      </c>
      <c r="E740" s="384" t="s">
        <v>1103</v>
      </c>
      <c r="F740" s="751" t="s">
        <v>1104</v>
      </c>
      <c r="G740" s="751"/>
      <c r="H740" s="751"/>
      <c r="I740" s="751"/>
      <c r="J740" s="65" t="s">
        <v>63</v>
      </c>
      <c r="K740" s="385">
        <f>(K735)*1.05</f>
        <v>7.2555000000000005</v>
      </c>
      <c r="L740" s="726"/>
      <c r="M740" s="726"/>
      <c r="N740" s="752">
        <f>ROUND(L740*K740,2)</f>
        <v>0</v>
      </c>
      <c r="O740" s="720"/>
      <c r="P740" s="720"/>
      <c r="Q740" s="720"/>
      <c r="R740" s="238"/>
      <c r="T740" s="45"/>
    </row>
    <row r="741" spans="2:28" ht="11.25" customHeight="1" outlineLevel="1">
      <c r="B741" s="237"/>
      <c r="C741" s="383"/>
      <c r="D741" s="383" t="s">
        <v>65</v>
      </c>
      <c r="E741" s="384">
        <v>28375906</v>
      </c>
      <c r="F741" s="751" t="s">
        <v>1105</v>
      </c>
      <c r="G741" s="751"/>
      <c r="H741" s="751"/>
      <c r="I741" s="751"/>
      <c r="J741" s="65" t="s">
        <v>64</v>
      </c>
      <c r="K741" s="385">
        <f>(K736)*0.22*1.05</f>
        <v>2.9729700000000001</v>
      </c>
      <c r="L741" s="726"/>
      <c r="M741" s="726"/>
      <c r="N741" s="752">
        <f>ROUND(L741*K741,2)</f>
        <v>0</v>
      </c>
      <c r="O741" s="720"/>
      <c r="P741" s="720"/>
      <c r="Q741" s="720"/>
      <c r="R741" s="238"/>
      <c r="T741" s="45"/>
    </row>
    <row r="742" spans="2:28" ht="11.25" customHeight="1" outlineLevel="1">
      <c r="B742" s="237"/>
      <c r="C742" s="383"/>
      <c r="D742" s="383" t="s">
        <v>65</v>
      </c>
      <c r="E742" s="384">
        <v>28376143</v>
      </c>
      <c r="F742" s="751" t="s">
        <v>1107</v>
      </c>
      <c r="G742" s="751"/>
      <c r="H742" s="751"/>
      <c r="I742" s="751"/>
      <c r="J742" s="65" t="s">
        <v>64</v>
      </c>
      <c r="K742" s="385">
        <f>(K737)*(0.02+0.03)/2*1.05</f>
        <v>0.33783750000000001</v>
      </c>
      <c r="L742" s="726"/>
      <c r="M742" s="726"/>
      <c r="N742" s="752">
        <f>ROUND(L742*K742,2)</f>
        <v>0</v>
      </c>
      <c r="O742" s="720"/>
      <c r="P742" s="720"/>
      <c r="Q742" s="720"/>
      <c r="R742" s="238"/>
      <c r="T742" s="45"/>
    </row>
    <row r="743" spans="2:28" ht="26.25" customHeight="1" outlineLevel="1">
      <c r="B743" s="237"/>
      <c r="C743" s="383"/>
      <c r="D743" s="383" t="s">
        <v>65</v>
      </c>
      <c r="E743" s="384">
        <v>63231200</v>
      </c>
      <c r="F743" s="751" t="s">
        <v>417</v>
      </c>
      <c r="G743" s="751"/>
      <c r="H743" s="751"/>
      <c r="I743" s="751"/>
      <c r="J743" s="65" t="s">
        <v>63</v>
      </c>
      <c r="K743" s="385">
        <f>(K732)*1.05</f>
        <v>153.74100000000001</v>
      </c>
      <c r="L743" s="726"/>
      <c r="M743" s="726"/>
      <c r="N743" s="752">
        <f t="shared" si="20"/>
        <v>0</v>
      </c>
      <c r="O743" s="720"/>
      <c r="P743" s="720"/>
      <c r="Q743" s="720"/>
      <c r="R743" s="238"/>
      <c r="T743" s="45"/>
    </row>
    <row r="744" spans="2:28" outlineLevel="1">
      <c r="B744" s="237"/>
      <c r="C744" s="345"/>
      <c r="D744" s="345" t="s">
        <v>62</v>
      </c>
      <c r="E744" s="346">
        <v>998713202</v>
      </c>
      <c r="F744" s="719" t="s">
        <v>1113</v>
      </c>
      <c r="G744" s="719"/>
      <c r="H744" s="719"/>
      <c r="I744" s="719"/>
      <c r="J744" s="63" t="s">
        <v>70</v>
      </c>
      <c r="K744" s="66">
        <f>SUM(N642:Q743)</f>
        <v>0</v>
      </c>
      <c r="L744" s="759"/>
      <c r="M744" s="759"/>
      <c r="N744" s="720">
        <f>ROUND(L744*K744,2)</f>
        <v>0</v>
      </c>
      <c r="O744" s="720"/>
      <c r="P744" s="720"/>
      <c r="Q744" s="720"/>
      <c r="R744" s="238"/>
      <c r="T744" s="45"/>
    </row>
    <row r="745" spans="2:28" s="341" customFormat="1" ht="12.75">
      <c r="B745" s="340"/>
      <c r="C745" s="344"/>
      <c r="D745" s="344" t="s">
        <v>51</v>
      </c>
      <c r="E745" s="344"/>
      <c r="F745" s="344"/>
      <c r="G745" s="344"/>
      <c r="H745" s="344"/>
      <c r="I745" s="344"/>
      <c r="J745" s="61"/>
      <c r="K745" s="344"/>
      <c r="L745" s="72"/>
      <c r="M745" s="72"/>
      <c r="N745" s="734">
        <f>SUM(N746:Q824)</f>
        <v>0</v>
      </c>
      <c r="O745" s="734"/>
      <c r="P745" s="734"/>
      <c r="Q745" s="734"/>
      <c r="R745" s="342"/>
      <c r="T745" s="45">
        <f>SUM(N745:Q824)/2</f>
        <v>0</v>
      </c>
      <c r="U745" s="248"/>
      <c r="V745" s="398"/>
      <c r="W745" s="399"/>
      <c r="X745" s="399"/>
    </row>
    <row r="746" spans="2:28" outlineLevel="1">
      <c r="B746" s="237"/>
      <c r="C746" s="345"/>
      <c r="D746" s="345"/>
      <c r="E746" s="346"/>
      <c r="F746" s="719"/>
      <c r="G746" s="719"/>
      <c r="H746" s="719"/>
      <c r="I746" s="719"/>
      <c r="J746" s="63"/>
      <c r="K746" s="347"/>
      <c r="L746" s="766"/>
      <c r="M746" s="766"/>
      <c r="N746" s="720"/>
      <c r="O746" s="720"/>
      <c r="P746" s="720"/>
      <c r="Q746" s="720"/>
      <c r="R746" s="238"/>
      <c r="T746" s="78"/>
      <c r="U746" s="236"/>
    </row>
    <row r="747" spans="2:28" s="374" customFormat="1" outlineLevel="1">
      <c r="B747" s="370"/>
      <c r="C747" s="371"/>
      <c r="D747" s="371" t="s">
        <v>1009</v>
      </c>
      <c r="E747" s="753" t="s">
        <v>1010</v>
      </c>
      <c r="F747" s="754"/>
      <c r="G747" s="754"/>
      <c r="H747" s="754"/>
      <c r="I747" s="755"/>
      <c r="J747" s="145"/>
      <c r="K747" s="372">
        <f>4.26*2</f>
        <v>8.52</v>
      </c>
      <c r="L747" s="756"/>
      <c r="M747" s="756"/>
      <c r="N747" s="757"/>
      <c r="O747" s="757"/>
      <c r="P747" s="757"/>
      <c r="Q747" s="757"/>
      <c r="R747" s="373"/>
      <c r="T747" s="144"/>
      <c r="U747" s="375"/>
      <c r="V747" s="407"/>
      <c r="W747" s="408"/>
      <c r="X747" s="408"/>
      <c r="Y747" s="375"/>
      <c r="Z747" s="375"/>
      <c r="AA747" s="375"/>
      <c r="AB747" s="375"/>
    </row>
    <row r="748" spans="2:28" ht="27" customHeight="1" outlineLevel="1">
      <c r="B748" s="237"/>
      <c r="C748" s="345"/>
      <c r="D748" s="345" t="s">
        <v>62</v>
      </c>
      <c r="E748" s="346">
        <v>762112120</v>
      </c>
      <c r="F748" s="760" t="s">
        <v>1011</v>
      </c>
      <c r="G748" s="761"/>
      <c r="H748" s="761"/>
      <c r="I748" s="762"/>
      <c r="J748" s="63" t="s">
        <v>68</v>
      </c>
      <c r="K748" s="347">
        <f>SUM(K749:K749)</f>
        <v>12</v>
      </c>
      <c r="L748" s="726"/>
      <c r="M748" s="726"/>
      <c r="N748" s="763">
        <f>ROUND(L748*K748,2)</f>
        <v>0</v>
      </c>
      <c r="O748" s="764"/>
      <c r="P748" s="764"/>
      <c r="Q748" s="765"/>
      <c r="R748" s="238"/>
      <c r="T748" s="45"/>
    </row>
    <row r="749" spans="2:28" s="248" customFormat="1" outlineLevel="1">
      <c r="B749" s="247"/>
      <c r="E749" s="349" t="s">
        <v>1012</v>
      </c>
      <c r="F749" s="717" t="s">
        <v>1014</v>
      </c>
      <c r="G749" s="718">
        <f>5*(2.4/2)*2</f>
        <v>12</v>
      </c>
      <c r="H749" s="718">
        <f>5*(2.4/2)*2</f>
        <v>12</v>
      </c>
      <c r="I749" s="718">
        <f>5*(2.4/2)*2</f>
        <v>12</v>
      </c>
      <c r="J749" s="64">
        <f>0.08*0.18</f>
        <v>1.44E-2</v>
      </c>
      <c r="K749" s="350">
        <f>5*(2.4/2)*2</f>
        <v>12</v>
      </c>
      <c r="L749" s="196"/>
      <c r="M749" s="196"/>
      <c r="R749" s="249"/>
      <c r="T749" s="45"/>
      <c r="V749" s="402"/>
      <c r="W749" s="42"/>
      <c r="X749" s="42"/>
    </row>
    <row r="750" spans="2:28" outlineLevel="1">
      <c r="B750" s="237"/>
      <c r="C750" s="383"/>
      <c r="D750" s="383" t="s">
        <v>65</v>
      </c>
      <c r="E750" s="384">
        <v>60512130</v>
      </c>
      <c r="F750" s="751" t="s">
        <v>1013</v>
      </c>
      <c r="G750" s="751"/>
      <c r="H750" s="751"/>
      <c r="I750" s="751"/>
      <c r="J750" s="65" t="s">
        <v>64</v>
      </c>
      <c r="K750" s="385">
        <f>K748*J749</f>
        <v>0.17280000000000001</v>
      </c>
      <c r="L750" s="726"/>
      <c r="M750" s="726"/>
      <c r="N750" s="752">
        <f>ROUND(L750*K750,2)</f>
        <v>0</v>
      </c>
      <c r="O750" s="720"/>
      <c r="P750" s="720"/>
      <c r="Q750" s="720"/>
      <c r="R750" s="238"/>
      <c r="T750" s="45"/>
    </row>
    <row r="751" spans="2:28" outlineLevel="1">
      <c r="B751" s="237"/>
      <c r="C751" s="345"/>
      <c r="D751" s="345" t="s">
        <v>62</v>
      </c>
      <c r="E751" s="346">
        <v>762431034</v>
      </c>
      <c r="F751" s="719" t="s">
        <v>1016</v>
      </c>
      <c r="G751" s="719"/>
      <c r="H751" s="719"/>
      <c r="I751" s="719"/>
      <c r="J751" s="63" t="s">
        <v>63</v>
      </c>
      <c r="K751" s="347">
        <f>K747</f>
        <v>8.52</v>
      </c>
      <c r="L751" s="726"/>
      <c r="M751" s="726"/>
      <c r="N751" s="720">
        <f>ROUND(L751*K751,2)</f>
        <v>0</v>
      </c>
      <c r="O751" s="720"/>
      <c r="P751" s="720"/>
      <c r="Q751" s="720"/>
      <c r="R751" s="238"/>
      <c r="T751" s="45"/>
    </row>
    <row r="752" spans="2:28" outlineLevel="1">
      <c r="B752" s="237"/>
      <c r="C752" s="345"/>
      <c r="D752" s="345" t="s">
        <v>62</v>
      </c>
      <c r="E752" s="346">
        <v>762195000</v>
      </c>
      <c r="F752" s="719" t="s">
        <v>1015</v>
      </c>
      <c r="G752" s="719"/>
      <c r="H752" s="719"/>
      <c r="I752" s="719"/>
      <c r="J752" s="63" t="s">
        <v>64</v>
      </c>
      <c r="K752" s="347">
        <f>K750</f>
        <v>0.17280000000000001</v>
      </c>
      <c r="L752" s="726"/>
      <c r="M752" s="726"/>
      <c r="N752" s="720">
        <f>ROUND(L752*K752,2)</f>
        <v>0</v>
      </c>
      <c r="O752" s="720"/>
      <c r="P752" s="720"/>
      <c r="Q752" s="720"/>
      <c r="R752" s="238"/>
      <c r="T752" s="45"/>
    </row>
    <row r="753" spans="2:28" outlineLevel="1">
      <c r="B753" s="237"/>
      <c r="C753" s="345"/>
      <c r="D753" s="345" t="s">
        <v>62</v>
      </c>
      <c r="E753" s="346">
        <v>762439001</v>
      </c>
      <c r="F753" s="719" t="s">
        <v>1018</v>
      </c>
      <c r="G753" s="719"/>
      <c r="H753" s="719"/>
      <c r="I753" s="719"/>
      <c r="J753" s="63" t="s">
        <v>68</v>
      </c>
      <c r="K753" s="347">
        <f>SUM(K754:K754)</f>
        <v>18</v>
      </c>
      <c r="L753" s="726"/>
      <c r="M753" s="726"/>
      <c r="N753" s="720">
        <f>ROUND(L753*K753,2)</f>
        <v>0</v>
      </c>
      <c r="O753" s="720"/>
      <c r="P753" s="720"/>
      <c r="Q753" s="720"/>
      <c r="R753" s="238"/>
      <c r="T753" s="78"/>
      <c r="U753" s="236"/>
    </row>
    <row r="754" spans="2:28" s="248" customFormat="1" outlineLevel="1">
      <c r="B754" s="247"/>
      <c r="E754" s="349" t="s">
        <v>1019</v>
      </c>
      <c r="F754" s="717" t="s">
        <v>1020</v>
      </c>
      <c r="G754" s="718">
        <f>6*3/2*2</f>
        <v>18</v>
      </c>
      <c r="H754" s="718">
        <f>6*3/2*2</f>
        <v>18</v>
      </c>
      <c r="I754" s="718">
        <f>6*3/2*2</f>
        <v>18</v>
      </c>
      <c r="J754" s="64">
        <f>0.08*0.06</f>
        <v>4.7999999999999996E-3</v>
      </c>
      <c r="K754" s="350">
        <f>6*3/2*2</f>
        <v>18</v>
      </c>
      <c r="L754" s="196"/>
      <c r="M754" s="196"/>
      <c r="R754" s="249"/>
      <c r="T754" s="45"/>
      <c r="V754" s="402"/>
      <c r="W754" s="42"/>
      <c r="X754" s="42"/>
    </row>
    <row r="755" spans="2:28" outlineLevel="1">
      <c r="B755" s="237"/>
      <c r="C755" s="383"/>
      <c r="D755" s="383" t="s">
        <v>65</v>
      </c>
      <c r="E755" s="384">
        <v>60514114</v>
      </c>
      <c r="F755" s="751" t="s">
        <v>1021</v>
      </c>
      <c r="G755" s="751"/>
      <c r="H755" s="751"/>
      <c r="I755" s="751"/>
      <c r="J755" s="65" t="s">
        <v>64</v>
      </c>
      <c r="K755" s="385">
        <f>K754*J754</f>
        <v>8.6399999999999991E-2</v>
      </c>
      <c r="L755" s="726"/>
      <c r="M755" s="726"/>
      <c r="N755" s="752">
        <f>ROUND(L755*K755,2)</f>
        <v>0</v>
      </c>
      <c r="O755" s="720"/>
      <c r="P755" s="720"/>
      <c r="Q755" s="720"/>
      <c r="R755" s="238"/>
      <c r="T755" s="45"/>
    </row>
    <row r="756" spans="2:28" s="374" customFormat="1" outlineLevel="1">
      <c r="B756" s="370"/>
      <c r="C756" s="371"/>
      <c r="D756" s="371" t="s">
        <v>1023</v>
      </c>
      <c r="E756" s="753" t="s">
        <v>1025</v>
      </c>
      <c r="F756" s="754"/>
      <c r="G756" s="754"/>
      <c r="H756" s="754"/>
      <c r="I756" s="755"/>
      <c r="J756" s="145"/>
      <c r="K756" s="372">
        <f>6.5*2*(18.7+12.4)/2</f>
        <v>202.15</v>
      </c>
      <c r="L756" s="756"/>
      <c r="M756" s="756"/>
      <c r="N756" s="757"/>
      <c r="O756" s="757"/>
      <c r="P756" s="757"/>
      <c r="Q756" s="757"/>
      <c r="R756" s="373"/>
      <c r="T756" s="144"/>
      <c r="U756" s="375"/>
      <c r="V756" s="407"/>
      <c r="W756" s="408"/>
      <c r="X756" s="408"/>
      <c r="Y756" s="375"/>
      <c r="Z756" s="375"/>
      <c r="AA756" s="375"/>
      <c r="AB756" s="375"/>
    </row>
    <row r="757" spans="2:28" outlineLevel="1">
      <c r="B757" s="237"/>
      <c r="C757" s="345"/>
      <c r="D757" s="345" t="s">
        <v>62</v>
      </c>
      <c r="E757" s="346">
        <v>713191411</v>
      </c>
      <c r="F757" s="760" t="s">
        <v>1026</v>
      </c>
      <c r="G757" s="761"/>
      <c r="H757" s="761"/>
      <c r="I757" s="762"/>
      <c r="J757" s="63" t="s">
        <v>68</v>
      </c>
      <c r="K757" s="347">
        <f>SUM(K758)</f>
        <v>297.27941176470586</v>
      </c>
      <c r="L757" s="726"/>
      <c r="M757" s="726"/>
      <c r="N757" s="763">
        <f>ROUND(L757*K757,2)</f>
        <v>0</v>
      </c>
      <c r="O757" s="764"/>
      <c r="P757" s="764"/>
      <c r="Q757" s="765"/>
      <c r="R757" s="238"/>
      <c r="T757" s="45"/>
    </row>
    <row r="758" spans="2:28" s="248" customFormat="1" outlineLevel="1">
      <c r="B758" s="247"/>
      <c r="E758" s="349"/>
      <c r="F758" s="717" t="s">
        <v>158</v>
      </c>
      <c r="G758" s="718">
        <f>5*(2.4/2)*2</f>
        <v>12</v>
      </c>
      <c r="H758" s="718">
        <f>5*(2.4/2)*2</f>
        <v>12</v>
      </c>
      <c r="I758" s="718">
        <f>5*(2.4/2)*2</f>
        <v>12</v>
      </c>
      <c r="J758" s="64">
        <f>0.08*0.08</f>
        <v>6.4000000000000003E-3</v>
      </c>
      <c r="K758" s="350">
        <f>K756/0.68</f>
        <v>297.27941176470586</v>
      </c>
      <c r="L758" s="196"/>
      <c r="M758" s="196"/>
      <c r="R758" s="249"/>
      <c r="T758" s="45"/>
      <c r="V758" s="402"/>
      <c r="W758" s="42"/>
      <c r="X758" s="42"/>
    </row>
    <row r="759" spans="2:28" outlineLevel="1">
      <c r="B759" s="237"/>
      <c r="C759" s="383"/>
      <c r="D759" s="383" t="s">
        <v>65</v>
      </c>
      <c r="E759" s="384">
        <v>60514114</v>
      </c>
      <c r="F759" s="751" t="s">
        <v>1021</v>
      </c>
      <c r="G759" s="751"/>
      <c r="H759" s="751"/>
      <c r="I759" s="751"/>
      <c r="J759" s="65" t="s">
        <v>64</v>
      </c>
      <c r="K759" s="385">
        <f>K758*J758</f>
        <v>1.9025882352941175</v>
      </c>
      <c r="L759" s="726"/>
      <c r="M759" s="726"/>
      <c r="N759" s="752">
        <f>ROUND(L759*K759,2)</f>
        <v>0</v>
      </c>
      <c r="O759" s="720"/>
      <c r="P759" s="720"/>
      <c r="Q759" s="720"/>
      <c r="R759" s="238"/>
      <c r="T759" s="45"/>
    </row>
    <row r="760" spans="2:28" outlineLevel="1">
      <c r="B760" s="237"/>
      <c r="C760" s="345"/>
      <c r="D760" s="345" t="s">
        <v>62</v>
      </c>
      <c r="E760" s="346">
        <v>762395000</v>
      </c>
      <c r="F760" s="719" t="s">
        <v>249</v>
      </c>
      <c r="G760" s="719"/>
      <c r="H760" s="719"/>
      <c r="I760" s="719"/>
      <c r="J760" s="63" t="s">
        <v>64</v>
      </c>
      <c r="K760" s="347">
        <f>K759</f>
        <v>1.9025882352941175</v>
      </c>
      <c r="L760" s="726"/>
      <c r="M760" s="726"/>
      <c r="N760" s="720">
        <f>ROUND(L760*K760,2)</f>
        <v>0</v>
      </c>
      <c r="O760" s="720"/>
      <c r="P760" s="720"/>
      <c r="Q760" s="720"/>
      <c r="R760" s="238"/>
      <c r="T760" s="78"/>
      <c r="U760" s="236"/>
    </row>
    <row r="761" spans="2:28" s="374" customFormat="1" outlineLevel="1">
      <c r="B761" s="370"/>
      <c r="C761" s="371"/>
      <c r="D761" s="371" t="s">
        <v>1029</v>
      </c>
      <c r="E761" s="753" t="s">
        <v>1030</v>
      </c>
      <c r="F761" s="754"/>
      <c r="G761" s="754"/>
      <c r="H761" s="754"/>
      <c r="I761" s="755"/>
      <c r="J761" s="145"/>
      <c r="K761" s="372">
        <f>2.4*1.7*2</f>
        <v>8.16</v>
      </c>
      <c r="L761" s="756"/>
      <c r="M761" s="756"/>
      <c r="N761" s="757"/>
      <c r="O761" s="757"/>
      <c r="P761" s="757"/>
      <c r="Q761" s="757"/>
      <c r="R761" s="373"/>
      <c r="T761" s="144"/>
      <c r="U761" s="375"/>
      <c r="V761" s="407"/>
      <c r="W761" s="408"/>
      <c r="X761" s="408"/>
      <c r="Y761" s="375"/>
      <c r="Z761" s="375"/>
      <c r="AA761" s="375"/>
      <c r="AB761" s="375"/>
    </row>
    <row r="762" spans="2:28" outlineLevel="1">
      <c r="B762" s="237"/>
      <c r="C762" s="345"/>
      <c r="D762" s="345" t="s">
        <v>62</v>
      </c>
      <c r="E762" s="346">
        <v>713191411</v>
      </c>
      <c r="F762" s="760" t="s">
        <v>1026</v>
      </c>
      <c r="G762" s="761"/>
      <c r="H762" s="761"/>
      <c r="I762" s="762"/>
      <c r="J762" s="63" t="s">
        <v>68</v>
      </c>
      <c r="K762" s="347">
        <f>SUM(K763)</f>
        <v>12</v>
      </c>
      <c r="L762" s="726"/>
      <c r="M762" s="726"/>
      <c r="N762" s="763">
        <f>ROUND(L762*K762,2)</f>
        <v>0</v>
      </c>
      <c r="O762" s="764"/>
      <c r="P762" s="764"/>
      <c r="Q762" s="765"/>
      <c r="R762" s="238"/>
      <c r="T762" s="45"/>
    </row>
    <row r="763" spans="2:28" s="248" customFormat="1" outlineLevel="1">
      <c r="B763" s="247"/>
      <c r="E763" s="349"/>
      <c r="F763" s="717" t="s">
        <v>158</v>
      </c>
      <c r="G763" s="718">
        <f>5*(2.4/2)*2</f>
        <v>12</v>
      </c>
      <c r="H763" s="718">
        <f>5*(2.4/2)*2</f>
        <v>12</v>
      </c>
      <c r="I763" s="718">
        <f>5*(2.4/2)*2</f>
        <v>12</v>
      </c>
      <c r="J763" s="64">
        <f>0.08*0.08</f>
        <v>6.4000000000000003E-3</v>
      </c>
      <c r="K763" s="350">
        <f>K761/0.68</f>
        <v>12</v>
      </c>
      <c r="L763" s="196"/>
      <c r="M763" s="196"/>
      <c r="R763" s="249"/>
      <c r="T763" s="45"/>
      <c r="V763" s="402"/>
      <c r="W763" s="42"/>
      <c r="X763" s="42"/>
    </row>
    <row r="764" spans="2:28" outlineLevel="1">
      <c r="B764" s="237"/>
      <c r="C764" s="383"/>
      <c r="D764" s="383" t="s">
        <v>65</v>
      </c>
      <c r="E764" s="384">
        <v>60514114</v>
      </c>
      <c r="F764" s="751" t="s">
        <v>1021</v>
      </c>
      <c r="G764" s="751"/>
      <c r="H764" s="751"/>
      <c r="I764" s="751"/>
      <c r="J764" s="65" t="s">
        <v>64</v>
      </c>
      <c r="K764" s="385">
        <f>K763*J763</f>
        <v>7.6800000000000007E-2</v>
      </c>
      <c r="L764" s="726"/>
      <c r="M764" s="726"/>
      <c r="N764" s="752">
        <f>ROUND(L764*K764,2)</f>
        <v>0</v>
      </c>
      <c r="O764" s="720"/>
      <c r="P764" s="720"/>
      <c r="Q764" s="720"/>
      <c r="R764" s="238"/>
      <c r="T764" s="45"/>
    </row>
    <row r="765" spans="2:28" ht="27" customHeight="1" outlineLevel="1">
      <c r="B765" s="237"/>
      <c r="C765" s="345"/>
      <c r="D765" s="345" t="s">
        <v>62</v>
      </c>
      <c r="E765" s="346">
        <v>762332132</v>
      </c>
      <c r="F765" s="760" t="s">
        <v>477</v>
      </c>
      <c r="G765" s="761"/>
      <c r="H765" s="761"/>
      <c r="I765" s="762"/>
      <c r="J765" s="63" t="s">
        <v>68</v>
      </c>
      <c r="K765" s="347">
        <f>SUM(K766:K766)</f>
        <v>4.8</v>
      </c>
      <c r="L765" s="726"/>
      <c r="M765" s="726"/>
      <c r="N765" s="763">
        <f>ROUND(L765*K765,2)</f>
        <v>0</v>
      </c>
      <c r="O765" s="764"/>
      <c r="P765" s="764"/>
      <c r="Q765" s="765"/>
      <c r="R765" s="238"/>
      <c r="T765" s="45"/>
    </row>
    <row r="766" spans="2:28" s="248" customFormat="1" outlineLevel="1">
      <c r="B766" s="247"/>
      <c r="E766" s="349" t="s">
        <v>1031</v>
      </c>
      <c r="F766" s="717" t="s">
        <v>1032</v>
      </c>
      <c r="G766" s="718">
        <f>2.4*2</f>
        <v>4.8</v>
      </c>
      <c r="H766" s="718">
        <f>2.4*2</f>
        <v>4.8</v>
      </c>
      <c r="I766" s="718">
        <f>2.4*2</f>
        <v>4.8</v>
      </c>
      <c r="J766" s="64">
        <f>0.1*0.16</f>
        <v>1.6E-2</v>
      </c>
      <c r="K766" s="350">
        <f>2.4*2</f>
        <v>4.8</v>
      </c>
      <c r="L766" s="196"/>
      <c r="M766" s="196"/>
      <c r="R766" s="249"/>
      <c r="T766" s="45"/>
      <c r="V766" s="402"/>
      <c r="W766" s="42"/>
      <c r="X766" s="42"/>
    </row>
    <row r="767" spans="2:28" outlineLevel="1">
      <c r="B767" s="237"/>
      <c r="C767" s="383"/>
      <c r="D767" s="383" t="s">
        <v>65</v>
      </c>
      <c r="E767" s="384">
        <v>60512130</v>
      </c>
      <c r="F767" s="751" t="s">
        <v>1013</v>
      </c>
      <c r="G767" s="751"/>
      <c r="H767" s="751"/>
      <c r="I767" s="751"/>
      <c r="J767" s="65" t="s">
        <v>64</v>
      </c>
      <c r="K767" s="385">
        <f>K766*J766</f>
        <v>7.6799999999999993E-2</v>
      </c>
      <c r="L767" s="726"/>
      <c r="M767" s="726"/>
      <c r="N767" s="752">
        <f>ROUND(L767*K767,2)</f>
        <v>0</v>
      </c>
      <c r="O767" s="720"/>
      <c r="P767" s="720"/>
      <c r="Q767" s="720"/>
      <c r="R767" s="238"/>
      <c r="T767" s="45"/>
    </row>
    <row r="768" spans="2:28" outlineLevel="1">
      <c r="B768" s="237"/>
      <c r="C768" s="345"/>
      <c r="D768" s="345" t="s">
        <v>62</v>
      </c>
      <c r="E768" s="346">
        <v>713151111</v>
      </c>
      <c r="F768" s="719" t="s">
        <v>1033</v>
      </c>
      <c r="G768" s="719"/>
      <c r="H768" s="719"/>
      <c r="I768" s="719"/>
      <c r="J768" s="63" t="s">
        <v>63</v>
      </c>
      <c r="K768" s="347">
        <f>K761</f>
        <v>8.16</v>
      </c>
      <c r="L768" s="726"/>
      <c r="M768" s="726"/>
      <c r="N768" s="720">
        <f>ROUND(L768*K768,2)</f>
        <v>0</v>
      </c>
      <c r="O768" s="720"/>
      <c r="P768" s="720"/>
      <c r="Q768" s="720"/>
      <c r="R768" s="238"/>
      <c r="T768" s="45"/>
    </row>
    <row r="769" spans="2:28" ht="27" customHeight="1" outlineLevel="1">
      <c r="B769" s="237"/>
      <c r="C769" s="345"/>
      <c r="D769" s="345" t="s">
        <v>62</v>
      </c>
      <c r="E769" s="346">
        <v>713191133</v>
      </c>
      <c r="F769" s="760" t="s">
        <v>1027</v>
      </c>
      <c r="G769" s="761"/>
      <c r="H769" s="761"/>
      <c r="I769" s="762"/>
      <c r="J769" s="63" t="s">
        <v>63</v>
      </c>
      <c r="K769" s="347">
        <f>K761</f>
        <v>8.16</v>
      </c>
      <c r="L769" s="726"/>
      <c r="M769" s="726"/>
      <c r="N769" s="763">
        <f>ROUND(L769*K769,2)</f>
        <v>0</v>
      </c>
      <c r="O769" s="764"/>
      <c r="P769" s="764"/>
      <c r="Q769" s="765"/>
      <c r="R769" s="238"/>
      <c r="T769" s="45"/>
    </row>
    <row r="770" spans="2:28" ht="26.25" customHeight="1" outlineLevel="1">
      <c r="B770" s="237"/>
      <c r="C770" s="383"/>
      <c r="D770" s="383" t="s">
        <v>65</v>
      </c>
      <c r="E770" s="384">
        <v>28329029</v>
      </c>
      <c r="F770" s="751" t="s">
        <v>1022</v>
      </c>
      <c r="G770" s="751"/>
      <c r="H770" s="751"/>
      <c r="I770" s="751"/>
      <c r="J770" s="65" t="s">
        <v>63</v>
      </c>
      <c r="K770" s="385">
        <f>K769*1.05</f>
        <v>8.5680000000000014</v>
      </c>
      <c r="L770" s="726"/>
      <c r="M770" s="726"/>
      <c r="N770" s="752">
        <f>ROUND(L770*K770,2)</f>
        <v>0</v>
      </c>
      <c r="O770" s="720"/>
      <c r="P770" s="720"/>
      <c r="Q770" s="720"/>
      <c r="R770" s="238"/>
      <c r="T770" s="45"/>
    </row>
    <row r="771" spans="2:28" outlineLevel="1">
      <c r="B771" s="237"/>
      <c r="C771" s="345"/>
      <c r="D771" s="345" t="s">
        <v>62</v>
      </c>
      <c r="E771" s="346">
        <v>762342511</v>
      </c>
      <c r="F771" s="719" t="s">
        <v>1034</v>
      </c>
      <c r="G771" s="719"/>
      <c r="H771" s="719"/>
      <c r="I771" s="719"/>
      <c r="J771" s="63" t="s">
        <v>68</v>
      </c>
      <c r="K771" s="347">
        <f>SUM(K772)</f>
        <v>4.8</v>
      </c>
      <c r="L771" s="726"/>
      <c r="M771" s="726"/>
      <c r="N771" s="720">
        <f>ROUND(L771*K771,2)</f>
        <v>0</v>
      </c>
      <c r="O771" s="720"/>
      <c r="P771" s="720"/>
      <c r="Q771" s="720"/>
      <c r="R771" s="238"/>
      <c r="T771" s="78"/>
      <c r="U771" s="236"/>
    </row>
    <row r="772" spans="2:28" s="248" customFormat="1" outlineLevel="1">
      <c r="B772" s="247"/>
      <c r="E772" s="349" t="s">
        <v>1031</v>
      </c>
      <c r="F772" s="717" t="s">
        <v>1032</v>
      </c>
      <c r="G772" s="718">
        <f>2.4*2</f>
        <v>4.8</v>
      </c>
      <c r="H772" s="718">
        <f>2.4*2</f>
        <v>4.8</v>
      </c>
      <c r="I772" s="718">
        <f>2.4*2</f>
        <v>4.8</v>
      </c>
      <c r="J772" s="64">
        <f>0.04*0.06</f>
        <v>2.3999999999999998E-3</v>
      </c>
      <c r="K772" s="350">
        <f>K766</f>
        <v>4.8</v>
      </c>
      <c r="L772" s="196"/>
      <c r="M772" s="196"/>
      <c r="R772" s="249"/>
      <c r="T772" s="45"/>
      <c r="V772" s="402"/>
      <c r="W772" s="42"/>
      <c r="X772" s="42"/>
    </row>
    <row r="773" spans="2:28" ht="27" customHeight="1" outlineLevel="1">
      <c r="B773" s="237"/>
      <c r="C773" s="345"/>
      <c r="D773" s="345" t="s">
        <v>62</v>
      </c>
      <c r="E773" s="346">
        <v>762342214</v>
      </c>
      <c r="F773" s="760" t="s">
        <v>1024</v>
      </c>
      <c r="G773" s="761"/>
      <c r="H773" s="761"/>
      <c r="I773" s="762"/>
      <c r="J773" s="63" t="s">
        <v>63</v>
      </c>
      <c r="K773" s="347">
        <f>K761</f>
        <v>8.16</v>
      </c>
      <c r="L773" s="726"/>
      <c r="M773" s="726"/>
      <c r="N773" s="763">
        <f>ROUND(L773*K773,2)</f>
        <v>0</v>
      </c>
      <c r="O773" s="764"/>
      <c r="P773" s="764"/>
      <c r="Q773" s="765"/>
      <c r="R773" s="238"/>
      <c r="T773" s="45"/>
    </row>
    <row r="774" spans="2:28" s="248" customFormat="1" outlineLevel="1">
      <c r="B774" s="247"/>
      <c r="E774" s="349" t="s">
        <v>1031</v>
      </c>
      <c r="F774" s="717" t="s">
        <v>158</v>
      </c>
      <c r="G774" s="718"/>
      <c r="H774" s="718"/>
      <c r="I774" s="718"/>
      <c r="J774" s="64">
        <f>0.04*0.06</f>
        <v>2.3999999999999998E-3</v>
      </c>
      <c r="K774" s="350">
        <f>K761</f>
        <v>8.16</v>
      </c>
      <c r="L774" s="196"/>
      <c r="M774" s="196"/>
      <c r="R774" s="249"/>
      <c r="T774" s="45"/>
      <c r="V774" s="402"/>
      <c r="W774" s="42"/>
      <c r="X774" s="42"/>
    </row>
    <row r="775" spans="2:28" outlineLevel="1">
      <c r="B775" s="237"/>
      <c r="C775" s="383"/>
      <c r="D775" s="383" t="s">
        <v>65</v>
      </c>
      <c r="E775" s="384">
        <v>60514114</v>
      </c>
      <c r="F775" s="751" t="s">
        <v>1021</v>
      </c>
      <c r="G775" s="751"/>
      <c r="H775" s="751"/>
      <c r="I775" s="751"/>
      <c r="J775" s="65" t="s">
        <v>64</v>
      </c>
      <c r="K775" s="385">
        <f>K774*J774/0.36+K772*J772</f>
        <v>6.5919999999999992E-2</v>
      </c>
      <c r="L775" s="726"/>
      <c r="M775" s="726"/>
      <c r="N775" s="752">
        <f>ROUND(L775*K775,2)</f>
        <v>0</v>
      </c>
      <c r="O775" s="720"/>
      <c r="P775" s="720"/>
      <c r="Q775" s="720"/>
      <c r="R775" s="238"/>
      <c r="T775" s="45"/>
    </row>
    <row r="776" spans="2:28" outlineLevel="1">
      <c r="B776" s="237"/>
      <c r="C776" s="345"/>
      <c r="D776" s="345" t="s">
        <v>62</v>
      </c>
      <c r="E776" s="346">
        <v>762395000</v>
      </c>
      <c r="F776" s="719" t="s">
        <v>249</v>
      </c>
      <c r="G776" s="719"/>
      <c r="H776" s="719"/>
      <c r="I776" s="719"/>
      <c r="J776" s="63" t="s">
        <v>64</v>
      </c>
      <c r="K776" s="347">
        <f>K764+K767+K775</f>
        <v>0.21951999999999999</v>
      </c>
      <c r="L776" s="726"/>
      <c r="M776" s="726"/>
      <c r="N776" s="720">
        <f>ROUND(L776*K776,2)</f>
        <v>0</v>
      </c>
      <c r="O776" s="720"/>
      <c r="P776" s="720"/>
      <c r="Q776" s="720"/>
      <c r="R776" s="238"/>
      <c r="T776" s="78"/>
      <c r="U776" s="236"/>
    </row>
    <row r="777" spans="2:28" s="374" customFormat="1" outlineLevel="1">
      <c r="B777" s="370"/>
      <c r="C777" s="371"/>
      <c r="D777" s="371" t="s">
        <v>1036</v>
      </c>
      <c r="E777" s="753" t="s">
        <v>1037</v>
      </c>
      <c r="F777" s="754"/>
      <c r="G777" s="754"/>
      <c r="H777" s="754"/>
      <c r="I777" s="755"/>
      <c r="J777" s="145"/>
      <c r="K777" s="372">
        <f>4.2*2*(23.6+32.3)/2</f>
        <v>234.78</v>
      </c>
      <c r="L777" s="756"/>
      <c r="M777" s="756"/>
      <c r="N777" s="757"/>
      <c r="O777" s="757"/>
      <c r="P777" s="757"/>
      <c r="Q777" s="757"/>
      <c r="R777" s="373"/>
      <c r="T777" s="144"/>
      <c r="U777" s="375"/>
      <c r="V777" s="407"/>
      <c r="W777" s="408"/>
      <c r="X777" s="408"/>
      <c r="Y777" s="375"/>
      <c r="Z777" s="375"/>
      <c r="AA777" s="375"/>
      <c r="AB777" s="375"/>
    </row>
    <row r="778" spans="2:28" outlineLevel="1">
      <c r="B778" s="237"/>
      <c r="C778" s="345"/>
      <c r="D778" s="345" t="s">
        <v>62</v>
      </c>
      <c r="E778" s="346">
        <v>713191411</v>
      </c>
      <c r="F778" s="760" t="s">
        <v>1026</v>
      </c>
      <c r="G778" s="761"/>
      <c r="H778" s="761"/>
      <c r="I778" s="762"/>
      <c r="J778" s="63" t="s">
        <v>68</v>
      </c>
      <c r="K778" s="347">
        <f>SUM(K779)</f>
        <v>345.26470588235293</v>
      </c>
      <c r="L778" s="726"/>
      <c r="M778" s="726"/>
      <c r="N778" s="763">
        <f>ROUND(L778*K778,2)</f>
        <v>0</v>
      </c>
      <c r="O778" s="764"/>
      <c r="P778" s="764"/>
      <c r="Q778" s="765"/>
      <c r="R778" s="238"/>
      <c r="T778" s="45"/>
    </row>
    <row r="779" spans="2:28" s="248" customFormat="1" outlineLevel="1">
      <c r="B779" s="247"/>
      <c r="E779" s="349"/>
      <c r="F779" s="717" t="s">
        <v>158</v>
      </c>
      <c r="G779" s="718">
        <f>5*(2.4/2)*2</f>
        <v>12</v>
      </c>
      <c r="H779" s="718">
        <f>5*(2.4/2)*2</f>
        <v>12</v>
      </c>
      <c r="I779" s="718">
        <f>5*(2.4/2)*2</f>
        <v>12</v>
      </c>
      <c r="J779" s="64">
        <f>0.08*0.08</f>
        <v>6.4000000000000003E-3</v>
      </c>
      <c r="K779" s="350">
        <f>K777/0.68</f>
        <v>345.26470588235293</v>
      </c>
      <c r="L779" s="196"/>
      <c r="M779" s="196"/>
      <c r="R779" s="249"/>
      <c r="T779" s="45"/>
      <c r="V779" s="402"/>
      <c r="W779" s="42"/>
      <c r="X779" s="42"/>
    </row>
    <row r="780" spans="2:28" outlineLevel="1">
      <c r="B780" s="237"/>
      <c r="C780" s="383"/>
      <c r="D780" s="383" t="s">
        <v>65</v>
      </c>
      <c r="E780" s="384">
        <v>60514114</v>
      </c>
      <c r="F780" s="751" t="s">
        <v>1021</v>
      </c>
      <c r="G780" s="751"/>
      <c r="H780" s="751"/>
      <c r="I780" s="751"/>
      <c r="J780" s="65" t="s">
        <v>64</v>
      </c>
      <c r="K780" s="385">
        <f>K779*J779</f>
        <v>2.209694117647059</v>
      </c>
      <c r="L780" s="726"/>
      <c r="M780" s="726"/>
      <c r="N780" s="752">
        <f>ROUND(L780*K780,2)</f>
        <v>0</v>
      </c>
      <c r="O780" s="720"/>
      <c r="P780" s="720"/>
      <c r="Q780" s="720"/>
      <c r="R780" s="238"/>
      <c r="T780" s="45"/>
    </row>
    <row r="781" spans="2:28" outlineLevel="1">
      <c r="B781" s="237"/>
      <c r="C781" s="345"/>
      <c r="D781" s="345" t="s">
        <v>62</v>
      </c>
      <c r="E781" s="346">
        <v>762395000</v>
      </c>
      <c r="F781" s="719" t="s">
        <v>249</v>
      </c>
      <c r="G781" s="719"/>
      <c r="H781" s="719"/>
      <c r="I781" s="719"/>
      <c r="J781" s="63" t="s">
        <v>64</v>
      </c>
      <c r="K781" s="347">
        <f>K780</f>
        <v>2.209694117647059</v>
      </c>
      <c r="L781" s="726"/>
      <c r="M781" s="726"/>
      <c r="N781" s="720">
        <f>ROUND(L781*K781,2)</f>
        <v>0</v>
      </c>
      <c r="O781" s="720"/>
      <c r="P781" s="720"/>
      <c r="Q781" s="720"/>
      <c r="R781" s="238"/>
      <c r="T781" s="78"/>
      <c r="U781" s="236"/>
    </row>
    <row r="782" spans="2:28" s="374" customFormat="1" outlineLevel="1">
      <c r="B782" s="370"/>
      <c r="C782" s="371"/>
      <c r="D782" s="371" t="s">
        <v>1038</v>
      </c>
      <c r="E782" s="753" t="s">
        <v>1039</v>
      </c>
      <c r="F782" s="754"/>
      <c r="G782" s="754"/>
      <c r="H782" s="754"/>
      <c r="I782" s="755"/>
      <c r="J782" s="145"/>
      <c r="K782" s="372">
        <f>2.4*1.7*9</f>
        <v>36.72</v>
      </c>
      <c r="L782" s="756"/>
      <c r="M782" s="756"/>
      <c r="N782" s="757"/>
      <c r="O782" s="757"/>
      <c r="P782" s="757"/>
      <c r="Q782" s="757"/>
      <c r="R782" s="373"/>
      <c r="T782" s="144"/>
      <c r="U782" s="375"/>
      <c r="V782" s="407"/>
      <c r="W782" s="408"/>
      <c r="X782" s="408"/>
      <c r="Y782" s="375"/>
      <c r="Z782" s="375"/>
      <c r="AA782" s="375"/>
      <c r="AB782" s="375"/>
    </row>
    <row r="783" spans="2:28" outlineLevel="1">
      <c r="B783" s="237"/>
      <c r="C783" s="345"/>
      <c r="D783" s="345" t="s">
        <v>62</v>
      </c>
      <c r="E783" s="346">
        <v>713191411</v>
      </c>
      <c r="F783" s="760" t="s">
        <v>1026</v>
      </c>
      <c r="G783" s="761"/>
      <c r="H783" s="761"/>
      <c r="I783" s="762"/>
      <c r="J783" s="63" t="s">
        <v>68</v>
      </c>
      <c r="K783" s="347">
        <f>SUM(K784)</f>
        <v>53.999999999999993</v>
      </c>
      <c r="L783" s="726"/>
      <c r="M783" s="726"/>
      <c r="N783" s="763">
        <f>ROUND(L783*K783,2)</f>
        <v>0</v>
      </c>
      <c r="O783" s="764"/>
      <c r="P783" s="764"/>
      <c r="Q783" s="765"/>
      <c r="R783" s="238"/>
      <c r="T783" s="45"/>
    </row>
    <row r="784" spans="2:28" s="248" customFormat="1" outlineLevel="1">
      <c r="B784" s="247"/>
      <c r="E784" s="349"/>
      <c r="F784" s="717" t="s">
        <v>158</v>
      </c>
      <c r="G784" s="718">
        <f>5*(2.4/2)*2</f>
        <v>12</v>
      </c>
      <c r="H784" s="718">
        <f>5*(2.4/2)*2</f>
        <v>12</v>
      </c>
      <c r="I784" s="718">
        <f>5*(2.4/2)*2</f>
        <v>12</v>
      </c>
      <c r="J784" s="64">
        <f>0.08*0.08</f>
        <v>6.4000000000000003E-3</v>
      </c>
      <c r="K784" s="350">
        <f>K782/0.68</f>
        <v>53.999999999999993</v>
      </c>
      <c r="L784" s="196"/>
      <c r="M784" s="196"/>
      <c r="R784" s="249"/>
      <c r="T784" s="45"/>
      <c r="V784" s="402"/>
      <c r="W784" s="42"/>
      <c r="X784" s="42"/>
    </row>
    <row r="785" spans="2:29" outlineLevel="1">
      <c r="B785" s="237"/>
      <c r="C785" s="383"/>
      <c r="D785" s="383" t="s">
        <v>65</v>
      </c>
      <c r="E785" s="384">
        <v>60514114</v>
      </c>
      <c r="F785" s="751" t="s">
        <v>1021</v>
      </c>
      <c r="G785" s="751"/>
      <c r="H785" s="751"/>
      <c r="I785" s="751"/>
      <c r="J785" s="65" t="s">
        <v>64</v>
      </c>
      <c r="K785" s="385">
        <f>K784*J784</f>
        <v>0.34559999999999996</v>
      </c>
      <c r="L785" s="726"/>
      <c r="M785" s="726"/>
      <c r="N785" s="752">
        <f>ROUND(L785*K785,2)</f>
        <v>0</v>
      </c>
      <c r="O785" s="720"/>
      <c r="P785" s="720"/>
      <c r="Q785" s="720"/>
      <c r="R785" s="238"/>
      <c r="T785" s="45"/>
    </row>
    <row r="786" spans="2:29" ht="27" customHeight="1" outlineLevel="1">
      <c r="B786" s="237"/>
      <c r="C786" s="345"/>
      <c r="D786" s="345" t="s">
        <v>62</v>
      </c>
      <c r="E786" s="346">
        <v>762332132</v>
      </c>
      <c r="F786" s="760" t="s">
        <v>477</v>
      </c>
      <c r="G786" s="761"/>
      <c r="H786" s="761"/>
      <c r="I786" s="762"/>
      <c r="J786" s="63" t="s">
        <v>68</v>
      </c>
      <c r="K786" s="347">
        <f>SUM(K787:K787)</f>
        <v>21.599999999999998</v>
      </c>
      <c r="L786" s="726"/>
      <c r="M786" s="726"/>
      <c r="N786" s="763">
        <f>ROUND(L786*K786,2)</f>
        <v>0</v>
      </c>
      <c r="O786" s="764"/>
      <c r="P786" s="764"/>
      <c r="Q786" s="765"/>
      <c r="R786" s="238"/>
      <c r="T786" s="45"/>
    </row>
    <row r="787" spans="2:29" s="248" customFormat="1" outlineLevel="1">
      <c r="B787" s="247"/>
      <c r="E787" s="349" t="s">
        <v>1031</v>
      </c>
      <c r="F787" s="717" t="s">
        <v>1040</v>
      </c>
      <c r="G787" s="718">
        <f>2.4*2</f>
        <v>4.8</v>
      </c>
      <c r="H787" s="718">
        <f>2.4*2</f>
        <v>4.8</v>
      </c>
      <c r="I787" s="718">
        <f>2.4*2</f>
        <v>4.8</v>
      </c>
      <c r="J787" s="64">
        <f>0.1*0.16</f>
        <v>1.6E-2</v>
      </c>
      <c r="K787" s="350">
        <f>2.4*9</f>
        <v>21.599999999999998</v>
      </c>
      <c r="L787" s="196"/>
      <c r="M787" s="196"/>
      <c r="R787" s="249"/>
      <c r="T787" s="45"/>
      <c r="V787" s="402"/>
      <c r="W787" s="42"/>
      <c r="X787" s="42"/>
    </row>
    <row r="788" spans="2:29" outlineLevel="1">
      <c r="B788" s="237"/>
      <c r="C788" s="383"/>
      <c r="D788" s="383" t="s">
        <v>65</v>
      </c>
      <c r="E788" s="384">
        <v>60512130</v>
      </c>
      <c r="F788" s="751" t="s">
        <v>1013</v>
      </c>
      <c r="G788" s="751"/>
      <c r="H788" s="751"/>
      <c r="I788" s="751"/>
      <c r="J788" s="65" t="s">
        <v>64</v>
      </c>
      <c r="K788" s="385">
        <f>K787*J787</f>
        <v>0.34559999999999996</v>
      </c>
      <c r="L788" s="726"/>
      <c r="M788" s="726"/>
      <c r="N788" s="752">
        <f>ROUND(L788*K788,2)</f>
        <v>0</v>
      </c>
      <c r="O788" s="720"/>
      <c r="P788" s="720"/>
      <c r="Q788" s="720"/>
      <c r="R788" s="238"/>
      <c r="T788" s="45"/>
    </row>
    <row r="789" spans="2:29" ht="27" customHeight="1" outlineLevel="1">
      <c r="B789" s="237"/>
      <c r="C789" s="345"/>
      <c r="D789" s="345" t="s">
        <v>62</v>
      </c>
      <c r="E789" s="346">
        <v>713191133</v>
      </c>
      <c r="F789" s="760" t="s">
        <v>1027</v>
      </c>
      <c r="G789" s="761"/>
      <c r="H789" s="761"/>
      <c r="I789" s="762"/>
      <c r="J789" s="63" t="s">
        <v>63</v>
      </c>
      <c r="K789" s="347">
        <f>K782</f>
        <v>36.72</v>
      </c>
      <c r="L789" s="726"/>
      <c r="M789" s="726"/>
      <c r="N789" s="763">
        <f>ROUND(L789*K789,2)</f>
        <v>0</v>
      </c>
      <c r="O789" s="764"/>
      <c r="P789" s="764"/>
      <c r="Q789" s="765"/>
      <c r="R789" s="238"/>
      <c r="T789" s="45"/>
    </row>
    <row r="790" spans="2:29" ht="26.25" customHeight="1" outlineLevel="1">
      <c r="B790" s="237"/>
      <c r="C790" s="383"/>
      <c r="D790" s="383" t="s">
        <v>65</v>
      </c>
      <c r="E790" s="384">
        <v>28329029</v>
      </c>
      <c r="F790" s="751" t="s">
        <v>1022</v>
      </c>
      <c r="G790" s="751"/>
      <c r="H790" s="751"/>
      <c r="I790" s="751"/>
      <c r="J790" s="65" t="s">
        <v>63</v>
      </c>
      <c r="K790" s="385">
        <f>K789*1.05</f>
        <v>38.555999999999997</v>
      </c>
      <c r="L790" s="726"/>
      <c r="M790" s="726"/>
      <c r="N790" s="752">
        <f>ROUND(L790*K790,2)</f>
        <v>0</v>
      </c>
      <c r="O790" s="720"/>
      <c r="P790" s="720"/>
      <c r="Q790" s="720"/>
      <c r="R790" s="238"/>
      <c r="T790" s="45"/>
    </row>
    <row r="791" spans="2:29" outlineLevel="1">
      <c r="B791" s="237"/>
      <c r="C791" s="345"/>
      <c r="D791" s="345" t="s">
        <v>62</v>
      </c>
      <c r="E791" s="346">
        <v>762342511</v>
      </c>
      <c r="F791" s="719" t="s">
        <v>1034</v>
      </c>
      <c r="G791" s="719"/>
      <c r="H791" s="719"/>
      <c r="I791" s="719"/>
      <c r="J791" s="63" t="s">
        <v>68</v>
      </c>
      <c r="K791" s="347">
        <f>SUM(K792)</f>
        <v>21.599999999999998</v>
      </c>
      <c r="L791" s="726"/>
      <c r="M791" s="726"/>
      <c r="N791" s="720">
        <f>ROUND(L791*K791,2)</f>
        <v>0</v>
      </c>
      <c r="O791" s="720"/>
      <c r="P791" s="720"/>
      <c r="Q791" s="720"/>
      <c r="R791" s="238"/>
      <c r="T791" s="78"/>
      <c r="U791" s="236"/>
    </row>
    <row r="792" spans="2:29" s="248" customFormat="1" outlineLevel="1">
      <c r="B792" s="247"/>
      <c r="E792" s="349" t="s">
        <v>1031</v>
      </c>
      <c r="F792" s="717" t="s">
        <v>1032</v>
      </c>
      <c r="G792" s="718">
        <f>2.4*2</f>
        <v>4.8</v>
      </c>
      <c r="H792" s="718">
        <f>2.4*2</f>
        <v>4.8</v>
      </c>
      <c r="I792" s="718">
        <f>2.4*2</f>
        <v>4.8</v>
      </c>
      <c r="J792" s="64">
        <f>0.04*0.06</f>
        <v>2.3999999999999998E-3</v>
      </c>
      <c r="K792" s="350">
        <f>K787</f>
        <v>21.599999999999998</v>
      </c>
      <c r="L792" s="196"/>
      <c r="M792" s="196"/>
      <c r="R792" s="249"/>
      <c r="T792" s="45"/>
      <c r="V792" s="402"/>
      <c r="W792" s="42"/>
      <c r="X792" s="42"/>
    </row>
    <row r="793" spans="2:29" ht="27" customHeight="1" outlineLevel="1">
      <c r="B793" s="237"/>
      <c r="C793" s="345"/>
      <c r="D793" s="345" t="s">
        <v>62</v>
      </c>
      <c r="E793" s="346">
        <v>762342214</v>
      </c>
      <c r="F793" s="760" t="s">
        <v>1024</v>
      </c>
      <c r="G793" s="761"/>
      <c r="H793" s="761"/>
      <c r="I793" s="762"/>
      <c r="J793" s="63" t="s">
        <v>63</v>
      </c>
      <c r="K793" s="347">
        <f>K782</f>
        <v>36.72</v>
      </c>
      <c r="L793" s="726"/>
      <c r="M793" s="726"/>
      <c r="N793" s="763">
        <f>ROUND(L793*K793,2)</f>
        <v>0</v>
      </c>
      <c r="O793" s="764"/>
      <c r="P793" s="764"/>
      <c r="Q793" s="765"/>
      <c r="R793" s="238"/>
      <c r="T793" s="45"/>
    </row>
    <row r="794" spans="2:29" s="248" customFormat="1" outlineLevel="1">
      <c r="B794" s="247"/>
      <c r="E794" s="349" t="s">
        <v>1031</v>
      </c>
      <c r="F794" s="717" t="s">
        <v>158</v>
      </c>
      <c r="G794" s="718"/>
      <c r="H794" s="718"/>
      <c r="I794" s="718"/>
      <c r="J794" s="64">
        <f>0.04*0.06</f>
        <v>2.3999999999999998E-3</v>
      </c>
      <c r="K794" s="350">
        <f>K782</f>
        <v>36.72</v>
      </c>
      <c r="L794" s="196"/>
      <c r="M794" s="196"/>
      <c r="R794" s="249"/>
      <c r="T794" s="45"/>
      <c r="V794" s="402"/>
      <c r="W794" s="42"/>
      <c r="X794" s="42"/>
    </row>
    <row r="795" spans="2:29" outlineLevel="1">
      <c r="B795" s="237"/>
      <c r="C795" s="383"/>
      <c r="D795" s="383" t="s">
        <v>65</v>
      </c>
      <c r="E795" s="384">
        <v>60514114</v>
      </c>
      <c r="F795" s="751" t="s">
        <v>1021</v>
      </c>
      <c r="G795" s="751"/>
      <c r="H795" s="751"/>
      <c r="I795" s="751"/>
      <c r="J795" s="65" t="s">
        <v>64</v>
      </c>
      <c r="K795" s="385">
        <f>K794*J794/0.36+K792*J792</f>
        <v>0.29663999999999996</v>
      </c>
      <c r="L795" s="726"/>
      <c r="M795" s="726"/>
      <c r="N795" s="752">
        <f>ROUND(L795*K795,2)</f>
        <v>0</v>
      </c>
      <c r="O795" s="720"/>
      <c r="P795" s="720"/>
      <c r="Q795" s="720"/>
      <c r="R795" s="238"/>
      <c r="T795" s="45"/>
    </row>
    <row r="796" spans="2:29" outlineLevel="1">
      <c r="B796" s="237"/>
      <c r="C796" s="345"/>
      <c r="D796" s="345" t="s">
        <v>62</v>
      </c>
      <c r="E796" s="346">
        <v>762395000</v>
      </c>
      <c r="F796" s="719" t="s">
        <v>249</v>
      </c>
      <c r="G796" s="719"/>
      <c r="H796" s="719"/>
      <c r="I796" s="719"/>
      <c r="J796" s="63" t="s">
        <v>64</v>
      </c>
      <c r="K796" s="347">
        <f>K785+K788+K795</f>
        <v>0.98783999999999983</v>
      </c>
      <c r="L796" s="726"/>
      <c r="M796" s="726"/>
      <c r="N796" s="720">
        <f>ROUND(L796*K796,2)</f>
        <v>0</v>
      </c>
      <c r="O796" s="720"/>
      <c r="P796" s="720"/>
      <c r="Q796" s="720"/>
      <c r="R796" s="238"/>
      <c r="T796" s="78"/>
      <c r="U796" s="236"/>
    </row>
    <row r="797" spans="2:29" s="374" customFormat="1" outlineLevel="1">
      <c r="B797" s="370"/>
      <c r="C797" s="371"/>
      <c r="D797" s="371" t="s">
        <v>1042</v>
      </c>
      <c r="E797" s="753" t="s">
        <v>2014</v>
      </c>
      <c r="F797" s="754"/>
      <c r="G797" s="754"/>
      <c r="H797" s="754"/>
      <c r="I797" s="755"/>
      <c r="J797" s="145"/>
      <c r="K797" s="372">
        <f>2.75*1.25+2.22*2.56</f>
        <v>9.1206999999999994</v>
      </c>
      <c r="L797" s="756"/>
      <c r="M797" s="756"/>
      <c r="N797" s="757"/>
      <c r="O797" s="757"/>
      <c r="P797" s="757"/>
      <c r="Q797" s="757"/>
      <c r="R797" s="373"/>
      <c r="T797" s="144"/>
      <c r="U797" s="375"/>
      <c r="V797" s="407"/>
      <c r="W797" s="408"/>
      <c r="X797" s="408"/>
      <c r="Y797" s="375"/>
      <c r="Z797" s="375"/>
      <c r="AA797" s="375"/>
      <c r="AB797" s="375"/>
    </row>
    <row r="798" spans="2:29" s="378" customFormat="1" outlineLevel="1">
      <c r="B798" s="377"/>
      <c r="E798" s="379" t="s">
        <v>2315</v>
      </c>
      <c r="F798" s="748" t="s">
        <v>2313</v>
      </c>
      <c r="G798" s="749">
        <f>2.75*1.25+2.22*2.56</f>
        <v>9.1206999999999994</v>
      </c>
      <c r="H798" s="749">
        <f>2.75*1.25+2.22*2.56</f>
        <v>9.1206999999999994</v>
      </c>
      <c r="I798" s="749">
        <f>2.75*1.25+2.22*2.56</f>
        <v>9.1206999999999994</v>
      </c>
      <c r="J798" s="195"/>
      <c r="K798" s="380">
        <f>2.75*1.25+2.22*2.56</f>
        <v>9.1206999999999994</v>
      </c>
      <c r="L798" s="197"/>
      <c r="M798" s="197"/>
      <c r="R798" s="381"/>
      <c r="T798" s="194"/>
      <c r="V798" s="435"/>
      <c r="W798" s="435"/>
      <c r="X798" s="435"/>
      <c r="AC798" s="382"/>
    </row>
    <row r="799" spans="2:29" ht="27" customHeight="1" outlineLevel="1">
      <c r="B799" s="237"/>
      <c r="C799" s="345"/>
      <c r="D799" s="345" t="s">
        <v>62</v>
      </c>
      <c r="E799" s="346">
        <v>762341027</v>
      </c>
      <c r="F799" s="760" t="s">
        <v>2005</v>
      </c>
      <c r="G799" s="761"/>
      <c r="H799" s="761"/>
      <c r="I799" s="762"/>
      <c r="J799" s="63" t="s">
        <v>63</v>
      </c>
      <c r="K799" s="347">
        <f>K797</f>
        <v>9.1206999999999994</v>
      </c>
      <c r="L799" s="726"/>
      <c r="M799" s="726"/>
      <c r="N799" s="763">
        <f>ROUND(L799*K799,2)</f>
        <v>0</v>
      </c>
      <c r="O799" s="764"/>
      <c r="P799" s="764"/>
      <c r="Q799" s="765"/>
      <c r="R799" s="238"/>
      <c r="T799" s="45"/>
    </row>
    <row r="800" spans="2:29" ht="27" customHeight="1" outlineLevel="1">
      <c r="B800" s="237"/>
      <c r="C800" s="345"/>
      <c r="D800" s="345" t="s">
        <v>62</v>
      </c>
      <c r="E800" s="346">
        <v>441171111</v>
      </c>
      <c r="F800" s="760" t="s">
        <v>2007</v>
      </c>
      <c r="G800" s="761"/>
      <c r="H800" s="761"/>
      <c r="I800" s="762"/>
      <c r="J800" s="63" t="s">
        <v>66</v>
      </c>
      <c r="K800" s="347">
        <f>SUM(K801)</f>
        <v>7.5</v>
      </c>
      <c r="L800" s="726"/>
      <c r="M800" s="726"/>
      <c r="N800" s="763">
        <f>ROUND(L800*K800,2)</f>
        <v>0</v>
      </c>
      <c r="O800" s="764"/>
      <c r="P800" s="764"/>
      <c r="Q800" s="765"/>
      <c r="R800" s="238"/>
      <c r="T800" s="45"/>
    </row>
    <row r="801" spans="2:29" s="248" customFormat="1" outlineLevel="1">
      <c r="B801" s="247"/>
      <c r="E801" s="349"/>
      <c r="F801" s="717" t="s">
        <v>158</v>
      </c>
      <c r="G801" s="718">
        <f>5*(2.4/2)*2</f>
        <v>12</v>
      </c>
      <c r="H801" s="718">
        <f>5*(2.4/2)*2</f>
        <v>12</v>
      </c>
      <c r="I801" s="718">
        <f>5*(2.4/2)*2</f>
        <v>12</v>
      </c>
      <c r="J801" s="64">
        <f>13.8/1000</f>
        <v>1.3800000000000002E-2</v>
      </c>
      <c r="K801" s="350">
        <f>1.5*5</f>
        <v>7.5</v>
      </c>
      <c r="L801" s="196"/>
      <c r="M801" s="196"/>
      <c r="R801" s="249"/>
      <c r="T801" s="45"/>
      <c r="V801" s="402"/>
      <c r="W801" s="42"/>
      <c r="X801" s="42"/>
    </row>
    <row r="802" spans="2:29" outlineLevel="1">
      <c r="B802" s="237"/>
      <c r="C802" s="383"/>
      <c r="D802" s="383" t="s">
        <v>65</v>
      </c>
      <c r="E802" s="384">
        <v>14550319</v>
      </c>
      <c r="F802" s="751" t="s">
        <v>2008</v>
      </c>
      <c r="G802" s="751"/>
      <c r="H802" s="751"/>
      <c r="I802" s="751"/>
      <c r="J802" s="65" t="s">
        <v>66</v>
      </c>
      <c r="K802" s="385">
        <f>K800*J801</f>
        <v>0.10350000000000001</v>
      </c>
      <c r="L802" s="726"/>
      <c r="M802" s="726"/>
      <c r="N802" s="752">
        <f>ROUND(L802*K802,2)</f>
        <v>0</v>
      </c>
      <c r="O802" s="720"/>
      <c r="P802" s="720"/>
      <c r="Q802" s="720"/>
      <c r="R802" s="238"/>
      <c r="T802" s="45"/>
    </row>
    <row r="803" spans="2:29" outlineLevel="1">
      <c r="B803" s="237"/>
      <c r="C803" s="345"/>
      <c r="D803" s="345" t="s">
        <v>62</v>
      </c>
      <c r="E803" s="346">
        <v>762395000</v>
      </c>
      <c r="F803" s="719" t="s">
        <v>249</v>
      </c>
      <c r="G803" s="719"/>
      <c r="H803" s="719"/>
      <c r="I803" s="719"/>
      <c r="J803" s="63" t="s">
        <v>64</v>
      </c>
      <c r="K803" s="347">
        <f>K802</f>
        <v>0.10350000000000001</v>
      </c>
      <c r="L803" s="726"/>
      <c r="M803" s="726"/>
      <c r="N803" s="720">
        <f>ROUND(L803*K803,2)</f>
        <v>0</v>
      </c>
      <c r="O803" s="720"/>
      <c r="P803" s="720"/>
      <c r="Q803" s="720"/>
      <c r="R803" s="238"/>
      <c r="T803" s="78"/>
      <c r="U803" s="236"/>
    </row>
    <row r="804" spans="2:29" s="374" customFormat="1" outlineLevel="1">
      <c r="B804" s="370"/>
      <c r="C804" s="371"/>
      <c r="D804" s="371" t="s">
        <v>2013</v>
      </c>
      <c r="E804" s="753" t="s">
        <v>2015</v>
      </c>
      <c r="F804" s="754"/>
      <c r="G804" s="754"/>
      <c r="H804" s="754"/>
      <c r="I804" s="755"/>
      <c r="J804" s="145"/>
      <c r="K804" s="372">
        <f>2.75*2.4</f>
        <v>6.6</v>
      </c>
      <c r="L804" s="756"/>
      <c r="M804" s="756"/>
      <c r="N804" s="757"/>
      <c r="O804" s="757"/>
      <c r="P804" s="757"/>
      <c r="Q804" s="757"/>
      <c r="R804" s="373"/>
      <c r="T804" s="144"/>
      <c r="U804" s="375"/>
      <c r="V804" s="407"/>
      <c r="W804" s="408"/>
      <c r="X804" s="408"/>
      <c r="Y804" s="375"/>
      <c r="Z804" s="375"/>
      <c r="AA804" s="375"/>
      <c r="AB804" s="375"/>
    </row>
    <row r="805" spans="2:29" s="378" customFormat="1" outlineLevel="1">
      <c r="B805" s="377"/>
      <c r="E805" s="379" t="s">
        <v>2316</v>
      </c>
      <c r="F805" s="748" t="s">
        <v>2011</v>
      </c>
      <c r="G805" s="749">
        <f>2.75*2.4</f>
        <v>6.6</v>
      </c>
      <c r="H805" s="749">
        <f>2.75*2.4</f>
        <v>6.6</v>
      </c>
      <c r="I805" s="749">
        <f>2.75*2.4</f>
        <v>6.6</v>
      </c>
      <c r="J805" s="195"/>
      <c r="K805" s="380">
        <f>2.75*2.4</f>
        <v>6.6</v>
      </c>
      <c r="L805" s="197"/>
      <c r="M805" s="197"/>
      <c r="R805" s="381"/>
      <c r="T805" s="194"/>
      <c r="V805" s="435"/>
      <c r="W805" s="435"/>
      <c r="X805" s="435"/>
      <c r="AC805" s="382"/>
    </row>
    <row r="806" spans="2:29" ht="27" customHeight="1" outlineLevel="1">
      <c r="B806" s="237"/>
      <c r="C806" s="345"/>
      <c r="D806" s="345" t="s">
        <v>62</v>
      </c>
      <c r="E806" s="346">
        <v>762332132</v>
      </c>
      <c r="F806" s="760" t="s">
        <v>477</v>
      </c>
      <c r="G806" s="761"/>
      <c r="H806" s="761"/>
      <c r="I806" s="762"/>
      <c r="J806" s="63" t="s">
        <v>68</v>
      </c>
      <c r="K806" s="347">
        <f>SUM(K807:K807)</f>
        <v>10.559999999999999</v>
      </c>
      <c r="L806" s="726"/>
      <c r="M806" s="726"/>
      <c r="N806" s="763">
        <f>ROUND(L806*K806,2)</f>
        <v>0</v>
      </c>
      <c r="O806" s="764"/>
      <c r="P806" s="764"/>
      <c r="Q806" s="765"/>
      <c r="R806" s="238"/>
      <c r="T806" s="45"/>
    </row>
    <row r="807" spans="2:29" s="248" customFormat="1" outlineLevel="1">
      <c r="B807" s="247"/>
      <c r="E807" s="349"/>
      <c r="F807" s="717"/>
      <c r="G807" s="718"/>
      <c r="H807" s="718"/>
      <c r="I807" s="718"/>
      <c r="J807" s="64">
        <f>0.08*0.18</f>
        <v>1.44E-2</v>
      </c>
      <c r="K807" s="350">
        <f>K804/0.625</f>
        <v>10.559999999999999</v>
      </c>
      <c r="L807" s="196"/>
      <c r="M807" s="196"/>
      <c r="R807" s="249"/>
      <c r="T807" s="45"/>
      <c r="V807" s="402"/>
      <c r="W807" s="42"/>
      <c r="X807" s="42"/>
    </row>
    <row r="808" spans="2:29" outlineLevel="1">
      <c r="B808" s="237"/>
      <c r="C808" s="383"/>
      <c r="D808" s="383" t="s">
        <v>65</v>
      </c>
      <c r="E808" s="384">
        <v>60512130</v>
      </c>
      <c r="F808" s="751" t="s">
        <v>1013</v>
      </c>
      <c r="G808" s="751"/>
      <c r="H808" s="751"/>
      <c r="I808" s="751"/>
      <c r="J808" s="65" t="s">
        <v>64</v>
      </c>
      <c r="K808" s="385">
        <f>K807*J807</f>
        <v>0.15206399999999998</v>
      </c>
      <c r="L808" s="726"/>
      <c r="M808" s="726"/>
      <c r="N808" s="752">
        <f>ROUND(L808*K808,2)</f>
        <v>0</v>
      </c>
      <c r="O808" s="720"/>
      <c r="P808" s="720"/>
      <c r="Q808" s="720"/>
      <c r="R808" s="238"/>
      <c r="T808" s="45"/>
    </row>
    <row r="809" spans="2:29" ht="27" customHeight="1" outlineLevel="1">
      <c r="B809" s="237"/>
      <c r="C809" s="345"/>
      <c r="D809" s="345" t="s">
        <v>62</v>
      </c>
      <c r="E809" s="346">
        <v>713191133</v>
      </c>
      <c r="F809" s="760" t="s">
        <v>1027</v>
      </c>
      <c r="G809" s="761"/>
      <c r="H809" s="761"/>
      <c r="I809" s="762"/>
      <c r="J809" s="63" t="s">
        <v>63</v>
      </c>
      <c r="K809" s="347">
        <f>K804</f>
        <v>6.6</v>
      </c>
      <c r="L809" s="726"/>
      <c r="M809" s="726"/>
      <c r="N809" s="763">
        <f>ROUND(L809*K809,2)</f>
        <v>0</v>
      </c>
      <c r="O809" s="764"/>
      <c r="P809" s="764"/>
      <c r="Q809" s="765"/>
      <c r="R809" s="238"/>
      <c r="T809" s="45"/>
    </row>
    <row r="810" spans="2:29" ht="26.25" customHeight="1" outlineLevel="1">
      <c r="B810" s="237"/>
      <c r="C810" s="383"/>
      <c r="D810" s="383" t="s">
        <v>65</v>
      </c>
      <c r="E810" s="384">
        <v>28329029</v>
      </c>
      <c r="F810" s="751" t="s">
        <v>1022</v>
      </c>
      <c r="G810" s="751"/>
      <c r="H810" s="751"/>
      <c r="I810" s="751"/>
      <c r="J810" s="65" t="s">
        <v>63</v>
      </c>
      <c r="K810" s="385">
        <f>K809*1.05</f>
        <v>6.93</v>
      </c>
      <c r="L810" s="726"/>
      <c r="M810" s="726"/>
      <c r="N810" s="752">
        <f>ROUND(L810*K810,2)</f>
        <v>0</v>
      </c>
      <c r="O810" s="720"/>
      <c r="P810" s="720"/>
      <c r="Q810" s="720"/>
      <c r="R810" s="238"/>
      <c r="T810" s="45"/>
    </row>
    <row r="811" spans="2:29" ht="27" customHeight="1" outlineLevel="1">
      <c r="B811" s="237"/>
      <c r="C811" s="345"/>
      <c r="D811" s="345" t="s">
        <v>62</v>
      </c>
      <c r="E811" s="346">
        <v>762342214</v>
      </c>
      <c r="F811" s="760" t="s">
        <v>1024</v>
      </c>
      <c r="G811" s="761"/>
      <c r="H811" s="761"/>
      <c r="I811" s="762"/>
      <c r="J811" s="63" t="s">
        <v>63</v>
      </c>
      <c r="K811" s="347">
        <f>K804</f>
        <v>6.6</v>
      </c>
      <c r="L811" s="726"/>
      <c r="M811" s="726"/>
      <c r="N811" s="763">
        <f>ROUND(L811*K811,2)</f>
        <v>0</v>
      </c>
      <c r="O811" s="764"/>
      <c r="P811" s="764"/>
      <c r="Q811" s="765"/>
      <c r="R811" s="238"/>
      <c r="T811" s="45"/>
    </row>
    <row r="812" spans="2:29" s="248" customFormat="1" outlineLevel="1">
      <c r="B812" s="247"/>
      <c r="E812" s="349" t="s">
        <v>1031</v>
      </c>
      <c r="F812" s="717" t="s">
        <v>158</v>
      </c>
      <c r="G812" s="718"/>
      <c r="H812" s="718"/>
      <c r="I812" s="718"/>
      <c r="J812" s="64">
        <f>0.04*0.06</f>
        <v>2.3999999999999998E-3</v>
      </c>
      <c r="K812" s="350">
        <f>K804</f>
        <v>6.6</v>
      </c>
      <c r="L812" s="196"/>
      <c r="M812" s="196"/>
      <c r="R812" s="249"/>
      <c r="T812" s="45"/>
      <c r="V812" s="402"/>
      <c r="W812" s="42"/>
      <c r="X812" s="42"/>
    </row>
    <row r="813" spans="2:29" outlineLevel="1">
      <c r="B813" s="237"/>
      <c r="C813" s="383"/>
      <c r="D813" s="383" t="s">
        <v>65</v>
      </c>
      <c r="E813" s="384">
        <v>60514114</v>
      </c>
      <c r="F813" s="751" t="s">
        <v>1021</v>
      </c>
      <c r="G813" s="751"/>
      <c r="H813" s="751"/>
      <c r="I813" s="751"/>
      <c r="J813" s="65" t="s">
        <v>64</v>
      </c>
      <c r="K813" s="385">
        <f>K812*J812/0.625</f>
        <v>2.5343999999999995E-2</v>
      </c>
      <c r="L813" s="726"/>
      <c r="M813" s="726"/>
      <c r="N813" s="752">
        <f>ROUND(L813*K813,2)</f>
        <v>0</v>
      </c>
      <c r="O813" s="720"/>
      <c r="P813" s="720"/>
      <c r="Q813" s="720"/>
      <c r="R813" s="238"/>
      <c r="T813" s="45"/>
    </row>
    <row r="814" spans="2:29" outlineLevel="1">
      <c r="B814" s="237"/>
      <c r="C814" s="345"/>
      <c r="D814" s="345" t="s">
        <v>62</v>
      </c>
      <c r="E814" s="346">
        <v>762395000</v>
      </c>
      <c r="F814" s="719" t="s">
        <v>249</v>
      </c>
      <c r="G814" s="719"/>
      <c r="H814" s="719"/>
      <c r="I814" s="719"/>
      <c r="J814" s="63" t="s">
        <v>64</v>
      </c>
      <c r="K814" s="347">
        <f>K808+K813</f>
        <v>0.17740799999999998</v>
      </c>
      <c r="L814" s="726"/>
      <c r="M814" s="726"/>
      <c r="N814" s="720">
        <f>ROUND(L814*K814,2)</f>
        <v>0</v>
      </c>
      <c r="O814" s="720"/>
      <c r="P814" s="720"/>
      <c r="Q814" s="720"/>
      <c r="R814" s="238"/>
      <c r="T814" s="78"/>
      <c r="U814" s="236"/>
    </row>
    <row r="815" spans="2:29" s="374" customFormat="1" ht="11.25" customHeight="1" outlineLevel="1">
      <c r="B815" s="370"/>
      <c r="C815" s="371"/>
      <c r="D815" s="371" t="s">
        <v>1045</v>
      </c>
      <c r="E815" s="753" t="s">
        <v>1046</v>
      </c>
      <c r="F815" s="754"/>
      <c r="G815" s="754"/>
      <c r="H815" s="754"/>
      <c r="I815" s="755"/>
      <c r="J815" s="145"/>
      <c r="K815" s="372">
        <f>16.84+14.96+9.65</f>
        <v>41.45</v>
      </c>
      <c r="L815" s="756"/>
      <c r="M815" s="756"/>
      <c r="N815" s="757"/>
      <c r="O815" s="757"/>
      <c r="P815" s="757"/>
      <c r="Q815" s="757"/>
      <c r="R815" s="373"/>
      <c r="T815" s="144"/>
      <c r="U815" s="375"/>
      <c r="V815" s="407"/>
      <c r="W815" s="408"/>
      <c r="X815" s="408"/>
      <c r="Y815" s="375"/>
      <c r="Z815" s="375"/>
      <c r="AA815" s="375"/>
      <c r="AB815" s="375"/>
    </row>
    <row r="816" spans="2:29" s="378" customFormat="1" outlineLevel="1">
      <c r="B816" s="377"/>
      <c r="E816" s="379" t="s">
        <v>2317</v>
      </c>
      <c r="F816" s="748" t="s">
        <v>2314</v>
      </c>
      <c r="G816" s="749">
        <f>16.84+14.96+9.65</f>
        <v>41.45</v>
      </c>
      <c r="H816" s="749">
        <f>16.84+14.96+9.65</f>
        <v>41.45</v>
      </c>
      <c r="I816" s="749">
        <f>16.84+14.96+9.65</f>
        <v>41.45</v>
      </c>
      <c r="J816" s="195"/>
      <c r="K816" s="380">
        <f>16.84+14.96+9.65</f>
        <v>41.45</v>
      </c>
      <c r="L816" s="197"/>
      <c r="M816" s="197"/>
      <c r="R816" s="381"/>
      <c r="T816" s="194"/>
      <c r="V816" s="435"/>
      <c r="W816" s="435"/>
      <c r="X816" s="435"/>
      <c r="AC816" s="382"/>
    </row>
    <row r="817" spans="2:28" ht="27" customHeight="1" outlineLevel="1">
      <c r="B817" s="237"/>
      <c r="C817" s="345"/>
      <c r="D817" s="345" t="s">
        <v>62</v>
      </c>
      <c r="E817" s="346">
        <v>762511282</v>
      </c>
      <c r="F817" s="760" t="s">
        <v>1043</v>
      </c>
      <c r="G817" s="761"/>
      <c r="H817" s="761"/>
      <c r="I817" s="762"/>
      <c r="J817" s="63" t="s">
        <v>63</v>
      </c>
      <c r="K817" s="347">
        <f>K815</f>
        <v>41.45</v>
      </c>
      <c r="L817" s="726"/>
      <c r="M817" s="726"/>
      <c r="N817" s="763">
        <f>ROUND(L817*K817,2)</f>
        <v>0</v>
      </c>
      <c r="O817" s="764"/>
      <c r="P817" s="764"/>
      <c r="Q817" s="765"/>
      <c r="R817" s="238"/>
      <c r="T817" s="45"/>
    </row>
    <row r="818" spans="2:28" outlineLevel="1">
      <c r="B818" s="237"/>
      <c r="C818" s="345"/>
      <c r="D818" s="345" t="s">
        <v>62</v>
      </c>
      <c r="E818" s="346">
        <v>762595001</v>
      </c>
      <c r="F818" s="760" t="s">
        <v>1044</v>
      </c>
      <c r="G818" s="761"/>
      <c r="H818" s="761"/>
      <c r="I818" s="762"/>
      <c r="J818" s="63" t="s">
        <v>63</v>
      </c>
      <c r="K818" s="347">
        <f>K815</f>
        <v>41.45</v>
      </c>
      <c r="L818" s="726"/>
      <c r="M818" s="726"/>
      <c r="N818" s="763">
        <f>ROUND(L818*K818,2)</f>
        <v>0</v>
      </c>
      <c r="O818" s="764"/>
      <c r="P818" s="764"/>
      <c r="Q818" s="765"/>
      <c r="R818" s="238"/>
      <c r="T818" s="45"/>
    </row>
    <row r="819" spans="2:28" s="374" customFormat="1" ht="11.25" customHeight="1" outlineLevel="1">
      <c r="B819" s="370"/>
      <c r="C819" s="371"/>
      <c r="D819" s="371"/>
      <c r="E819" s="753" t="s">
        <v>1182</v>
      </c>
      <c r="F819" s="754"/>
      <c r="G819" s="754"/>
      <c r="H819" s="754"/>
      <c r="I819" s="755"/>
      <c r="J819" s="145"/>
      <c r="K819" s="372"/>
      <c r="L819" s="756"/>
      <c r="M819" s="756"/>
      <c r="N819" s="757"/>
      <c r="O819" s="757"/>
      <c r="P819" s="757"/>
      <c r="Q819" s="757"/>
      <c r="R819" s="373"/>
      <c r="T819" s="144"/>
      <c r="U819" s="375"/>
      <c r="V819" s="407"/>
      <c r="W819" s="408"/>
      <c r="X819" s="408"/>
      <c r="Y819" s="375"/>
      <c r="Z819" s="375"/>
      <c r="AA819" s="375"/>
      <c r="AB819" s="375"/>
    </row>
    <row r="820" spans="2:28" ht="27" customHeight="1" outlineLevel="1">
      <c r="B820" s="237"/>
      <c r="C820" s="345"/>
      <c r="D820" s="345" t="s">
        <v>62</v>
      </c>
      <c r="E820" s="346">
        <v>762332134</v>
      </c>
      <c r="F820" s="760" t="s">
        <v>1183</v>
      </c>
      <c r="G820" s="761"/>
      <c r="H820" s="761"/>
      <c r="I820" s="762"/>
      <c r="J820" s="63" t="s">
        <v>68</v>
      </c>
      <c r="K820" s="347">
        <f>SUM(K821)</f>
        <v>70.2</v>
      </c>
      <c r="L820" s="726"/>
      <c r="M820" s="726"/>
      <c r="N820" s="763">
        <f>ROUND(L820*K820,2)</f>
        <v>0</v>
      </c>
      <c r="O820" s="764"/>
      <c r="P820" s="764"/>
      <c r="Q820" s="765"/>
      <c r="R820" s="238"/>
      <c r="T820" s="45"/>
    </row>
    <row r="821" spans="2:28" s="248" customFormat="1" outlineLevel="1">
      <c r="B821" s="247"/>
      <c r="E821" s="349"/>
      <c r="F821" s="717" t="s">
        <v>1184</v>
      </c>
      <c r="G821" s="718">
        <f>5*(2.4/2)*2</f>
        <v>12</v>
      </c>
      <c r="H821" s="718">
        <f>5*(2.4/2)*2</f>
        <v>12</v>
      </c>
      <c r="I821" s="718">
        <f>5*(2.4/2)*2</f>
        <v>12</v>
      </c>
      <c r="J821" s="64">
        <f>0.2*0.2</f>
        <v>4.0000000000000008E-2</v>
      </c>
      <c r="K821" s="350">
        <f>5.4*13</f>
        <v>70.2</v>
      </c>
      <c r="L821" s="196"/>
      <c r="M821" s="196"/>
      <c r="R821" s="249"/>
      <c r="T821" s="45"/>
      <c r="V821" s="402"/>
      <c r="W821" s="42"/>
      <c r="X821" s="42"/>
    </row>
    <row r="822" spans="2:28" outlineLevel="1">
      <c r="B822" s="237"/>
      <c r="C822" s="383"/>
      <c r="D822" s="383" t="s">
        <v>65</v>
      </c>
      <c r="E822" s="384">
        <v>60512140</v>
      </c>
      <c r="F822" s="751" t="s">
        <v>1185</v>
      </c>
      <c r="G822" s="751"/>
      <c r="H822" s="751"/>
      <c r="I822" s="751"/>
      <c r="J822" s="65" t="s">
        <v>64</v>
      </c>
      <c r="K822" s="385">
        <f>K821*J821</f>
        <v>2.8080000000000007</v>
      </c>
      <c r="L822" s="726"/>
      <c r="M822" s="726"/>
      <c r="N822" s="752">
        <f>ROUND(L822*K822,2)</f>
        <v>0</v>
      </c>
      <c r="O822" s="720"/>
      <c r="P822" s="720"/>
      <c r="Q822" s="720"/>
      <c r="R822" s="238"/>
      <c r="T822" s="45"/>
    </row>
    <row r="823" spans="2:28" outlineLevel="1">
      <c r="B823" s="237"/>
      <c r="C823" s="345"/>
      <c r="D823" s="345" t="s">
        <v>62</v>
      </c>
      <c r="E823" s="346">
        <v>762395000</v>
      </c>
      <c r="F823" s="719" t="s">
        <v>249</v>
      </c>
      <c r="G823" s="719"/>
      <c r="H823" s="719"/>
      <c r="I823" s="719"/>
      <c r="J823" s="63" t="s">
        <v>64</v>
      </c>
      <c r="K823" s="347">
        <f>K822</f>
        <v>2.8080000000000007</v>
      </c>
      <c r="L823" s="726"/>
      <c r="M823" s="726"/>
      <c r="N823" s="720">
        <f>ROUND(L823*K823,2)</f>
        <v>0</v>
      </c>
      <c r="O823" s="720"/>
      <c r="P823" s="720"/>
      <c r="Q823" s="720"/>
      <c r="R823" s="238"/>
      <c r="T823" s="78"/>
      <c r="U823" s="236"/>
    </row>
    <row r="824" spans="2:28" outlineLevel="1">
      <c r="B824" s="237"/>
      <c r="C824" s="345"/>
      <c r="D824" s="345" t="s">
        <v>62</v>
      </c>
      <c r="E824" s="346">
        <v>998762202</v>
      </c>
      <c r="F824" s="719" t="s">
        <v>1114</v>
      </c>
      <c r="G824" s="719"/>
      <c r="H824" s="719"/>
      <c r="I824" s="719"/>
      <c r="J824" s="63" t="s">
        <v>70</v>
      </c>
      <c r="K824" s="66">
        <f>SUM(N746:Q823)</f>
        <v>0</v>
      </c>
      <c r="L824" s="759"/>
      <c r="M824" s="759"/>
      <c r="N824" s="720">
        <f>ROUND(L824*K824,2)</f>
        <v>0</v>
      </c>
      <c r="O824" s="720"/>
      <c r="P824" s="720"/>
      <c r="Q824" s="720"/>
      <c r="R824" s="238"/>
      <c r="T824" s="45"/>
    </row>
    <row r="825" spans="2:28" s="341" customFormat="1" ht="12.75">
      <c r="B825" s="340"/>
      <c r="C825" s="344"/>
      <c r="D825" s="344" t="s">
        <v>52</v>
      </c>
      <c r="E825" s="344"/>
      <c r="F825" s="344"/>
      <c r="G825" s="344"/>
      <c r="H825" s="344"/>
      <c r="I825" s="344"/>
      <c r="J825" s="61"/>
      <c r="K825" s="344"/>
      <c r="L825" s="72"/>
      <c r="M825" s="72"/>
      <c r="N825" s="734">
        <f>SUM(N826:Q866)</f>
        <v>0</v>
      </c>
      <c r="O825" s="734"/>
      <c r="P825" s="734"/>
      <c r="Q825" s="734"/>
      <c r="R825" s="342"/>
      <c r="T825" s="45">
        <f>SUM(N825:Q866)/2</f>
        <v>0</v>
      </c>
      <c r="U825" s="248"/>
      <c r="V825" s="398"/>
      <c r="W825" s="399"/>
      <c r="X825" s="399"/>
    </row>
    <row r="826" spans="2:28" outlineLevel="1">
      <c r="B826" s="237"/>
      <c r="C826" s="345"/>
      <c r="D826" s="345" t="s">
        <v>62</v>
      </c>
      <c r="E826" s="346" t="s">
        <v>2022</v>
      </c>
      <c r="F826" s="719" t="s">
        <v>2023</v>
      </c>
      <c r="G826" s="719"/>
      <c r="H826" s="719"/>
      <c r="I826" s="719"/>
      <c r="J826" s="63" t="s">
        <v>63</v>
      </c>
      <c r="K826" s="347">
        <f>SUM(K827:K827)</f>
        <v>13.543200000000002</v>
      </c>
      <c r="L826" s="726"/>
      <c r="M826" s="726"/>
      <c r="N826" s="720">
        <f>ROUND(L826*K826,2)</f>
        <v>0</v>
      </c>
      <c r="O826" s="720"/>
      <c r="P826" s="720"/>
      <c r="Q826" s="720"/>
      <c r="R826" s="238"/>
      <c r="T826" s="45"/>
    </row>
    <row r="827" spans="2:28" s="248" customFormat="1" outlineLevel="1">
      <c r="B827" s="247"/>
      <c r="E827" s="349"/>
      <c r="F827" s="717" t="s">
        <v>2024</v>
      </c>
      <c r="G827" s="718">
        <f t="shared" ref="G827:I829" si="21">3.83*2.76+15.1+11.6+9.56*2.9-(0.85*2.1+0.85*1.97+0.8*1.97+1.2*1.97)</f>
        <v>57.595299999999995</v>
      </c>
      <c r="H827" s="718">
        <f t="shared" si="21"/>
        <v>57.595299999999995</v>
      </c>
      <c r="I827" s="718">
        <f t="shared" si="21"/>
        <v>57.595299999999995</v>
      </c>
      <c r="J827" s="64"/>
      <c r="K827" s="350">
        <f>(2.685*2+0.9)*2.16</f>
        <v>13.543200000000002</v>
      </c>
      <c r="L827" s="196"/>
      <c r="M827" s="196"/>
      <c r="R827" s="249"/>
      <c r="T827" s="45"/>
      <c r="V827" s="402"/>
      <c r="W827" s="42"/>
      <c r="X827" s="42"/>
    </row>
    <row r="828" spans="2:28" outlineLevel="1">
      <c r="B828" s="237"/>
      <c r="C828" s="345"/>
      <c r="D828" s="345" t="s">
        <v>62</v>
      </c>
      <c r="E828" s="346" t="s">
        <v>429</v>
      </c>
      <c r="F828" s="719" t="s">
        <v>430</v>
      </c>
      <c r="G828" s="719"/>
      <c r="H828" s="719"/>
      <c r="I828" s="719"/>
      <c r="J828" s="63" t="s">
        <v>63</v>
      </c>
      <c r="K828" s="347">
        <f>SUM(K829:K829)</f>
        <v>63.667299999999997</v>
      </c>
      <c r="L828" s="726"/>
      <c r="M828" s="726"/>
      <c r="N828" s="720">
        <f>ROUND(L828*K828,2)</f>
        <v>0</v>
      </c>
      <c r="O828" s="720"/>
      <c r="P828" s="720"/>
      <c r="Q828" s="720"/>
      <c r="R828" s="238"/>
      <c r="T828" s="45"/>
    </row>
    <row r="829" spans="2:28" s="248" customFormat="1" outlineLevel="1">
      <c r="B829" s="247"/>
      <c r="E829" s="349" t="s">
        <v>1115</v>
      </c>
      <c r="F829" s="717" t="s">
        <v>2020</v>
      </c>
      <c r="G829" s="718">
        <f t="shared" si="21"/>
        <v>57.595299999999995</v>
      </c>
      <c r="H829" s="718">
        <f t="shared" si="21"/>
        <v>57.595299999999995</v>
      </c>
      <c r="I829" s="718">
        <f t="shared" si="21"/>
        <v>57.595299999999995</v>
      </c>
      <c r="J829" s="64"/>
      <c r="K829" s="350">
        <f>(3.83+1.1*2)*2.76+15.1+11.6+9.56*2.9-(0.85*2.1+0.85*1.97+0.8*1.97+1.2*1.97)</f>
        <v>63.667299999999997</v>
      </c>
      <c r="L829" s="196"/>
      <c r="M829" s="196"/>
      <c r="R829" s="249"/>
      <c r="T829" s="45"/>
      <c r="V829" s="402"/>
      <c r="W829" s="42"/>
      <c r="X829" s="42"/>
    </row>
    <row r="830" spans="2:28" ht="27" customHeight="1" outlineLevel="1">
      <c r="B830" s="237"/>
      <c r="C830" s="345"/>
      <c r="D830" s="345" t="s">
        <v>62</v>
      </c>
      <c r="E830" s="346" t="s">
        <v>1126</v>
      </c>
      <c r="F830" s="719" t="s">
        <v>1127</v>
      </c>
      <c r="G830" s="719"/>
      <c r="H830" s="719"/>
      <c r="I830" s="719"/>
      <c r="J830" s="63" t="s">
        <v>63</v>
      </c>
      <c r="K830" s="347">
        <f>SUM(K831:K831)</f>
        <v>8.52</v>
      </c>
      <c r="L830" s="726"/>
      <c r="M830" s="726"/>
      <c r="N830" s="720">
        <f>ROUND(L830*K830,2)</f>
        <v>0</v>
      </c>
      <c r="O830" s="720"/>
      <c r="P830" s="720"/>
      <c r="Q830" s="720"/>
      <c r="R830" s="238"/>
      <c r="T830" s="78"/>
      <c r="U830" s="236"/>
    </row>
    <row r="831" spans="2:28" s="248" customFormat="1" outlineLevel="1">
      <c r="B831" s="247"/>
      <c r="E831" s="349" t="s">
        <v>1125</v>
      </c>
      <c r="F831" s="717" t="s">
        <v>1124</v>
      </c>
      <c r="G831" s="718">
        <f>4.26*2</f>
        <v>8.52</v>
      </c>
      <c r="H831" s="718">
        <f>4.26*2</f>
        <v>8.52</v>
      </c>
      <c r="I831" s="718">
        <f>4.26*2</f>
        <v>8.52</v>
      </c>
      <c r="J831" s="64"/>
      <c r="K831" s="350">
        <f>4.26*2</f>
        <v>8.52</v>
      </c>
      <c r="L831" s="196"/>
      <c r="M831" s="196"/>
      <c r="R831" s="249"/>
      <c r="T831" s="45"/>
      <c r="V831" s="402"/>
      <c r="W831" s="42"/>
      <c r="X831" s="42"/>
    </row>
    <row r="832" spans="2:28" s="358" customFormat="1" outlineLevel="1">
      <c r="B832" s="353"/>
      <c r="C832" s="354"/>
      <c r="D832" s="354" t="s">
        <v>62</v>
      </c>
      <c r="E832" s="355" t="s">
        <v>1119</v>
      </c>
      <c r="F832" s="727" t="s">
        <v>1120</v>
      </c>
      <c r="G832" s="727"/>
      <c r="H832" s="727"/>
      <c r="I832" s="727"/>
      <c r="J832" s="215" t="s">
        <v>63</v>
      </c>
      <c r="K832" s="356">
        <f>SUM(K833:K834)</f>
        <v>5.6549999999999985</v>
      </c>
      <c r="L832" s="728"/>
      <c r="M832" s="728"/>
      <c r="N832" s="729">
        <f>ROUND(L832*K832,2)</f>
        <v>0</v>
      </c>
      <c r="O832" s="729"/>
      <c r="P832" s="729"/>
      <c r="Q832" s="729"/>
      <c r="R832" s="357"/>
      <c r="T832" s="230"/>
      <c r="V832" s="414"/>
      <c r="W832" s="415"/>
      <c r="X832" s="415"/>
    </row>
    <row r="833" spans="2:29" s="248" customFormat="1" outlineLevel="1">
      <c r="B833" s="247"/>
      <c r="E833" s="349" t="s">
        <v>1116</v>
      </c>
      <c r="F833" s="717" t="s">
        <v>1123</v>
      </c>
      <c r="G833" s="718">
        <f>(0.9+0.9+1.86+0.97+1+1.275)*1.5</f>
        <v>10.357499999999998</v>
      </c>
      <c r="H833" s="718">
        <f>(0.9+0.9+1.86+0.97+1+1.275)*1.5</f>
        <v>10.357499999999998</v>
      </c>
      <c r="I833" s="718">
        <f>(0.9+0.9+1.86+0.97+1+1.275)*1.5</f>
        <v>10.357499999999998</v>
      </c>
      <c r="J833" s="64"/>
      <c r="K833" s="350">
        <f>(0.9+0.9+1.86+0.97+1+1.275)*1.5</f>
        <v>10.357499999999998</v>
      </c>
      <c r="L833" s="196"/>
      <c r="M833" s="196"/>
      <c r="R833" s="249"/>
      <c r="T833" s="45"/>
      <c r="V833" s="402"/>
      <c r="W833" s="42"/>
      <c r="X833" s="42"/>
    </row>
    <row r="834" spans="2:29" s="333" customFormat="1" outlineLevel="1">
      <c r="B834" s="362"/>
      <c r="E834" s="363" t="s">
        <v>2520</v>
      </c>
      <c r="F834" s="715" t="s">
        <v>2456</v>
      </c>
      <c r="G834" s="716">
        <f>(1.4+1.5)*2*(0.25*0.6)*12+0.35*0.45*2.3</f>
        <v>10.802249999999999</v>
      </c>
      <c r="H834" s="716">
        <f>(1.4+1.5)*2*(0.25*0.6)*12+0.35*0.45*2.3</f>
        <v>10.802249999999999</v>
      </c>
      <c r="I834" s="716">
        <f>(1.4+1.5)*2*(0.25*0.6)*12+0.35*0.45*2.3</f>
        <v>10.802249999999999</v>
      </c>
      <c r="J834" s="209">
        <v>-1</v>
      </c>
      <c r="K834" s="364">
        <f>K241*J834</f>
        <v>-4.7024999999999997</v>
      </c>
      <c r="L834" s="210"/>
      <c r="M834" s="210"/>
      <c r="R834" s="365"/>
      <c r="T834" s="211"/>
      <c r="V834" s="217"/>
      <c r="W834" s="217"/>
      <c r="X834" s="217"/>
      <c r="AC834" s="366"/>
    </row>
    <row r="835" spans="2:29" ht="27" customHeight="1" outlineLevel="1">
      <c r="B835" s="237"/>
      <c r="C835" s="345"/>
      <c r="D835" s="345" t="s">
        <v>62</v>
      </c>
      <c r="E835" s="346" t="s">
        <v>1121</v>
      </c>
      <c r="F835" s="719" t="s">
        <v>1122</v>
      </c>
      <c r="G835" s="719"/>
      <c r="H835" s="719"/>
      <c r="I835" s="719"/>
      <c r="J835" s="63" t="s">
        <v>63</v>
      </c>
      <c r="K835" s="347">
        <f>SUM(K836:K836)</f>
        <v>22.816000000000003</v>
      </c>
      <c r="L835" s="726"/>
      <c r="M835" s="726"/>
      <c r="N835" s="720">
        <f>ROUND(L835*K835,2)</f>
        <v>0</v>
      </c>
      <c r="O835" s="720"/>
      <c r="P835" s="720"/>
      <c r="Q835" s="720"/>
      <c r="R835" s="238"/>
      <c r="T835" s="78"/>
      <c r="U835" s="236"/>
    </row>
    <row r="836" spans="2:29" s="248" customFormat="1" outlineLevel="1">
      <c r="B836" s="247"/>
      <c r="E836" s="349" t="s">
        <v>1117</v>
      </c>
      <c r="F836" s="717" t="s">
        <v>2039</v>
      </c>
      <c r="G836" s="718">
        <f>9.56*1.2+(3.42+4.78)*1.5</f>
        <v>23.771999999999998</v>
      </c>
      <c r="H836" s="718">
        <f>9.56*1.2+(3.42+4.78)*1.5</f>
        <v>23.771999999999998</v>
      </c>
      <c r="I836" s="718">
        <f>9.56*1.2+(3.42+4.78)*1.5</f>
        <v>23.771999999999998</v>
      </c>
      <c r="J836" s="64"/>
      <c r="K836" s="350">
        <f>9.56*1.2+3.42*1.5+4.78*1.3</f>
        <v>22.816000000000003</v>
      </c>
      <c r="L836" s="196"/>
      <c r="M836" s="196"/>
      <c r="R836" s="249"/>
      <c r="T836" s="45"/>
      <c r="V836" s="402"/>
      <c r="W836" s="42"/>
      <c r="X836" s="42"/>
    </row>
    <row r="837" spans="2:29" outlineLevel="1">
      <c r="B837" s="237"/>
      <c r="C837" s="345"/>
      <c r="D837" s="345" t="s">
        <v>62</v>
      </c>
      <c r="E837" s="346">
        <v>763181411</v>
      </c>
      <c r="F837" s="719" t="s">
        <v>250</v>
      </c>
      <c r="G837" s="719"/>
      <c r="H837" s="719"/>
      <c r="I837" s="719"/>
      <c r="J837" s="63" t="s">
        <v>67</v>
      </c>
      <c r="K837" s="347">
        <f>SUM(K838:K838)</f>
        <v>4</v>
      </c>
      <c r="L837" s="726"/>
      <c r="M837" s="726"/>
      <c r="N837" s="720">
        <f>ROUND(L837*K837,2)</f>
        <v>0</v>
      </c>
      <c r="O837" s="720"/>
      <c r="P837" s="720"/>
      <c r="Q837" s="720"/>
      <c r="R837" s="238"/>
      <c r="T837" s="45"/>
    </row>
    <row r="838" spans="2:29" s="248" customFormat="1" outlineLevel="1">
      <c r="B838" s="247"/>
      <c r="E838" s="349"/>
      <c r="F838" s="717" t="s">
        <v>462</v>
      </c>
      <c r="G838" s="718"/>
      <c r="H838" s="718"/>
      <c r="I838" s="718"/>
      <c r="J838" s="64"/>
      <c r="K838" s="350">
        <f>4</f>
        <v>4</v>
      </c>
      <c r="L838" s="196"/>
      <c r="M838" s="196"/>
      <c r="R838" s="249"/>
      <c r="T838" s="45"/>
      <c r="V838" s="402"/>
      <c r="W838" s="42"/>
      <c r="X838" s="42"/>
    </row>
    <row r="839" spans="2:29" ht="27" customHeight="1" outlineLevel="1">
      <c r="B839" s="237"/>
      <c r="C839" s="345"/>
      <c r="D839" s="345" t="s">
        <v>62</v>
      </c>
      <c r="E839" s="346">
        <v>763131491</v>
      </c>
      <c r="F839" s="719" t="s">
        <v>1129</v>
      </c>
      <c r="G839" s="719"/>
      <c r="H839" s="719"/>
      <c r="I839" s="719"/>
      <c r="J839" s="63" t="s">
        <v>63</v>
      </c>
      <c r="K839" s="347">
        <f>SUM(K840:K840)</f>
        <v>41.45</v>
      </c>
      <c r="L839" s="726"/>
      <c r="M839" s="726"/>
      <c r="N839" s="720">
        <f>ROUND(L839*K839,2)</f>
        <v>0</v>
      </c>
      <c r="O839" s="720"/>
      <c r="P839" s="720"/>
      <c r="Q839" s="720"/>
      <c r="R839" s="238"/>
      <c r="T839" s="78"/>
      <c r="U839" s="236"/>
    </row>
    <row r="840" spans="2:29" s="248" customFormat="1" ht="11.25" customHeight="1" outlineLevel="1">
      <c r="B840" s="247"/>
      <c r="E840" s="349" t="s">
        <v>1099</v>
      </c>
      <c r="F840" s="717" t="s">
        <v>110</v>
      </c>
      <c r="G840" s="718"/>
      <c r="H840" s="718"/>
      <c r="I840" s="718"/>
      <c r="J840" s="64"/>
      <c r="K840" s="350">
        <v>41.45</v>
      </c>
      <c r="L840" s="196"/>
      <c r="M840" s="196"/>
      <c r="R840" s="249"/>
      <c r="T840" s="45"/>
      <c r="V840" s="402"/>
      <c r="W840" s="42"/>
      <c r="X840" s="42"/>
    </row>
    <row r="841" spans="2:29" s="358" customFormat="1" ht="27" customHeight="1" outlineLevel="1">
      <c r="B841" s="353"/>
      <c r="C841" s="354"/>
      <c r="D841" s="354" t="s">
        <v>62</v>
      </c>
      <c r="E841" s="355">
        <v>763132122</v>
      </c>
      <c r="F841" s="727" t="s">
        <v>1128</v>
      </c>
      <c r="G841" s="727"/>
      <c r="H841" s="727"/>
      <c r="I841" s="727"/>
      <c r="J841" s="215" t="s">
        <v>63</v>
      </c>
      <c r="K841" s="356">
        <f>SUM(K842:K847)</f>
        <v>164.35000000000002</v>
      </c>
      <c r="L841" s="728"/>
      <c r="M841" s="728"/>
      <c r="N841" s="729">
        <f>ROUND(L841*K841,2)</f>
        <v>0</v>
      </c>
      <c r="O841" s="729"/>
      <c r="P841" s="729"/>
      <c r="Q841" s="729"/>
      <c r="R841" s="357"/>
      <c r="T841" s="230"/>
      <c r="V841" s="414"/>
      <c r="W841" s="415"/>
      <c r="X841" s="415"/>
    </row>
    <row r="842" spans="2:29" s="248" customFormat="1" ht="11.25" customHeight="1" outlineLevel="1">
      <c r="B842" s="247"/>
      <c r="E842" s="349" t="s">
        <v>1071</v>
      </c>
      <c r="F842" s="717" t="s">
        <v>110</v>
      </c>
      <c r="G842" s="718"/>
      <c r="H842" s="718"/>
      <c r="I842" s="718"/>
      <c r="J842" s="64"/>
      <c r="K842" s="350">
        <f>2*1.33</f>
        <v>2.66</v>
      </c>
      <c r="L842" s="196"/>
      <c r="M842" s="196"/>
      <c r="R842" s="249"/>
      <c r="T842" s="45"/>
      <c r="V842" s="402"/>
      <c r="W842" s="42"/>
      <c r="X842" s="42"/>
    </row>
    <row r="843" spans="2:29" s="248" customFormat="1" ht="11.25" customHeight="1" outlineLevel="1">
      <c r="B843" s="247"/>
      <c r="E843" s="349" t="s">
        <v>1097</v>
      </c>
      <c r="F843" s="717" t="s">
        <v>110</v>
      </c>
      <c r="G843" s="718"/>
      <c r="H843" s="718"/>
      <c r="I843" s="718"/>
      <c r="J843" s="64"/>
      <c r="K843" s="350">
        <f>143.12+3.3</f>
        <v>146.42000000000002</v>
      </c>
      <c r="L843" s="196"/>
      <c r="M843" s="196"/>
      <c r="R843" s="249"/>
      <c r="T843" s="45"/>
      <c r="V843" s="402"/>
      <c r="W843" s="42"/>
      <c r="X843" s="42"/>
    </row>
    <row r="844" spans="2:29" s="248" customFormat="1" ht="11.25" customHeight="1" outlineLevel="1">
      <c r="B844" s="247"/>
      <c r="E844" s="349" t="s">
        <v>1098</v>
      </c>
      <c r="F844" s="717" t="s">
        <v>110</v>
      </c>
      <c r="G844" s="718"/>
      <c r="H844" s="718"/>
      <c r="I844" s="718"/>
      <c r="J844" s="64"/>
      <c r="K844" s="350">
        <f>65.16</f>
        <v>65.16</v>
      </c>
      <c r="L844" s="196"/>
      <c r="M844" s="196"/>
      <c r="R844" s="249"/>
      <c r="T844" s="45"/>
      <c r="V844" s="402"/>
      <c r="W844" s="42"/>
      <c r="X844" s="42"/>
    </row>
    <row r="845" spans="2:29" s="248" customFormat="1" ht="11.25" customHeight="1" outlineLevel="1">
      <c r="B845" s="247"/>
      <c r="E845" s="349" t="s">
        <v>1099</v>
      </c>
      <c r="F845" s="717" t="s">
        <v>110</v>
      </c>
      <c r="G845" s="718"/>
      <c r="H845" s="718"/>
      <c r="I845" s="718"/>
      <c r="J845" s="64"/>
      <c r="K845" s="350">
        <v>41.45</v>
      </c>
      <c r="L845" s="196"/>
      <c r="M845" s="196"/>
      <c r="R845" s="249"/>
      <c r="T845" s="45"/>
      <c r="V845" s="402"/>
      <c r="W845" s="42"/>
      <c r="X845" s="42"/>
    </row>
    <row r="846" spans="2:29" s="248" customFormat="1" outlineLevel="1">
      <c r="B846" s="247"/>
      <c r="E846" s="349" t="s">
        <v>1074</v>
      </c>
      <c r="F846" s="717" t="s">
        <v>110</v>
      </c>
      <c r="G846" s="718"/>
      <c r="H846" s="718"/>
      <c r="I846" s="718"/>
      <c r="J846" s="64"/>
      <c r="K846" s="350">
        <v>12.87</v>
      </c>
      <c r="L846" s="196"/>
      <c r="M846" s="196"/>
      <c r="R846" s="249"/>
      <c r="T846" s="45"/>
      <c r="V846" s="402"/>
      <c r="W846" s="42"/>
      <c r="X846" s="42"/>
    </row>
    <row r="847" spans="2:29" s="333" customFormat="1" outlineLevel="1">
      <c r="B847" s="362"/>
      <c r="E847" s="363" t="s">
        <v>2520</v>
      </c>
      <c r="F847" s="715" t="s">
        <v>2456</v>
      </c>
      <c r="G847" s="716">
        <f>(1.4+1.5)*2*(0.25*0.6)*12+0.35*0.45*2.3</f>
        <v>10.802249999999999</v>
      </c>
      <c r="H847" s="716">
        <f>(1.4+1.5)*2*(0.25*0.6)*12+0.35*0.45*2.3</f>
        <v>10.802249999999999</v>
      </c>
      <c r="I847" s="716">
        <f>(1.4+1.5)*2*(0.25*0.6)*12+0.35*0.45*2.3</f>
        <v>10.802249999999999</v>
      </c>
      <c r="J847" s="209">
        <v>-1</v>
      </c>
      <c r="K847" s="364">
        <f>K243*J847</f>
        <v>-104.21</v>
      </c>
      <c r="L847" s="210"/>
      <c r="M847" s="210"/>
      <c r="R847" s="365"/>
      <c r="T847" s="211"/>
      <c r="V847" s="217"/>
      <c r="W847" s="217"/>
      <c r="X847" s="217"/>
      <c r="AC847" s="366"/>
    </row>
    <row r="848" spans="2:29" outlineLevel="1">
      <c r="B848" s="237"/>
      <c r="C848" s="345"/>
      <c r="D848" s="345" t="s">
        <v>69</v>
      </c>
      <c r="E848" s="346" t="s">
        <v>2041</v>
      </c>
      <c r="F848" s="719" t="s">
        <v>2042</v>
      </c>
      <c r="G848" s="719"/>
      <c r="H848" s="719"/>
      <c r="I848" s="719"/>
      <c r="J848" s="63" t="s">
        <v>67</v>
      </c>
      <c r="K848" s="347">
        <v>38</v>
      </c>
      <c r="L848" s="726"/>
      <c r="M848" s="726"/>
      <c r="N848" s="720">
        <f>ROUND(L848*K848,2)</f>
        <v>0</v>
      </c>
      <c r="O848" s="720"/>
      <c r="P848" s="720"/>
      <c r="Q848" s="720"/>
      <c r="R848" s="238"/>
      <c r="T848" s="45"/>
    </row>
    <row r="849" spans="2:24" outlineLevel="1">
      <c r="B849" s="237"/>
      <c r="C849" s="345"/>
      <c r="D849" s="345" t="s">
        <v>62</v>
      </c>
      <c r="E849" s="346">
        <v>763131751</v>
      </c>
      <c r="F849" s="719" t="s">
        <v>432</v>
      </c>
      <c r="G849" s="719"/>
      <c r="H849" s="719"/>
      <c r="I849" s="719"/>
      <c r="J849" s="63" t="s">
        <v>63</v>
      </c>
      <c r="K849" s="347">
        <f>SUM(K850:K850)</f>
        <v>205.8</v>
      </c>
      <c r="L849" s="726"/>
      <c r="M849" s="726"/>
      <c r="N849" s="720">
        <f>ROUND(L849*K849,2)</f>
        <v>0</v>
      </c>
      <c r="O849" s="720"/>
      <c r="P849" s="720"/>
      <c r="Q849" s="720"/>
      <c r="R849" s="238"/>
      <c r="T849" s="45"/>
    </row>
    <row r="850" spans="2:24" s="248" customFormat="1" ht="11.25" customHeight="1" outlineLevel="1">
      <c r="B850" s="247"/>
      <c r="E850" s="349" t="s">
        <v>433</v>
      </c>
      <c r="F850" s="717" t="s">
        <v>158</v>
      </c>
      <c r="G850" s="718"/>
      <c r="H850" s="718"/>
      <c r="I850" s="718"/>
      <c r="J850" s="64"/>
      <c r="K850" s="350">
        <f>K839+K841</f>
        <v>205.8</v>
      </c>
      <c r="L850" s="196"/>
      <c r="M850" s="196"/>
      <c r="R850" s="249"/>
      <c r="T850" s="45"/>
      <c r="V850" s="402"/>
      <c r="W850" s="42"/>
      <c r="X850" s="42"/>
    </row>
    <row r="851" spans="2:24" outlineLevel="1">
      <c r="B851" s="237"/>
      <c r="C851" s="383"/>
      <c r="D851" s="383" t="s">
        <v>65</v>
      </c>
      <c r="E851" s="384">
        <v>28329012</v>
      </c>
      <c r="F851" s="751" t="s">
        <v>117</v>
      </c>
      <c r="G851" s="751"/>
      <c r="H851" s="751"/>
      <c r="I851" s="751"/>
      <c r="J851" s="65" t="s">
        <v>63</v>
      </c>
      <c r="K851" s="385">
        <f>K849*1.2</f>
        <v>246.96</v>
      </c>
      <c r="L851" s="726"/>
      <c r="M851" s="726"/>
      <c r="N851" s="752">
        <f>ROUND(L851*K851,2)</f>
        <v>0</v>
      </c>
      <c r="O851" s="720"/>
      <c r="P851" s="720"/>
      <c r="Q851" s="720"/>
      <c r="R851" s="238"/>
      <c r="T851" s="45"/>
    </row>
    <row r="852" spans="2:24" outlineLevel="1">
      <c r="B852" s="237"/>
      <c r="C852" s="345"/>
      <c r="D852" s="345" t="s">
        <v>62</v>
      </c>
      <c r="E852" s="346" t="s">
        <v>434</v>
      </c>
      <c r="F852" s="719" t="s">
        <v>435</v>
      </c>
      <c r="G852" s="719"/>
      <c r="H852" s="719"/>
      <c r="I852" s="719"/>
      <c r="J852" s="63" t="s">
        <v>63</v>
      </c>
      <c r="K852" s="347">
        <f>SUM(K853:K853)</f>
        <v>2.66</v>
      </c>
      <c r="L852" s="726"/>
      <c r="M852" s="726"/>
      <c r="N852" s="720">
        <f>ROUND(L852*K852,2)</f>
        <v>0</v>
      </c>
      <c r="O852" s="720"/>
      <c r="P852" s="720"/>
      <c r="Q852" s="720"/>
      <c r="R852" s="238"/>
      <c r="T852" s="45"/>
    </row>
    <row r="853" spans="2:24" s="248" customFormat="1" ht="11.25" customHeight="1" outlineLevel="1">
      <c r="B853" s="247"/>
      <c r="E853" s="349" t="s">
        <v>1071</v>
      </c>
      <c r="F853" s="717" t="s">
        <v>110</v>
      </c>
      <c r="G853" s="718"/>
      <c r="H853" s="718"/>
      <c r="I853" s="718"/>
      <c r="J853" s="64"/>
      <c r="K853" s="350">
        <f>2*1.33</f>
        <v>2.66</v>
      </c>
      <c r="L853" s="196"/>
      <c r="M853" s="196"/>
      <c r="R853" s="249"/>
      <c r="T853" s="45"/>
      <c r="V853" s="402"/>
      <c r="W853" s="42"/>
      <c r="X853" s="42"/>
    </row>
    <row r="854" spans="2:24" outlineLevel="1">
      <c r="B854" s="237"/>
      <c r="C854" s="383"/>
      <c r="D854" s="383" t="s">
        <v>65</v>
      </c>
      <c r="E854" s="384">
        <v>63152100</v>
      </c>
      <c r="F854" s="751" t="s">
        <v>418</v>
      </c>
      <c r="G854" s="751"/>
      <c r="H854" s="751"/>
      <c r="I854" s="751"/>
      <c r="J854" s="65" t="s">
        <v>63</v>
      </c>
      <c r="K854" s="385">
        <f>(K852)*1.05</f>
        <v>2.7930000000000001</v>
      </c>
      <c r="L854" s="726"/>
      <c r="M854" s="726"/>
      <c r="N854" s="752">
        <f>ROUND(L854*K854,2)</f>
        <v>0</v>
      </c>
      <c r="O854" s="720"/>
      <c r="P854" s="720"/>
      <c r="Q854" s="720"/>
      <c r="R854" s="238"/>
      <c r="T854" s="45"/>
    </row>
    <row r="855" spans="2:24" ht="27" customHeight="1" outlineLevel="1">
      <c r="B855" s="237"/>
      <c r="C855" s="345"/>
      <c r="D855" s="345" t="s">
        <v>62</v>
      </c>
      <c r="E855" s="346">
        <v>763161521</v>
      </c>
      <c r="F855" s="719" t="s">
        <v>1131</v>
      </c>
      <c r="G855" s="719"/>
      <c r="H855" s="719"/>
      <c r="I855" s="719"/>
      <c r="J855" s="63" t="s">
        <v>63</v>
      </c>
      <c r="K855" s="347">
        <f>SUM(K856:K857)</f>
        <v>79.2</v>
      </c>
      <c r="L855" s="726"/>
      <c r="M855" s="726"/>
      <c r="N855" s="720">
        <f>ROUND(L855*K855,2)</f>
        <v>0</v>
      </c>
      <c r="O855" s="720"/>
      <c r="P855" s="720"/>
      <c r="Q855" s="720"/>
      <c r="R855" s="238"/>
      <c r="T855" s="78"/>
      <c r="U855" s="236"/>
    </row>
    <row r="856" spans="2:24" s="248" customFormat="1" ht="11.25" customHeight="1" outlineLevel="1">
      <c r="B856" s="247"/>
      <c r="E856" s="349" t="s">
        <v>1136</v>
      </c>
      <c r="F856" s="717" t="s">
        <v>110</v>
      </c>
      <c r="G856" s="718"/>
      <c r="H856" s="718"/>
      <c r="I856" s="718"/>
      <c r="J856" s="64"/>
      <c r="K856" s="350">
        <f>2.4*1.7*9</f>
        <v>36.72</v>
      </c>
      <c r="L856" s="196"/>
      <c r="M856" s="196"/>
      <c r="R856" s="249"/>
      <c r="T856" s="45"/>
      <c r="V856" s="402"/>
      <c r="W856" s="42"/>
      <c r="X856" s="42"/>
    </row>
    <row r="857" spans="2:24" s="248" customFormat="1" ht="11.25" customHeight="1" outlineLevel="1">
      <c r="B857" s="247"/>
      <c r="E857" s="349" t="s">
        <v>1137</v>
      </c>
      <c r="F857" s="717" t="s">
        <v>110</v>
      </c>
      <c r="G857" s="718"/>
      <c r="H857" s="718"/>
      <c r="I857" s="718"/>
      <c r="J857" s="64"/>
      <c r="K857" s="350">
        <f>1.8*(23.6)</f>
        <v>42.480000000000004</v>
      </c>
      <c r="L857" s="196"/>
      <c r="M857" s="196"/>
      <c r="R857" s="249"/>
      <c r="T857" s="45"/>
      <c r="V857" s="402"/>
      <c r="W857" s="42"/>
      <c r="X857" s="42"/>
    </row>
    <row r="858" spans="2:24" ht="27" customHeight="1" outlineLevel="1">
      <c r="B858" s="237"/>
      <c r="C858" s="345"/>
      <c r="D858" s="345" t="s">
        <v>62</v>
      </c>
      <c r="E858" s="346">
        <v>763161522</v>
      </c>
      <c r="F858" s="719" t="s">
        <v>1130</v>
      </c>
      <c r="G858" s="719"/>
      <c r="H858" s="719"/>
      <c r="I858" s="719"/>
      <c r="J858" s="63" t="s">
        <v>63</v>
      </c>
      <c r="K858" s="347">
        <f>SUM(K859:K865)</f>
        <v>496.23070000000001</v>
      </c>
      <c r="L858" s="726"/>
      <c r="M858" s="726"/>
      <c r="N858" s="720">
        <f>ROUND(L858*K858,2)</f>
        <v>0</v>
      </c>
      <c r="O858" s="720"/>
      <c r="P858" s="720"/>
      <c r="Q858" s="720"/>
      <c r="R858" s="238"/>
      <c r="T858" s="78"/>
      <c r="U858" s="236"/>
    </row>
    <row r="859" spans="2:24" s="248" customFormat="1" ht="11.25" customHeight="1" outlineLevel="1">
      <c r="B859" s="247"/>
      <c r="E859" s="349" t="s">
        <v>1132</v>
      </c>
      <c r="F859" s="717" t="s">
        <v>110</v>
      </c>
      <c r="G859" s="718"/>
      <c r="H859" s="718"/>
      <c r="I859" s="718"/>
      <c r="J859" s="64"/>
      <c r="K859" s="350">
        <f>6.5*2*(18.7+12.4)/2</f>
        <v>202.15</v>
      </c>
      <c r="L859" s="196"/>
      <c r="M859" s="196"/>
      <c r="R859" s="249"/>
      <c r="T859" s="45"/>
      <c r="V859" s="402"/>
      <c r="W859" s="42"/>
      <c r="X859" s="42"/>
    </row>
    <row r="860" spans="2:24" s="248" customFormat="1" ht="11.25" customHeight="1" outlineLevel="1">
      <c r="B860" s="247"/>
      <c r="E860" s="349" t="s">
        <v>1134</v>
      </c>
      <c r="F860" s="717" t="s">
        <v>110</v>
      </c>
      <c r="G860" s="718"/>
      <c r="H860" s="718"/>
      <c r="I860" s="718"/>
      <c r="J860" s="64"/>
      <c r="K860" s="350">
        <f>2.4*1.7*2</f>
        <v>8.16</v>
      </c>
      <c r="L860" s="196"/>
      <c r="M860" s="196"/>
      <c r="R860" s="249"/>
      <c r="T860" s="45"/>
      <c r="V860" s="402"/>
      <c r="W860" s="42"/>
      <c r="X860" s="42"/>
    </row>
    <row r="861" spans="2:24" s="248" customFormat="1" ht="11.25" customHeight="1" outlineLevel="1">
      <c r="B861" s="247"/>
      <c r="E861" s="349" t="s">
        <v>1135</v>
      </c>
      <c r="F861" s="717" t="s">
        <v>110</v>
      </c>
      <c r="G861" s="718"/>
      <c r="H861" s="718"/>
      <c r="I861" s="718"/>
      <c r="J861" s="64"/>
      <c r="K861" s="350">
        <f>2.3*(12.4+3)</f>
        <v>35.419999999999995</v>
      </c>
      <c r="L861" s="196"/>
      <c r="M861" s="196"/>
      <c r="R861" s="249"/>
      <c r="T861" s="45"/>
      <c r="V861" s="402"/>
      <c r="W861" s="42"/>
      <c r="X861" s="42"/>
    </row>
    <row r="862" spans="2:24" s="248" customFormat="1" outlineLevel="1">
      <c r="B862" s="247"/>
      <c r="E862" s="349" t="s">
        <v>1133</v>
      </c>
      <c r="F862" s="717" t="s">
        <v>110</v>
      </c>
      <c r="G862" s="717"/>
      <c r="H862" s="717"/>
      <c r="I862" s="717"/>
      <c r="J862" s="64"/>
      <c r="K862" s="350">
        <f>4.2*2*(23.6+32.3)/2</f>
        <v>234.78</v>
      </c>
      <c r="L862" s="196"/>
      <c r="M862" s="196"/>
      <c r="R862" s="249"/>
      <c r="T862" s="45"/>
      <c r="V862" s="402"/>
      <c r="W862" s="42"/>
      <c r="X862" s="42"/>
    </row>
    <row r="863" spans="2:24" s="248" customFormat="1" ht="11.25" customHeight="1" outlineLevel="1">
      <c r="B863" s="247"/>
      <c r="E863" s="349" t="s">
        <v>1090</v>
      </c>
      <c r="F863" s="717" t="s">
        <v>110</v>
      </c>
      <c r="G863" s="718"/>
      <c r="H863" s="718"/>
      <c r="I863" s="718"/>
      <c r="J863" s="64"/>
      <c r="K863" s="350">
        <f>2.75*1.25</f>
        <v>3.4375</v>
      </c>
      <c r="L863" s="196"/>
      <c r="M863" s="196"/>
      <c r="R863" s="249"/>
      <c r="T863" s="45"/>
      <c r="V863" s="402"/>
      <c r="W863" s="42"/>
      <c r="X863" s="42"/>
    </row>
    <row r="864" spans="2:24" s="248" customFormat="1" ht="11.25" customHeight="1" outlineLevel="1">
      <c r="B864" s="247"/>
      <c r="E864" s="349" t="s">
        <v>2010</v>
      </c>
      <c r="F864" s="717" t="s">
        <v>110</v>
      </c>
      <c r="G864" s="718"/>
      <c r="H864" s="718"/>
      <c r="I864" s="718"/>
      <c r="J864" s="187"/>
      <c r="K864" s="350">
        <f>2.75*2.4</f>
        <v>6.6</v>
      </c>
      <c r="L864" s="196"/>
      <c r="M864" s="196"/>
      <c r="R864" s="249"/>
      <c r="T864" s="45"/>
      <c r="V864" s="402"/>
      <c r="W864" s="42"/>
      <c r="X864" s="42"/>
    </row>
    <row r="865" spans="2:24" s="248" customFormat="1" ht="11.25" customHeight="1" outlineLevel="1">
      <c r="B865" s="247"/>
      <c r="E865" s="349" t="s">
        <v>1089</v>
      </c>
      <c r="F865" s="717" t="s">
        <v>110</v>
      </c>
      <c r="G865" s="718"/>
      <c r="H865" s="718"/>
      <c r="I865" s="718"/>
      <c r="J865" s="64"/>
      <c r="K865" s="350">
        <f>2.22*2.56</f>
        <v>5.6832000000000003</v>
      </c>
      <c r="L865" s="196"/>
      <c r="M865" s="196"/>
      <c r="R865" s="249"/>
      <c r="T865" s="45"/>
      <c r="V865" s="402"/>
      <c r="W865" s="42"/>
      <c r="X865" s="42"/>
    </row>
    <row r="866" spans="2:24" outlineLevel="1">
      <c r="B866" s="237"/>
      <c r="C866" s="345"/>
      <c r="D866" s="345" t="s">
        <v>62</v>
      </c>
      <c r="E866" s="346">
        <v>998763402</v>
      </c>
      <c r="F866" s="719" t="s">
        <v>1138</v>
      </c>
      <c r="G866" s="719"/>
      <c r="H866" s="719"/>
      <c r="I866" s="719"/>
      <c r="J866" s="63" t="s">
        <v>70</v>
      </c>
      <c r="K866" s="66">
        <f>SUM(N826:Q865)</f>
        <v>0</v>
      </c>
      <c r="L866" s="759"/>
      <c r="M866" s="759"/>
      <c r="N866" s="720">
        <f>ROUND(L866*K866,2)</f>
        <v>0</v>
      </c>
      <c r="O866" s="720"/>
      <c r="P866" s="720"/>
      <c r="Q866" s="720"/>
      <c r="R866" s="238"/>
      <c r="T866" s="45"/>
    </row>
    <row r="867" spans="2:24" s="341" customFormat="1" ht="12.75">
      <c r="B867" s="340"/>
      <c r="C867" s="344"/>
      <c r="D867" s="344" t="s">
        <v>436</v>
      </c>
      <c r="E867" s="344"/>
      <c r="F867" s="344"/>
      <c r="G867" s="344"/>
      <c r="H867" s="344"/>
      <c r="I867" s="344"/>
      <c r="J867" s="61"/>
      <c r="K867" s="344"/>
      <c r="L867" s="72"/>
      <c r="M867" s="72"/>
      <c r="N867" s="769">
        <f>SUM(N868:Q883)</f>
        <v>0</v>
      </c>
      <c r="O867" s="769"/>
      <c r="P867" s="769"/>
      <c r="Q867" s="769"/>
      <c r="R867" s="342"/>
      <c r="T867" s="45">
        <f>SUM(N867:Q883)/2</f>
        <v>0</v>
      </c>
      <c r="U867" s="248"/>
      <c r="V867" s="398"/>
      <c r="W867" s="399"/>
      <c r="X867" s="399"/>
    </row>
    <row r="868" spans="2:24" outlineLevel="1">
      <c r="B868" s="237"/>
      <c r="C868" s="345"/>
      <c r="D868" s="345" t="s">
        <v>62</v>
      </c>
      <c r="E868" s="346">
        <v>765112901</v>
      </c>
      <c r="F868" s="760" t="s">
        <v>1977</v>
      </c>
      <c r="G868" s="761">
        <v>0</v>
      </c>
      <c r="H868" s="761">
        <v>0</v>
      </c>
      <c r="I868" s="762">
        <v>0</v>
      </c>
      <c r="J868" s="63" t="s">
        <v>63</v>
      </c>
      <c r="K868" s="347">
        <f>SUM(K869:K872)</f>
        <v>547.55000000000007</v>
      </c>
      <c r="L868" s="726"/>
      <c r="M868" s="726"/>
      <c r="N868" s="763">
        <f>ROUND(L868*K868,2)</f>
        <v>0</v>
      </c>
      <c r="O868" s="764"/>
      <c r="P868" s="764"/>
      <c r="Q868" s="765"/>
      <c r="R868" s="238"/>
      <c r="T868" s="45"/>
    </row>
    <row r="869" spans="2:24" s="248" customFormat="1" ht="11.25" customHeight="1" outlineLevel="1">
      <c r="B869" s="247"/>
      <c r="E869" s="349" t="s">
        <v>1132</v>
      </c>
      <c r="F869" s="717" t="s">
        <v>110</v>
      </c>
      <c r="G869" s="717"/>
      <c r="H869" s="717"/>
      <c r="I869" s="717"/>
      <c r="J869" s="64"/>
      <c r="K869" s="350">
        <f>6.5*2*(18.7+12.4)/2</f>
        <v>202.15</v>
      </c>
      <c r="L869" s="196"/>
      <c r="M869" s="196"/>
      <c r="R869" s="249"/>
      <c r="T869" s="45"/>
      <c r="V869" s="402"/>
      <c r="W869" s="42"/>
      <c r="X869" s="42"/>
    </row>
    <row r="870" spans="2:24" s="248" customFormat="1" ht="11.25" customHeight="1" outlineLevel="1">
      <c r="B870" s="247"/>
      <c r="E870" s="349" t="s">
        <v>1135</v>
      </c>
      <c r="F870" s="717" t="s">
        <v>110</v>
      </c>
      <c r="G870" s="718"/>
      <c r="H870" s="718"/>
      <c r="I870" s="718"/>
      <c r="J870" s="64"/>
      <c r="K870" s="350">
        <f>1.4*2*(18.7+12.4)/2</f>
        <v>43.54</v>
      </c>
      <c r="L870" s="196"/>
      <c r="M870" s="196"/>
      <c r="R870" s="249"/>
      <c r="T870" s="45"/>
      <c r="V870" s="402"/>
      <c r="W870" s="42"/>
      <c r="X870" s="42"/>
    </row>
    <row r="871" spans="2:24" s="248" customFormat="1" outlineLevel="1">
      <c r="B871" s="247"/>
      <c r="E871" s="349" t="s">
        <v>1133</v>
      </c>
      <c r="F871" s="717" t="s">
        <v>110</v>
      </c>
      <c r="G871" s="717"/>
      <c r="H871" s="717"/>
      <c r="I871" s="717"/>
      <c r="J871" s="64"/>
      <c r="K871" s="350">
        <f>4.2*2*(23.6+32.3)/2</f>
        <v>234.78</v>
      </c>
      <c r="L871" s="196"/>
      <c r="M871" s="196"/>
      <c r="R871" s="249"/>
      <c r="T871" s="45"/>
      <c r="V871" s="402"/>
      <c r="W871" s="42"/>
      <c r="X871" s="42"/>
    </row>
    <row r="872" spans="2:24" s="248" customFormat="1" ht="11.25" customHeight="1" outlineLevel="1">
      <c r="B872" s="247"/>
      <c r="E872" s="349" t="s">
        <v>1137</v>
      </c>
      <c r="F872" s="717" t="s">
        <v>110</v>
      </c>
      <c r="G872" s="718"/>
      <c r="H872" s="718"/>
      <c r="I872" s="718"/>
      <c r="J872" s="64"/>
      <c r="K872" s="350">
        <f>1.2*2*(23.6+32.3)/2</f>
        <v>67.08</v>
      </c>
      <c r="L872" s="196"/>
      <c r="M872" s="196"/>
      <c r="R872" s="249"/>
      <c r="T872" s="45"/>
      <c r="V872" s="402"/>
      <c r="W872" s="42"/>
      <c r="X872" s="42"/>
    </row>
    <row r="873" spans="2:24" outlineLevel="1">
      <c r="B873" s="237"/>
      <c r="C873" s="345"/>
      <c r="D873" s="345" t="s">
        <v>62</v>
      </c>
      <c r="E873" s="346">
        <v>765112931</v>
      </c>
      <c r="F873" s="760" t="s">
        <v>1978</v>
      </c>
      <c r="G873" s="761">
        <v>0</v>
      </c>
      <c r="H873" s="761">
        <v>0</v>
      </c>
      <c r="I873" s="762">
        <v>0</v>
      </c>
      <c r="J873" s="63" t="s">
        <v>68</v>
      </c>
      <c r="K873" s="347">
        <f>SUM(K874:K875)</f>
        <v>60.400000000000006</v>
      </c>
      <c r="L873" s="726"/>
      <c r="M873" s="726"/>
      <c r="N873" s="763">
        <f>ROUND(L873*K873,2)</f>
        <v>0</v>
      </c>
      <c r="O873" s="764"/>
      <c r="P873" s="764"/>
      <c r="Q873" s="765"/>
      <c r="R873" s="238"/>
      <c r="T873" s="45"/>
    </row>
    <row r="874" spans="2:24" s="248" customFormat="1" ht="11.25" customHeight="1" outlineLevel="1">
      <c r="B874" s="247"/>
      <c r="E874" s="349" t="s">
        <v>1979</v>
      </c>
      <c r="F874" s="717"/>
      <c r="G874" s="718"/>
      <c r="H874" s="718"/>
      <c r="I874" s="718"/>
      <c r="J874" s="64"/>
      <c r="K874" s="350">
        <f>12.7+24+4.1+3.8*2</f>
        <v>48.400000000000006</v>
      </c>
      <c r="L874" s="196"/>
      <c r="M874" s="196"/>
      <c r="R874" s="249"/>
      <c r="T874" s="45"/>
      <c r="V874" s="402"/>
      <c r="W874" s="42"/>
      <c r="X874" s="42"/>
    </row>
    <row r="875" spans="2:24" s="248" customFormat="1" ht="11.25" customHeight="1" outlineLevel="1">
      <c r="B875" s="247"/>
      <c r="E875" s="349" t="s">
        <v>1980</v>
      </c>
      <c r="F875" s="717"/>
      <c r="G875" s="718"/>
      <c r="H875" s="718"/>
      <c r="I875" s="718"/>
      <c r="J875" s="64"/>
      <c r="K875" s="350">
        <f>9+3</f>
        <v>12</v>
      </c>
      <c r="L875" s="196"/>
      <c r="M875" s="196"/>
      <c r="R875" s="249"/>
      <c r="T875" s="45"/>
      <c r="V875" s="402"/>
      <c r="W875" s="42"/>
      <c r="X875" s="42"/>
    </row>
    <row r="876" spans="2:24" outlineLevel="1">
      <c r="B876" s="237"/>
      <c r="C876" s="345"/>
      <c r="D876" s="345" t="s">
        <v>62</v>
      </c>
      <c r="E876" s="346">
        <v>764042419</v>
      </c>
      <c r="F876" s="719" t="s">
        <v>2016</v>
      </c>
      <c r="G876" s="719"/>
      <c r="H876" s="719"/>
      <c r="I876" s="719"/>
      <c r="J876" s="63" t="s">
        <v>63</v>
      </c>
      <c r="K876" s="347">
        <f>SUM(K877:K877)</f>
        <v>6.6</v>
      </c>
      <c r="L876" s="726"/>
      <c r="M876" s="726"/>
      <c r="N876" s="720">
        <f>ROUND(L876*K876,2)</f>
        <v>0</v>
      </c>
      <c r="O876" s="720"/>
      <c r="P876" s="720"/>
      <c r="Q876" s="720"/>
      <c r="R876" s="238"/>
      <c r="T876" s="78"/>
      <c r="U876" s="236"/>
    </row>
    <row r="877" spans="2:24" s="248" customFormat="1" ht="11.25" customHeight="1" outlineLevel="1">
      <c r="B877" s="247"/>
      <c r="E877" s="349" t="s">
        <v>2010</v>
      </c>
      <c r="F877" s="717" t="s">
        <v>2011</v>
      </c>
      <c r="G877" s="718">
        <f>2.75*1.25+2.22*2.56</f>
        <v>9.1206999999999994</v>
      </c>
      <c r="H877" s="718">
        <f>2.75*1.25+2.22*2.56</f>
        <v>9.1206999999999994</v>
      </c>
      <c r="I877" s="718">
        <f>2.75*1.25+2.22*2.56</f>
        <v>9.1206999999999994</v>
      </c>
      <c r="J877" s="64"/>
      <c r="K877" s="350">
        <f>2.75*2.4</f>
        <v>6.6</v>
      </c>
      <c r="L877" s="196"/>
      <c r="M877" s="196"/>
      <c r="R877" s="249"/>
      <c r="T877" s="45"/>
      <c r="V877" s="402"/>
      <c r="W877" s="42"/>
      <c r="X877" s="42"/>
    </row>
    <row r="878" spans="2:24" outlineLevel="1">
      <c r="B878" s="237"/>
      <c r="C878" s="345"/>
      <c r="D878" s="345" t="s">
        <v>62</v>
      </c>
      <c r="E878" s="346">
        <v>765114011</v>
      </c>
      <c r="F878" s="760" t="s">
        <v>437</v>
      </c>
      <c r="G878" s="761">
        <v>0</v>
      </c>
      <c r="H878" s="761">
        <v>0</v>
      </c>
      <c r="I878" s="762">
        <v>0</v>
      </c>
      <c r="J878" s="63" t="s">
        <v>63</v>
      </c>
      <c r="K878" s="347">
        <f>SUM(K879:K880)</f>
        <v>44.879999999999995</v>
      </c>
      <c r="L878" s="726"/>
      <c r="M878" s="726"/>
      <c r="N878" s="763">
        <f>ROUND(L878*K878,2)</f>
        <v>0</v>
      </c>
      <c r="O878" s="764"/>
      <c r="P878" s="764"/>
      <c r="Q878" s="765"/>
      <c r="R878" s="238"/>
      <c r="T878" s="45"/>
    </row>
    <row r="879" spans="2:24" s="248" customFormat="1" ht="11.25" customHeight="1" outlineLevel="1">
      <c r="B879" s="247"/>
      <c r="E879" s="349" t="s">
        <v>1134</v>
      </c>
      <c r="F879" s="717" t="s">
        <v>1158</v>
      </c>
      <c r="G879" s="718">
        <f>2.4*1.7*2</f>
        <v>8.16</v>
      </c>
      <c r="H879" s="718">
        <f>2.4*1.7*2</f>
        <v>8.16</v>
      </c>
      <c r="I879" s="718">
        <f>2.4*1.7*2</f>
        <v>8.16</v>
      </c>
      <c r="J879" s="64"/>
      <c r="K879" s="350">
        <f>2.4*1.7*2</f>
        <v>8.16</v>
      </c>
      <c r="L879" s="196"/>
      <c r="M879" s="196"/>
      <c r="R879" s="249"/>
      <c r="T879" s="45"/>
      <c r="V879" s="402"/>
      <c r="W879" s="42"/>
      <c r="X879" s="42"/>
    </row>
    <row r="880" spans="2:24" s="248" customFormat="1" ht="11.25" customHeight="1" outlineLevel="1">
      <c r="B880" s="247"/>
      <c r="E880" s="349" t="s">
        <v>1136</v>
      </c>
      <c r="F880" s="717" t="s">
        <v>1159</v>
      </c>
      <c r="G880" s="718">
        <f>2.4*1.7*9</f>
        <v>36.72</v>
      </c>
      <c r="H880" s="718">
        <f>2.4*1.7*9</f>
        <v>36.72</v>
      </c>
      <c r="I880" s="718">
        <f>2.4*1.7*9</f>
        <v>36.72</v>
      </c>
      <c r="J880" s="64"/>
      <c r="K880" s="350">
        <f>2.4*1.7*9</f>
        <v>36.72</v>
      </c>
      <c r="L880" s="196"/>
      <c r="M880" s="196"/>
      <c r="R880" s="249"/>
      <c r="T880" s="45"/>
      <c r="V880" s="402"/>
      <c r="W880" s="42"/>
      <c r="X880" s="42"/>
    </row>
    <row r="881" spans="2:24" ht="27" customHeight="1" outlineLevel="1">
      <c r="B881" s="237"/>
      <c r="C881" s="345"/>
      <c r="D881" s="345" t="s">
        <v>62</v>
      </c>
      <c r="E881" s="346">
        <v>765111503</v>
      </c>
      <c r="F881" s="719" t="s">
        <v>438</v>
      </c>
      <c r="G881" s="719"/>
      <c r="H881" s="719"/>
      <c r="I881" s="719"/>
      <c r="J881" s="63" t="s">
        <v>63</v>
      </c>
      <c r="K881" s="347">
        <f>K878</f>
        <v>44.879999999999995</v>
      </c>
      <c r="L881" s="726"/>
      <c r="M881" s="726"/>
      <c r="N881" s="720">
        <f>ROUND(L881*K881,2)</f>
        <v>0</v>
      </c>
      <c r="O881" s="720"/>
      <c r="P881" s="720"/>
      <c r="Q881" s="720"/>
      <c r="R881" s="238"/>
      <c r="T881" s="78"/>
      <c r="U881" s="236"/>
    </row>
    <row r="882" spans="2:24" ht="27" customHeight="1" outlineLevel="1">
      <c r="B882" s="237"/>
      <c r="C882" s="345"/>
      <c r="D882" s="345" t="s">
        <v>62</v>
      </c>
      <c r="E882" s="346">
        <v>765111504</v>
      </c>
      <c r="F882" s="719" t="s">
        <v>1139</v>
      </c>
      <c r="G882" s="719"/>
      <c r="H882" s="719"/>
      <c r="I882" s="719"/>
      <c r="J882" s="63" t="s">
        <v>63</v>
      </c>
      <c r="K882" s="347">
        <f>K879</f>
        <v>8.16</v>
      </c>
      <c r="L882" s="726"/>
      <c r="M882" s="726"/>
      <c r="N882" s="720">
        <f>ROUND(L882*K882,2)</f>
        <v>0</v>
      </c>
      <c r="O882" s="720"/>
      <c r="P882" s="720"/>
      <c r="Q882" s="720"/>
      <c r="R882" s="238"/>
      <c r="T882" s="78"/>
      <c r="U882" s="236"/>
    </row>
    <row r="883" spans="2:24" outlineLevel="1">
      <c r="B883" s="237"/>
      <c r="C883" s="345"/>
      <c r="D883" s="345" t="s">
        <v>62</v>
      </c>
      <c r="E883" s="346">
        <v>998764202</v>
      </c>
      <c r="F883" s="760" t="s">
        <v>1140</v>
      </c>
      <c r="G883" s="761"/>
      <c r="H883" s="761"/>
      <c r="I883" s="762"/>
      <c r="J883" s="63" t="s">
        <v>70</v>
      </c>
      <c r="K883" s="66">
        <f>SUM(N868:Q882)</f>
        <v>0</v>
      </c>
      <c r="L883" s="759"/>
      <c r="M883" s="759"/>
      <c r="N883" s="763">
        <f>ROUND(L883*K883,2)</f>
        <v>0</v>
      </c>
      <c r="O883" s="764"/>
      <c r="P883" s="764"/>
      <c r="Q883" s="765"/>
      <c r="R883" s="238"/>
      <c r="T883" s="45"/>
    </row>
    <row r="884" spans="2:24" s="341" customFormat="1" ht="12.75">
      <c r="B884" s="340"/>
      <c r="C884" s="344"/>
      <c r="D884" s="344" t="s">
        <v>1141</v>
      </c>
      <c r="E884" s="344"/>
      <c r="F884" s="344"/>
      <c r="G884" s="344"/>
      <c r="H884" s="344"/>
      <c r="I884" s="344"/>
      <c r="J884" s="61"/>
      <c r="K884" s="344"/>
      <c r="L884" s="72"/>
      <c r="M884" s="72"/>
      <c r="N884" s="769">
        <f>SUM(N885:Q903)</f>
        <v>0</v>
      </c>
      <c r="O884" s="769"/>
      <c r="P884" s="769"/>
      <c r="Q884" s="769"/>
      <c r="R884" s="342"/>
      <c r="T884" s="45">
        <f>SUM(N884:Q903)/2</f>
        <v>0</v>
      </c>
      <c r="U884" s="248"/>
      <c r="V884" s="398"/>
      <c r="W884" s="399"/>
      <c r="X884" s="399"/>
    </row>
    <row r="885" spans="2:24" outlineLevel="1">
      <c r="B885" s="237"/>
      <c r="C885" s="345"/>
      <c r="D885" s="345" t="s">
        <v>62</v>
      </c>
      <c r="E885" s="346" t="s">
        <v>1984</v>
      </c>
      <c r="F885" s="760" t="s">
        <v>1985</v>
      </c>
      <c r="G885" s="761">
        <v>0</v>
      </c>
      <c r="H885" s="761">
        <v>0</v>
      </c>
      <c r="I885" s="762">
        <v>0</v>
      </c>
      <c r="J885" s="63" t="s">
        <v>68</v>
      </c>
      <c r="K885" s="347">
        <f>SUM(K886:K886)</f>
        <v>70.704545454545467</v>
      </c>
      <c r="L885" s="726"/>
      <c r="M885" s="726"/>
      <c r="N885" s="763">
        <f>ROUND(L885*K885,2)</f>
        <v>0</v>
      </c>
      <c r="O885" s="764"/>
      <c r="P885" s="764"/>
      <c r="Q885" s="765"/>
      <c r="R885" s="238"/>
      <c r="T885" s="45"/>
    </row>
    <row r="886" spans="2:24" s="248" customFormat="1" outlineLevel="1">
      <c r="B886" s="247"/>
      <c r="E886" s="349" t="s">
        <v>1083</v>
      </c>
      <c r="F886" s="717" t="s">
        <v>1986</v>
      </c>
      <c r="G886" s="718"/>
      <c r="H886" s="718"/>
      <c r="I886" s="718"/>
      <c r="J886" s="64">
        <v>0.66</v>
      </c>
      <c r="K886" s="350">
        <f>((3.5*2+5.9)*3+(2.7+2.5+2.7+2.5+7.3)*0.45)/J886</f>
        <v>70.704545454545467</v>
      </c>
      <c r="L886" s="196"/>
      <c r="M886" s="196"/>
      <c r="R886" s="249"/>
      <c r="T886" s="189">
        <f>0.08*0.06</f>
        <v>4.7999999999999996E-3</v>
      </c>
      <c r="V886" s="402"/>
      <c r="W886" s="42"/>
      <c r="X886" s="42"/>
    </row>
    <row r="887" spans="2:24" outlineLevel="1">
      <c r="B887" s="237"/>
      <c r="C887" s="383"/>
      <c r="D887" s="383" t="s">
        <v>65</v>
      </c>
      <c r="E887" s="384">
        <v>60512125</v>
      </c>
      <c r="F887" s="751" t="s">
        <v>1991</v>
      </c>
      <c r="G887" s="751"/>
      <c r="H887" s="751"/>
      <c r="I887" s="751"/>
      <c r="J887" s="65" t="s">
        <v>64</v>
      </c>
      <c r="K887" s="385">
        <f>K885*0.08*0.06</f>
        <v>0.33938181818181823</v>
      </c>
      <c r="L887" s="726"/>
      <c r="M887" s="726"/>
      <c r="N887" s="752">
        <f>ROUND(L887*K887,2)</f>
        <v>0</v>
      </c>
      <c r="O887" s="720"/>
      <c r="P887" s="720"/>
      <c r="Q887" s="720"/>
      <c r="R887" s="238"/>
      <c r="T887" s="45"/>
    </row>
    <row r="888" spans="2:24" outlineLevel="1">
      <c r="B888" s="237"/>
      <c r="C888" s="345"/>
      <c r="D888" s="345" t="s">
        <v>62</v>
      </c>
      <c r="E888" s="346">
        <v>763111741</v>
      </c>
      <c r="F888" s="719" t="s">
        <v>1992</v>
      </c>
      <c r="G888" s="719"/>
      <c r="H888" s="719"/>
      <c r="I888" s="719"/>
      <c r="J888" s="63" t="s">
        <v>63</v>
      </c>
      <c r="K888" s="347">
        <f>SUM(K889:K889)</f>
        <v>46.665000000000006</v>
      </c>
      <c r="L888" s="726"/>
      <c r="M888" s="726"/>
      <c r="N888" s="720">
        <f>ROUND(L888*K888,2)</f>
        <v>0</v>
      </c>
      <c r="O888" s="720"/>
      <c r="P888" s="720"/>
      <c r="Q888" s="720"/>
      <c r="R888" s="238"/>
      <c r="T888" s="45"/>
    </row>
    <row r="889" spans="2:24" s="248" customFormat="1" outlineLevel="1">
      <c r="B889" s="247"/>
      <c r="E889" s="349" t="s">
        <v>1083</v>
      </c>
      <c r="F889" s="717"/>
      <c r="G889" s="718"/>
      <c r="H889" s="718"/>
      <c r="I889" s="718"/>
      <c r="J889" s="64"/>
      <c r="K889" s="350">
        <f>(3.5*2+5.9)*3+(2.7+2.5+2.7+2.5+7.3)*0.45</f>
        <v>46.665000000000006</v>
      </c>
      <c r="L889" s="196"/>
      <c r="M889" s="196"/>
      <c r="R889" s="249"/>
      <c r="T889" s="45"/>
      <c r="V889" s="402"/>
      <c r="W889" s="42"/>
      <c r="X889" s="42"/>
    </row>
    <row r="890" spans="2:24" outlineLevel="1">
      <c r="B890" s="237"/>
      <c r="C890" s="383"/>
      <c r="D890" s="383" t="s">
        <v>65</v>
      </c>
      <c r="E890" s="384">
        <v>28329012</v>
      </c>
      <c r="F890" s="751" t="s">
        <v>117</v>
      </c>
      <c r="G890" s="751"/>
      <c r="H890" s="751"/>
      <c r="I890" s="751"/>
      <c r="J890" s="65" t="s">
        <v>63</v>
      </c>
      <c r="K890" s="385">
        <f>K888*1.2</f>
        <v>55.998000000000005</v>
      </c>
      <c r="L890" s="726"/>
      <c r="M890" s="726"/>
      <c r="N890" s="752">
        <f>ROUND(L890*K890,2)</f>
        <v>0</v>
      </c>
      <c r="O890" s="720"/>
      <c r="P890" s="720"/>
      <c r="Q890" s="720"/>
      <c r="R890" s="238"/>
      <c r="T890" s="45"/>
    </row>
    <row r="891" spans="2:24" ht="11.25" customHeight="1" outlineLevel="1">
      <c r="B891" s="237"/>
      <c r="C891" s="345"/>
      <c r="D891" s="345" t="s">
        <v>62</v>
      </c>
      <c r="E891" s="346" t="s">
        <v>1984</v>
      </c>
      <c r="F891" s="760" t="s">
        <v>1985</v>
      </c>
      <c r="G891" s="761">
        <v>0</v>
      </c>
      <c r="H891" s="761">
        <v>0</v>
      </c>
      <c r="I891" s="762">
        <v>0</v>
      </c>
      <c r="J891" s="63" t="s">
        <v>68</v>
      </c>
      <c r="K891" s="347">
        <f>SUM(K892:K892)</f>
        <v>93.330000000000013</v>
      </c>
      <c r="L891" s="726"/>
      <c r="M891" s="726"/>
      <c r="N891" s="763">
        <f>ROUND(L891*K891,2)</f>
        <v>0</v>
      </c>
      <c r="O891" s="764"/>
      <c r="P891" s="764"/>
      <c r="Q891" s="765"/>
      <c r="R891" s="238"/>
      <c r="T891" s="45"/>
    </row>
    <row r="892" spans="2:24" s="248" customFormat="1" outlineLevel="1">
      <c r="B892" s="247"/>
      <c r="E892" s="349" t="s">
        <v>1083</v>
      </c>
      <c r="F892" s="717" t="s">
        <v>1987</v>
      </c>
      <c r="G892" s="718"/>
      <c r="H892" s="718"/>
      <c r="I892" s="718"/>
      <c r="J892" s="64">
        <v>0.5</v>
      </c>
      <c r="K892" s="350">
        <f>((3.5*2+5.9)*3+(2.7+2.5+2.7+2.5+7.3)*0.45)/J892</f>
        <v>93.330000000000013</v>
      </c>
      <c r="L892" s="196"/>
      <c r="M892" s="196"/>
      <c r="R892" s="249"/>
      <c r="T892" s="45"/>
      <c r="V892" s="402"/>
      <c r="W892" s="42"/>
      <c r="X892" s="42"/>
    </row>
    <row r="893" spans="2:24" outlineLevel="1">
      <c r="B893" s="237"/>
      <c r="C893" s="383"/>
      <c r="D893" s="383" t="s">
        <v>65</v>
      </c>
      <c r="E893" s="384">
        <v>60515111</v>
      </c>
      <c r="F893" s="751" t="s">
        <v>1963</v>
      </c>
      <c r="G893" s="751"/>
      <c r="H893" s="751"/>
      <c r="I893" s="751"/>
      <c r="J893" s="65" t="s">
        <v>64</v>
      </c>
      <c r="K893" s="385">
        <f>K891*0.1*0.022</f>
        <v>0.20532600000000004</v>
      </c>
      <c r="L893" s="726"/>
      <c r="M893" s="726"/>
      <c r="N893" s="752">
        <f>ROUND(L893*K893,2)</f>
        <v>0</v>
      </c>
      <c r="O893" s="720"/>
      <c r="P893" s="720"/>
      <c r="Q893" s="720"/>
      <c r="R893" s="238"/>
      <c r="T893" s="45"/>
    </row>
    <row r="894" spans="2:24" outlineLevel="1">
      <c r="B894" s="237"/>
      <c r="C894" s="345"/>
      <c r="D894" s="345" t="s">
        <v>62</v>
      </c>
      <c r="E894" s="346">
        <v>766412213</v>
      </c>
      <c r="F894" s="760" t="s">
        <v>1988</v>
      </c>
      <c r="G894" s="761">
        <v>0</v>
      </c>
      <c r="H894" s="761">
        <v>0</v>
      </c>
      <c r="I894" s="762">
        <v>0</v>
      </c>
      <c r="J894" s="63" t="s">
        <v>63</v>
      </c>
      <c r="K894" s="347">
        <f>SUM(K895:K895)</f>
        <v>46.665000000000006</v>
      </c>
      <c r="L894" s="726"/>
      <c r="M894" s="726"/>
      <c r="N894" s="763">
        <f>ROUND(L894*K894,2)</f>
        <v>0</v>
      </c>
      <c r="O894" s="764"/>
      <c r="P894" s="764"/>
      <c r="Q894" s="765"/>
      <c r="R894" s="238"/>
      <c r="T894" s="45"/>
    </row>
    <row r="895" spans="2:24" s="248" customFormat="1" outlineLevel="1">
      <c r="B895" s="247"/>
      <c r="E895" s="349" t="s">
        <v>1083</v>
      </c>
      <c r="F895" s="717"/>
      <c r="G895" s="718"/>
      <c r="H895" s="718"/>
      <c r="I895" s="718"/>
      <c r="J895" s="64"/>
      <c r="K895" s="350">
        <f>(3.5*2+5.9)*3+(2.7+2.5+2.7+2.5+7.3)*0.45</f>
        <v>46.665000000000006</v>
      </c>
      <c r="L895" s="196"/>
      <c r="M895" s="196"/>
      <c r="R895" s="249"/>
      <c r="T895" s="45"/>
      <c r="V895" s="402"/>
      <c r="W895" s="42"/>
      <c r="X895" s="42"/>
    </row>
    <row r="896" spans="2:24" outlineLevel="1">
      <c r="B896" s="237"/>
      <c r="C896" s="383"/>
      <c r="D896" s="383" t="s">
        <v>65</v>
      </c>
      <c r="E896" s="384">
        <v>61191173</v>
      </c>
      <c r="F896" s="751" t="s">
        <v>1957</v>
      </c>
      <c r="G896" s="751"/>
      <c r="H896" s="751"/>
      <c r="I896" s="751"/>
      <c r="J896" s="65" t="s">
        <v>63</v>
      </c>
      <c r="K896" s="385">
        <f>(K894)*1.1</f>
        <v>51.331500000000013</v>
      </c>
      <c r="L896" s="726"/>
      <c r="M896" s="726"/>
      <c r="N896" s="752">
        <f>ROUND(L896*K896,2)</f>
        <v>0</v>
      </c>
      <c r="O896" s="720"/>
      <c r="P896" s="720"/>
      <c r="Q896" s="720"/>
      <c r="R896" s="238"/>
      <c r="T896" s="45"/>
    </row>
    <row r="897" spans="2:24" ht="27" customHeight="1" outlineLevel="1">
      <c r="B897" s="237"/>
      <c r="C897" s="345"/>
      <c r="D897" s="345" t="s">
        <v>62</v>
      </c>
      <c r="E897" s="346" t="s">
        <v>1989</v>
      </c>
      <c r="F897" s="719" t="s">
        <v>1990</v>
      </c>
      <c r="G897" s="719">
        <v>0</v>
      </c>
      <c r="H897" s="719">
        <v>0</v>
      </c>
      <c r="I897" s="719">
        <v>0</v>
      </c>
      <c r="J897" s="63" t="s">
        <v>63</v>
      </c>
      <c r="K897" s="347">
        <f>SUM(K898:K901)</f>
        <v>189.2475</v>
      </c>
      <c r="L897" s="726"/>
      <c r="M897" s="726"/>
      <c r="N897" s="720">
        <f>ROUND(L897*K897,2)</f>
        <v>0</v>
      </c>
      <c r="O897" s="720"/>
      <c r="P897" s="720"/>
      <c r="Q897" s="720"/>
      <c r="R897" s="238"/>
      <c r="T897" s="78"/>
      <c r="U897" s="236"/>
    </row>
    <row r="898" spans="2:24" s="248" customFormat="1" ht="11.25" customHeight="1" outlineLevel="1">
      <c r="B898" s="247"/>
      <c r="E898" s="349" t="s">
        <v>1132</v>
      </c>
      <c r="F898" s="717" t="s">
        <v>1956</v>
      </c>
      <c r="G898" s="718"/>
      <c r="H898" s="718"/>
      <c r="I898" s="718"/>
      <c r="J898" s="187">
        <v>0.75</v>
      </c>
      <c r="K898" s="350">
        <f>6.5*2*(18.7+12.4)/2*J898</f>
        <v>151.61250000000001</v>
      </c>
      <c r="L898" s="196"/>
      <c r="M898" s="196"/>
      <c r="R898" s="249"/>
      <c r="T898" s="45"/>
      <c r="V898" s="402"/>
      <c r="W898" s="42"/>
      <c r="X898" s="42"/>
    </row>
    <row r="899" spans="2:24" s="248" customFormat="1" ht="11.25" customHeight="1" outlineLevel="1">
      <c r="B899" s="247"/>
      <c r="E899" s="349" t="s">
        <v>1134</v>
      </c>
      <c r="F899" s="717" t="s">
        <v>1956</v>
      </c>
      <c r="G899" s="718"/>
      <c r="H899" s="718"/>
      <c r="I899" s="718"/>
      <c r="J899" s="187">
        <v>0.75</v>
      </c>
      <c r="K899" s="350">
        <f>2.4*1.7*2*J899</f>
        <v>6.12</v>
      </c>
      <c r="L899" s="196"/>
      <c r="M899" s="196"/>
      <c r="R899" s="249"/>
      <c r="T899" s="45"/>
      <c r="V899" s="402"/>
      <c r="W899" s="42"/>
      <c r="X899" s="42"/>
    </row>
    <row r="900" spans="2:24" s="248" customFormat="1" ht="11.25" customHeight="1" outlineLevel="1">
      <c r="B900" s="247"/>
      <c r="E900" s="349" t="s">
        <v>1135</v>
      </c>
      <c r="F900" s="717" t="s">
        <v>1956</v>
      </c>
      <c r="G900" s="718"/>
      <c r="H900" s="718"/>
      <c r="I900" s="718"/>
      <c r="J900" s="187">
        <v>0.75</v>
      </c>
      <c r="K900" s="350">
        <f>2.3*(12.4+3)*J900</f>
        <v>26.564999999999998</v>
      </c>
      <c r="L900" s="196"/>
      <c r="M900" s="196"/>
      <c r="R900" s="249"/>
      <c r="T900" s="45"/>
      <c r="V900" s="402"/>
      <c r="W900" s="42"/>
      <c r="X900" s="42"/>
    </row>
    <row r="901" spans="2:24" s="248" customFormat="1" outlineLevel="1">
      <c r="B901" s="247"/>
      <c r="E901" s="349" t="s">
        <v>2010</v>
      </c>
      <c r="F901" s="717" t="s">
        <v>1956</v>
      </c>
      <c r="G901" s="718"/>
      <c r="H901" s="718"/>
      <c r="I901" s="718"/>
      <c r="J901" s="187">
        <v>0.75</v>
      </c>
      <c r="K901" s="350">
        <f>2.75*2.4*J901</f>
        <v>4.9499999999999993</v>
      </c>
      <c r="L901" s="196"/>
      <c r="M901" s="196"/>
      <c r="R901" s="249"/>
      <c r="T901" s="45"/>
      <c r="V901" s="402"/>
      <c r="W901" s="42"/>
      <c r="X901" s="42"/>
    </row>
    <row r="902" spans="2:24" outlineLevel="1">
      <c r="B902" s="237"/>
      <c r="C902" s="383"/>
      <c r="D902" s="383" t="s">
        <v>65</v>
      </c>
      <c r="E902" s="384">
        <v>61191173</v>
      </c>
      <c r="F902" s="751" t="s">
        <v>1957</v>
      </c>
      <c r="G902" s="751"/>
      <c r="H902" s="751"/>
      <c r="I902" s="751"/>
      <c r="J902" s="65" t="s">
        <v>63</v>
      </c>
      <c r="K902" s="385">
        <f>(K897)*1.1</f>
        <v>208.17225000000002</v>
      </c>
      <c r="L902" s="726"/>
      <c r="M902" s="726"/>
      <c r="N902" s="752">
        <f>ROUND(L902*K902,2)</f>
        <v>0</v>
      </c>
      <c r="O902" s="720"/>
      <c r="P902" s="720"/>
      <c r="Q902" s="720"/>
      <c r="R902" s="238"/>
      <c r="T902" s="45"/>
    </row>
    <row r="903" spans="2:24" outlineLevel="1">
      <c r="B903" s="237"/>
      <c r="C903" s="345"/>
      <c r="D903" s="345" t="s">
        <v>62</v>
      </c>
      <c r="E903" s="346">
        <v>998766202</v>
      </c>
      <c r="F903" s="760" t="s">
        <v>1142</v>
      </c>
      <c r="G903" s="761"/>
      <c r="H903" s="761"/>
      <c r="I903" s="762"/>
      <c r="J903" s="63" t="s">
        <v>70</v>
      </c>
      <c r="K903" s="66">
        <f>SUM(N897:Q902)</f>
        <v>0</v>
      </c>
      <c r="L903" s="759"/>
      <c r="M903" s="759"/>
      <c r="N903" s="763">
        <f>ROUND(L903*K903,2)</f>
        <v>0</v>
      </c>
      <c r="O903" s="764"/>
      <c r="P903" s="764"/>
      <c r="Q903" s="765"/>
      <c r="R903" s="238"/>
      <c r="T903" s="45"/>
    </row>
    <row r="904" spans="2:24" s="341" customFormat="1" ht="12.75">
      <c r="B904" s="340"/>
      <c r="C904" s="344"/>
      <c r="D904" s="344" t="s">
        <v>123</v>
      </c>
      <c r="E904" s="344"/>
      <c r="F904" s="344"/>
      <c r="G904" s="344"/>
      <c r="H904" s="344"/>
      <c r="I904" s="344"/>
      <c r="J904" s="61"/>
      <c r="K904" s="344"/>
      <c r="L904" s="72"/>
      <c r="M904" s="72"/>
      <c r="N904" s="734">
        <f>SUM(N905:Q937)</f>
        <v>0</v>
      </c>
      <c r="O904" s="734"/>
      <c r="P904" s="734"/>
      <c r="Q904" s="734"/>
      <c r="R904" s="342"/>
      <c r="T904" s="45">
        <f>SUM(N904:Q937)/2</f>
        <v>0</v>
      </c>
      <c r="U904" s="248"/>
      <c r="V904" s="398"/>
      <c r="W904" s="399"/>
      <c r="X904" s="399"/>
    </row>
    <row r="905" spans="2:24" ht="27" customHeight="1" outlineLevel="1">
      <c r="B905" s="237"/>
      <c r="C905" s="345"/>
      <c r="D905" s="345" t="s">
        <v>62</v>
      </c>
      <c r="E905" s="346">
        <v>596811220</v>
      </c>
      <c r="F905" s="719" t="s">
        <v>466</v>
      </c>
      <c r="G905" s="719"/>
      <c r="H905" s="719"/>
      <c r="I905" s="719"/>
      <c r="J905" s="63" t="s">
        <v>63</v>
      </c>
      <c r="K905" s="347">
        <f>SUM(K906:K906)</f>
        <v>14.13</v>
      </c>
      <c r="L905" s="726"/>
      <c r="M905" s="726"/>
      <c r="N905" s="720">
        <f>ROUND(L905*K905,2)</f>
        <v>0</v>
      </c>
      <c r="O905" s="720"/>
      <c r="P905" s="720"/>
      <c r="Q905" s="720"/>
      <c r="R905" s="238"/>
      <c r="T905" s="78"/>
      <c r="U905" s="236"/>
    </row>
    <row r="906" spans="2:24" s="248" customFormat="1" ht="11.25" customHeight="1" outlineLevel="1">
      <c r="B906" s="247"/>
      <c r="E906" s="349" t="s">
        <v>1143</v>
      </c>
      <c r="F906" s="717" t="s">
        <v>110</v>
      </c>
      <c r="G906" s="718"/>
      <c r="H906" s="718"/>
      <c r="I906" s="718"/>
      <c r="J906" s="64"/>
      <c r="K906" s="350">
        <f>2.92+11.21</f>
        <v>14.13</v>
      </c>
      <c r="L906" s="196"/>
      <c r="M906" s="196"/>
      <c r="R906" s="249"/>
      <c r="T906" s="45"/>
      <c r="V906" s="402"/>
      <c r="W906" s="42"/>
      <c r="X906" s="42"/>
    </row>
    <row r="907" spans="2:24" outlineLevel="1">
      <c r="B907" s="237"/>
      <c r="C907" s="383"/>
      <c r="D907" s="383" t="s">
        <v>65</v>
      </c>
      <c r="E907" s="384">
        <v>59246003</v>
      </c>
      <c r="F907" s="751" t="s">
        <v>1144</v>
      </c>
      <c r="G907" s="751"/>
      <c r="H907" s="751"/>
      <c r="I907" s="751"/>
      <c r="J907" s="65" t="s">
        <v>63</v>
      </c>
      <c r="K907" s="385">
        <f>K905*1.1</f>
        <v>15.543000000000003</v>
      </c>
      <c r="L907" s="726"/>
      <c r="M907" s="726"/>
      <c r="N907" s="752">
        <f>ROUND(L907*K907,2)</f>
        <v>0</v>
      </c>
      <c r="O907" s="720"/>
      <c r="P907" s="720"/>
      <c r="Q907" s="720"/>
      <c r="R907" s="238"/>
      <c r="T907" s="45"/>
    </row>
    <row r="908" spans="2:24" s="358" customFormat="1" outlineLevel="1">
      <c r="B908" s="353"/>
      <c r="C908" s="354"/>
      <c r="D908" s="354" t="s">
        <v>62</v>
      </c>
      <c r="E908" s="355">
        <v>771121011</v>
      </c>
      <c r="F908" s="727" t="s">
        <v>447</v>
      </c>
      <c r="G908" s="727"/>
      <c r="H908" s="727"/>
      <c r="I908" s="727"/>
      <c r="J908" s="215" t="s">
        <v>63</v>
      </c>
      <c r="K908" s="356">
        <f>SUM(K909:K915)</f>
        <v>135.47999999999999</v>
      </c>
      <c r="L908" s="728"/>
      <c r="M908" s="728"/>
      <c r="N908" s="729">
        <f>ROUND(L908*K908,2)</f>
        <v>0</v>
      </c>
      <c r="O908" s="729"/>
      <c r="P908" s="729"/>
      <c r="Q908" s="729"/>
      <c r="R908" s="357"/>
      <c r="T908" s="216"/>
      <c r="U908" s="359"/>
      <c r="V908" s="414"/>
      <c r="W908" s="415"/>
      <c r="X908" s="415"/>
    </row>
    <row r="909" spans="2:24" s="248" customFormat="1" ht="11.25" customHeight="1" outlineLevel="1">
      <c r="B909" s="247"/>
      <c r="E909" s="349" t="s">
        <v>912</v>
      </c>
      <c r="F909" s="717" t="s">
        <v>110</v>
      </c>
      <c r="G909" s="718"/>
      <c r="H909" s="718"/>
      <c r="I909" s="718"/>
      <c r="J909" s="64"/>
      <c r="K909" s="350">
        <f>4.24+1.81</f>
        <v>6.0500000000000007</v>
      </c>
      <c r="L909" s="196"/>
      <c r="M909" s="196"/>
      <c r="R909" s="249"/>
      <c r="T909" s="45"/>
      <c r="V909" s="402"/>
      <c r="W909" s="42"/>
      <c r="X909" s="42"/>
    </row>
    <row r="910" spans="2:24" s="248" customFormat="1" ht="11.25" customHeight="1" outlineLevel="1">
      <c r="B910" s="247"/>
      <c r="E910" s="349" t="s">
        <v>1067</v>
      </c>
      <c r="F910" s="717" t="s">
        <v>110</v>
      </c>
      <c r="G910" s="718"/>
      <c r="H910" s="718"/>
      <c r="I910" s="718"/>
      <c r="J910" s="64"/>
      <c r="K910" s="350">
        <f>(4.51+2.89+2.55+1.58+1.17*2+3.28+3.02+4.24+28.19+23.93+1.47+1.54)</f>
        <v>79.540000000000006</v>
      </c>
      <c r="L910" s="196"/>
      <c r="M910" s="196"/>
      <c r="R910" s="249"/>
      <c r="T910" s="45"/>
      <c r="V910" s="402"/>
      <c r="W910" s="42"/>
      <c r="X910" s="42"/>
    </row>
    <row r="911" spans="2:24" s="248" customFormat="1" ht="11.25" customHeight="1" outlineLevel="1">
      <c r="B911" s="247"/>
      <c r="E911" s="349" t="s">
        <v>1070</v>
      </c>
      <c r="F911" s="717" t="s">
        <v>110</v>
      </c>
      <c r="G911" s="718"/>
      <c r="H911" s="718"/>
      <c r="I911" s="718"/>
      <c r="J911" s="64"/>
      <c r="K911" s="350">
        <f>(3.03+4.4+7.62+6.73+2.36)</f>
        <v>24.14</v>
      </c>
      <c r="L911" s="196"/>
      <c r="M911" s="196"/>
      <c r="R911" s="249"/>
      <c r="T911" s="45"/>
      <c r="V911" s="402"/>
      <c r="W911" s="42"/>
      <c r="X911" s="42"/>
    </row>
    <row r="912" spans="2:24" s="248" customFormat="1" ht="11.25" customHeight="1" outlineLevel="1">
      <c r="B912" s="247"/>
      <c r="E912" s="349" t="s">
        <v>2017</v>
      </c>
      <c r="F912" s="717" t="s">
        <v>110</v>
      </c>
      <c r="G912" s="717"/>
      <c r="H912" s="717"/>
      <c r="I912" s="717"/>
      <c r="J912" s="64"/>
      <c r="K912" s="350">
        <f>(4.39+1.6+1.63+1.58+2.1)</f>
        <v>11.299999999999999</v>
      </c>
      <c r="L912" s="196"/>
      <c r="M912" s="196"/>
      <c r="R912" s="249"/>
      <c r="T912" s="45"/>
      <c r="V912" s="402"/>
      <c r="W912" s="42"/>
      <c r="X912" s="42"/>
    </row>
    <row r="913" spans="2:29" s="248" customFormat="1" ht="11.25" customHeight="1" outlineLevel="1">
      <c r="B913" s="247"/>
      <c r="E913" s="349" t="s">
        <v>1073</v>
      </c>
      <c r="F913" s="717" t="s">
        <v>110</v>
      </c>
      <c r="G913" s="718"/>
      <c r="H913" s="718"/>
      <c r="I913" s="718"/>
      <c r="J913" s="64"/>
      <c r="K913" s="350">
        <f>9.9</f>
        <v>9.9</v>
      </c>
      <c r="L913" s="196"/>
      <c r="M913" s="196"/>
      <c r="R913" s="249"/>
      <c r="T913" s="45"/>
      <c r="V913" s="402"/>
      <c r="W913" s="42"/>
      <c r="X913" s="42"/>
    </row>
    <row r="914" spans="2:29" s="248" customFormat="1" ht="11.25" customHeight="1" outlineLevel="1">
      <c r="B914" s="247"/>
      <c r="E914" s="349" t="s">
        <v>914</v>
      </c>
      <c r="F914" s="717" t="s">
        <v>110</v>
      </c>
      <c r="G914" s="718"/>
      <c r="H914" s="718"/>
      <c r="I914" s="718"/>
      <c r="J914" s="64"/>
      <c r="K914" s="350">
        <f>6.91</f>
        <v>6.91</v>
      </c>
      <c r="L914" s="196"/>
      <c r="M914" s="196"/>
      <c r="R914" s="249"/>
      <c r="T914" s="45"/>
      <c r="V914" s="402"/>
      <c r="W914" s="42"/>
      <c r="X914" s="42"/>
    </row>
    <row r="915" spans="2:29" s="333" customFormat="1" outlineLevel="1">
      <c r="B915" s="362"/>
      <c r="E915" s="363" t="s">
        <v>2520</v>
      </c>
      <c r="F915" s="715" t="s">
        <v>2456</v>
      </c>
      <c r="G915" s="716">
        <f>(1.4+1.5)*2*(0.25*0.6)*12+0.35*0.45*2.3</f>
        <v>10.802249999999999</v>
      </c>
      <c r="H915" s="716">
        <f>(1.4+1.5)*2*(0.25*0.6)*12+0.35*0.45*2.3</f>
        <v>10.802249999999999</v>
      </c>
      <c r="I915" s="716">
        <f>(1.4+1.5)*2*(0.25*0.6)*12+0.35*0.45*2.3</f>
        <v>10.802249999999999</v>
      </c>
      <c r="J915" s="209">
        <v>-1</v>
      </c>
      <c r="K915" s="364">
        <f>K251*J915</f>
        <v>-2.36</v>
      </c>
      <c r="L915" s="210"/>
      <c r="M915" s="210"/>
      <c r="R915" s="365"/>
      <c r="T915" s="211"/>
      <c r="V915" s="217"/>
      <c r="W915" s="217"/>
      <c r="X915" s="217"/>
      <c r="AC915" s="366"/>
    </row>
    <row r="916" spans="2:29" outlineLevel="1">
      <c r="B916" s="237"/>
      <c r="C916" s="345"/>
      <c r="D916" s="345" t="s">
        <v>62</v>
      </c>
      <c r="E916" s="346">
        <v>771151021</v>
      </c>
      <c r="F916" s="719" t="s">
        <v>1145</v>
      </c>
      <c r="G916" s="719"/>
      <c r="H916" s="719"/>
      <c r="I916" s="719"/>
      <c r="J916" s="63" t="s">
        <v>63</v>
      </c>
      <c r="K916" s="347">
        <f>K908</f>
        <v>135.47999999999999</v>
      </c>
      <c r="L916" s="726"/>
      <c r="M916" s="726"/>
      <c r="N916" s="720">
        <f>ROUND(L916*K916,2)</f>
        <v>0</v>
      </c>
      <c r="O916" s="720"/>
      <c r="P916" s="720"/>
      <c r="Q916" s="720"/>
      <c r="R916" s="238"/>
      <c r="T916" s="45"/>
    </row>
    <row r="917" spans="2:29" s="358" customFormat="1" outlineLevel="1">
      <c r="B917" s="353"/>
      <c r="C917" s="354"/>
      <c r="D917" s="354" t="s">
        <v>62</v>
      </c>
      <c r="E917" s="355">
        <v>771591112</v>
      </c>
      <c r="F917" s="727" t="s">
        <v>167</v>
      </c>
      <c r="G917" s="727"/>
      <c r="H917" s="727"/>
      <c r="I917" s="727"/>
      <c r="J917" s="215" t="s">
        <v>63</v>
      </c>
      <c r="K917" s="356">
        <f>SUM(K918:K919)</f>
        <v>34.099999999999994</v>
      </c>
      <c r="L917" s="728"/>
      <c r="M917" s="728"/>
      <c r="N917" s="729">
        <f>ROUND(L917*K917,2)</f>
        <v>0</v>
      </c>
      <c r="O917" s="729"/>
      <c r="P917" s="729"/>
      <c r="Q917" s="729"/>
      <c r="R917" s="357"/>
      <c r="T917" s="216"/>
      <c r="U917" s="359"/>
      <c r="V917" s="414"/>
      <c r="W917" s="415"/>
      <c r="X917" s="415"/>
    </row>
    <row r="918" spans="2:29" s="248" customFormat="1" outlineLevel="1">
      <c r="B918" s="247"/>
      <c r="E918" s="349" t="s">
        <v>440</v>
      </c>
      <c r="F918" s="717" t="s">
        <v>110</v>
      </c>
      <c r="G918" s="718"/>
      <c r="H918" s="718"/>
      <c r="I918" s="718"/>
      <c r="J918" s="64"/>
      <c r="K918" s="350">
        <f>1.47+1.54+2.89+2.55+1.58+1.17*2+3.28+3.02+4.39+1.6+1.63+1.58+2.1+2.36+2.26+1.87</f>
        <v>36.459999999999994</v>
      </c>
      <c r="L918" s="196"/>
      <c r="M918" s="196"/>
      <c r="R918" s="249"/>
      <c r="T918" s="45"/>
      <c r="V918" s="402"/>
      <c r="W918" s="42"/>
      <c r="X918" s="42"/>
    </row>
    <row r="919" spans="2:29" s="333" customFormat="1" outlineLevel="1">
      <c r="B919" s="362"/>
      <c r="E919" s="363" t="s">
        <v>2520</v>
      </c>
      <c r="F919" s="715" t="s">
        <v>2456</v>
      </c>
      <c r="G919" s="716">
        <f>(1.4+1.5)*2*(0.25*0.6)*12+0.35*0.45*2.3</f>
        <v>10.802249999999999</v>
      </c>
      <c r="H919" s="716">
        <f>(1.4+1.5)*2*(0.25*0.6)*12+0.35*0.45*2.3</f>
        <v>10.802249999999999</v>
      </c>
      <c r="I919" s="716">
        <f>(1.4+1.5)*2*(0.25*0.6)*12+0.35*0.45*2.3</f>
        <v>10.802249999999999</v>
      </c>
      <c r="J919" s="209">
        <v>-1</v>
      </c>
      <c r="K919" s="364">
        <f>K254*J919</f>
        <v>-2.36</v>
      </c>
      <c r="L919" s="210"/>
      <c r="M919" s="210"/>
      <c r="R919" s="365"/>
      <c r="T919" s="211"/>
      <c r="V919" s="217"/>
      <c r="W919" s="217"/>
      <c r="X919" s="217"/>
      <c r="AC919" s="366"/>
    </row>
    <row r="920" spans="2:29" s="358" customFormat="1" outlineLevel="1">
      <c r="B920" s="353"/>
      <c r="C920" s="354"/>
      <c r="D920" s="354" t="s">
        <v>62</v>
      </c>
      <c r="E920" s="355">
        <v>771591264</v>
      </c>
      <c r="F920" s="727" t="s">
        <v>168</v>
      </c>
      <c r="G920" s="727"/>
      <c r="H920" s="727"/>
      <c r="I920" s="727"/>
      <c r="J920" s="215" t="s">
        <v>68</v>
      </c>
      <c r="K920" s="356">
        <f>SUM(K921:K922)</f>
        <v>36.86</v>
      </c>
      <c r="L920" s="728"/>
      <c r="M920" s="728"/>
      <c r="N920" s="729">
        <f>ROUND(L920*K920,2)</f>
        <v>0</v>
      </c>
      <c r="O920" s="729"/>
      <c r="P920" s="729"/>
      <c r="Q920" s="729"/>
      <c r="R920" s="357"/>
      <c r="T920" s="216"/>
      <c r="U920" s="359"/>
      <c r="V920" s="414"/>
      <c r="W920" s="415"/>
      <c r="X920" s="415"/>
    </row>
    <row r="921" spans="2:29" s="248" customFormat="1" ht="11.25" customHeight="1" outlineLevel="1">
      <c r="B921" s="247"/>
      <c r="E921" s="349" t="s">
        <v>2527</v>
      </c>
      <c r="F921" s="717"/>
      <c r="G921" s="718"/>
      <c r="H921" s="718"/>
      <c r="I921" s="718"/>
      <c r="J921" s="64"/>
      <c r="K921" s="350">
        <f>43</f>
        <v>43</v>
      </c>
      <c r="L921" s="196"/>
      <c r="M921" s="196"/>
      <c r="R921" s="249"/>
      <c r="T921" s="45"/>
      <c r="V921" s="402"/>
      <c r="W921" s="42"/>
      <c r="X921" s="42"/>
    </row>
    <row r="922" spans="2:29" s="333" customFormat="1" outlineLevel="1">
      <c r="B922" s="362"/>
      <c r="E922" s="363" t="s">
        <v>2520</v>
      </c>
      <c r="F922" s="715" t="s">
        <v>2456</v>
      </c>
      <c r="G922" s="716">
        <f>(1.4+1.5)*2*(0.25*0.6)*12+0.35*0.45*2.3</f>
        <v>10.802249999999999</v>
      </c>
      <c r="H922" s="716">
        <f>(1.4+1.5)*2*(0.25*0.6)*12+0.35*0.45*2.3</f>
        <v>10.802249999999999</v>
      </c>
      <c r="I922" s="716">
        <f>(1.4+1.5)*2*(0.25*0.6)*12+0.35*0.45*2.3</f>
        <v>10.802249999999999</v>
      </c>
      <c r="J922" s="209">
        <v>-1</v>
      </c>
      <c r="K922" s="364">
        <f>K256*J922</f>
        <v>-6.1400000000000006</v>
      </c>
      <c r="L922" s="210"/>
      <c r="M922" s="210"/>
      <c r="R922" s="365"/>
      <c r="T922" s="211"/>
      <c r="V922" s="217"/>
      <c r="W922" s="217"/>
      <c r="X922" s="217"/>
      <c r="AC922" s="366"/>
    </row>
    <row r="923" spans="2:29" outlineLevel="1">
      <c r="B923" s="237"/>
      <c r="C923" s="345"/>
      <c r="D923" s="345" t="s">
        <v>62</v>
      </c>
      <c r="E923" s="346">
        <v>771531047</v>
      </c>
      <c r="F923" s="719" t="s">
        <v>1150</v>
      </c>
      <c r="G923" s="719"/>
      <c r="H923" s="719"/>
      <c r="I923" s="719"/>
      <c r="J923" s="63" t="s">
        <v>63</v>
      </c>
      <c r="K923" s="347">
        <f>SUM(K924:K924)</f>
        <v>24.14</v>
      </c>
      <c r="L923" s="726"/>
      <c r="M923" s="726"/>
      <c r="N923" s="720">
        <f>ROUND(L923*K923,2)</f>
        <v>0</v>
      </c>
      <c r="O923" s="720"/>
      <c r="P923" s="720"/>
      <c r="Q923" s="720"/>
      <c r="R923" s="238"/>
      <c r="T923" s="45"/>
    </row>
    <row r="924" spans="2:29" s="248" customFormat="1" ht="11.25" customHeight="1" outlineLevel="1">
      <c r="B924" s="247"/>
      <c r="E924" s="349" t="s">
        <v>1070</v>
      </c>
      <c r="F924" s="717" t="s">
        <v>110</v>
      </c>
      <c r="G924" s="718"/>
      <c r="H924" s="718"/>
      <c r="I924" s="718"/>
      <c r="J924" s="64"/>
      <c r="K924" s="350">
        <f>(3.03+4.4+7.62+6.73+2.36)</f>
        <v>24.14</v>
      </c>
      <c r="L924" s="196"/>
      <c r="M924" s="196"/>
      <c r="R924" s="249"/>
      <c r="T924" s="45"/>
      <c r="V924" s="402"/>
      <c r="W924" s="42"/>
      <c r="X924" s="42"/>
    </row>
    <row r="925" spans="2:29" ht="30.75" customHeight="1" outlineLevel="1">
      <c r="B925" s="237"/>
      <c r="C925" s="345"/>
      <c r="D925" s="345" t="s">
        <v>62</v>
      </c>
      <c r="E925" s="346">
        <v>771574154</v>
      </c>
      <c r="F925" s="719" t="s">
        <v>169</v>
      </c>
      <c r="G925" s="719"/>
      <c r="H925" s="719"/>
      <c r="I925" s="719"/>
      <c r="J925" s="63" t="s">
        <v>63</v>
      </c>
      <c r="K925" s="347">
        <f>SUM(K926:K926)</f>
        <v>77.239999999999995</v>
      </c>
      <c r="L925" s="726"/>
      <c r="M925" s="726"/>
      <c r="N925" s="720">
        <f>ROUND(L925*K925,2)</f>
        <v>0</v>
      </c>
      <c r="O925" s="720"/>
      <c r="P925" s="720"/>
      <c r="Q925" s="720"/>
      <c r="R925" s="238"/>
      <c r="T925" s="45"/>
    </row>
    <row r="926" spans="2:29" s="248" customFormat="1" ht="11.25" customHeight="1" outlineLevel="1">
      <c r="B926" s="247"/>
      <c r="E926" s="349" t="s">
        <v>1146</v>
      </c>
      <c r="F926" s="717" t="s">
        <v>110</v>
      </c>
      <c r="G926" s="718"/>
      <c r="H926" s="718"/>
      <c r="I926" s="718"/>
      <c r="J926" s="64"/>
      <c r="K926" s="350">
        <f>K908-K923-K928</f>
        <v>77.239999999999995</v>
      </c>
      <c r="L926" s="196"/>
      <c r="M926" s="196"/>
      <c r="R926" s="249"/>
      <c r="T926" s="45"/>
      <c r="V926" s="402"/>
      <c r="W926" s="42"/>
      <c r="X926" s="42"/>
    </row>
    <row r="927" spans="2:29" ht="28.5" customHeight="1" outlineLevel="1">
      <c r="B927" s="237"/>
      <c r="C927" s="383"/>
      <c r="D927" s="383" t="s">
        <v>65</v>
      </c>
      <c r="E927" s="384">
        <v>59761420</v>
      </c>
      <c r="F927" s="751" t="s">
        <v>170</v>
      </c>
      <c r="G927" s="751"/>
      <c r="H927" s="751"/>
      <c r="I927" s="751"/>
      <c r="J927" s="65" t="s">
        <v>63</v>
      </c>
      <c r="K927" s="385">
        <f>K925*1.1</f>
        <v>84.963999999999999</v>
      </c>
      <c r="L927" s="726"/>
      <c r="M927" s="726"/>
      <c r="N927" s="752">
        <f>ROUND(L927*K927,2)</f>
        <v>0</v>
      </c>
      <c r="O927" s="720"/>
      <c r="P927" s="720"/>
      <c r="Q927" s="720"/>
      <c r="R927" s="238"/>
      <c r="T927" s="45"/>
    </row>
    <row r="928" spans="2:29" s="358" customFormat="1" ht="25.5" customHeight="1" outlineLevel="1">
      <c r="B928" s="353"/>
      <c r="C928" s="354"/>
      <c r="D928" s="354" t="s">
        <v>62</v>
      </c>
      <c r="E928" s="355">
        <v>771574114</v>
      </c>
      <c r="F928" s="727" t="s">
        <v>441</v>
      </c>
      <c r="G928" s="727"/>
      <c r="H928" s="727"/>
      <c r="I928" s="727"/>
      <c r="J928" s="215" t="s">
        <v>63</v>
      </c>
      <c r="K928" s="356">
        <f>SUM(K929:K929)</f>
        <v>34.099999999999994</v>
      </c>
      <c r="L928" s="728"/>
      <c r="M928" s="728"/>
      <c r="N928" s="729">
        <f>ROUND(L928*K928,2)</f>
        <v>0</v>
      </c>
      <c r="O928" s="729"/>
      <c r="P928" s="729"/>
      <c r="Q928" s="729"/>
      <c r="R928" s="357"/>
      <c r="T928" s="216"/>
      <c r="U928" s="359"/>
      <c r="V928" s="414"/>
      <c r="W928" s="415"/>
      <c r="X928" s="415"/>
    </row>
    <row r="929" spans="2:29" s="248" customFormat="1" ht="11.25" customHeight="1" outlineLevel="1">
      <c r="B929" s="247"/>
      <c r="E929" s="349" t="s">
        <v>1147</v>
      </c>
      <c r="F929" s="717" t="s">
        <v>110</v>
      </c>
      <c r="G929" s="718"/>
      <c r="H929" s="718"/>
      <c r="I929" s="718"/>
      <c r="J929" s="64"/>
      <c r="K929" s="350">
        <f>K917</f>
        <v>34.099999999999994</v>
      </c>
      <c r="L929" s="196"/>
      <c r="M929" s="196"/>
      <c r="R929" s="249"/>
      <c r="T929" s="45"/>
      <c r="V929" s="402"/>
      <c r="W929" s="42"/>
      <c r="X929" s="42"/>
    </row>
    <row r="930" spans="2:29" outlineLevel="1">
      <c r="B930" s="237"/>
      <c r="C930" s="383"/>
      <c r="D930" s="383" t="s">
        <v>65</v>
      </c>
      <c r="E930" s="384">
        <v>59761012</v>
      </c>
      <c r="F930" s="751" t="s">
        <v>442</v>
      </c>
      <c r="G930" s="751"/>
      <c r="H930" s="751"/>
      <c r="I930" s="751"/>
      <c r="J930" s="65" t="s">
        <v>63</v>
      </c>
      <c r="K930" s="385">
        <f>K928*1.1</f>
        <v>37.51</v>
      </c>
      <c r="L930" s="726"/>
      <c r="M930" s="726"/>
      <c r="N930" s="752">
        <f>ROUND(L930*K930,2)</f>
        <v>0</v>
      </c>
      <c r="O930" s="720"/>
      <c r="P930" s="720"/>
      <c r="Q930" s="720"/>
      <c r="R930" s="238"/>
      <c r="T930" s="45"/>
    </row>
    <row r="931" spans="2:29" s="358" customFormat="1" outlineLevel="1">
      <c r="B931" s="353"/>
      <c r="C931" s="354"/>
      <c r="D931" s="354" t="s">
        <v>62</v>
      </c>
      <c r="E931" s="355">
        <v>771591115</v>
      </c>
      <c r="F931" s="727" t="s">
        <v>443</v>
      </c>
      <c r="G931" s="727"/>
      <c r="H931" s="727"/>
      <c r="I931" s="727"/>
      <c r="J931" s="215" t="s">
        <v>68</v>
      </c>
      <c r="K931" s="356">
        <f>SUM(K932:K933)</f>
        <v>98.859999999999985</v>
      </c>
      <c r="L931" s="728"/>
      <c r="M931" s="728"/>
      <c r="N931" s="729">
        <f>ROUND(L931*K931,2)</f>
        <v>0</v>
      </c>
      <c r="O931" s="729"/>
      <c r="P931" s="729"/>
      <c r="Q931" s="729"/>
      <c r="R931" s="357"/>
      <c r="T931" s="216"/>
      <c r="U931" s="359"/>
      <c r="V931" s="414"/>
      <c r="W931" s="415"/>
      <c r="X931" s="415"/>
    </row>
    <row r="932" spans="2:29" s="248" customFormat="1" outlineLevel="1">
      <c r="B932" s="247"/>
      <c r="E932" s="349"/>
      <c r="F932" s="717" t="s">
        <v>110</v>
      </c>
      <c r="G932" s="718"/>
      <c r="H932" s="718"/>
      <c r="I932" s="718"/>
      <c r="J932" s="64"/>
      <c r="K932" s="350">
        <f>(2.6*2+0.9*2+1*3+1.5*3+3.1+1.4+2.3+0.9+1.9+1.3+1.2*2+1.8*3+1.7*3+1.7*2+2.9+1.6+2.6+1.3+2.4)*2</f>
        <v>104.99999999999999</v>
      </c>
      <c r="L932" s="196"/>
      <c r="M932" s="196"/>
      <c r="R932" s="249"/>
      <c r="T932" s="45"/>
      <c r="V932" s="402"/>
      <c r="W932" s="42"/>
      <c r="X932" s="42"/>
    </row>
    <row r="933" spans="2:29" s="333" customFormat="1" outlineLevel="1">
      <c r="B933" s="362"/>
      <c r="E933" s="363" t="s">
        <v>2520</v>
      </c>
      <c r="F933" s="715" t="s">
        <v>2456</v>
      </c>
      <c r="G933" s="716">
        <f>(1.4+1.5)*2*(0.25*0.6)*12+0.35*0.45*2.3</f>
        <v>10.802249999999999</v>
      </c>
      <c r="H933" s="716">
        <f>(1.4+1.5)*2*(0.25*0.6)*12+0.35*0.45*2.3</f>
        <v>10.802249999999999</v>
      </c>
      <c r="I933" s="716">
        <f>(1.4+1.5)*2*(0.25*0.6)*12+0.35*0.45*2.3</f>
        <v>10.802249999999999</v>
      </c>
      <c r="J933" s="209">
        <v>-1</v>
      </c>
      <c r="K933" s="364">
        <f>K260*J933</f>
        <v>-6.1400000000000006</v>
      </c>
      <c r="L933" s="210"/>
      <c r="M933" s="210"/>
      <c r="R933" s="365"/>
      <c r="T933" s="211"/>
      <c r="V933" s="217"/>
      <c r="W933" s="217"/>
      <c r="X933" s="217"/>
      <c r="AC933" s="366"/>
    </row>
    <row r="934" spans="2:29" outlineLevel="1">
      <c r="B934" s="237"/>
      <c r="C934" s="345"/>
      <c r="D934" s="345" t="s">
        <v>62</v>
      </c>
      <c r="E934" s="346">
        <v>771474113</v>
      </c>
      <c r="F934" s="719" t="s">
        <v>444</v>
      </c>
      <c r="G934" s="719"/>
      <c r="H934" s="719"/>
      <c r="I934" s="719"/>
      <c r="J934" s="63" t="s">
        <v>68</v>
      </c>
      <c r="K934" s="347">
        <f>SUM(K935:K935)</f>
        <v>51.4</v>
      </c>
      <c r="L934" s="726"/>
      <c r="M934" s="726"/>
      <c r="N934" s="720">
        <f>ROUND(L934*K934,2)</f>
        <v>0</v>
      </c>
      <c r="O934" s="720"/>
      <c r="P934" s="720"/>
      <c r="Q934" s="720"/>
      <c r="R934" s="238"/>
      <c r="T934" s="45"/>
    </row>
    <row r="935" spans="2:29" s="248" customFormat="1" outlineLevel="1">
      <c r="B935" s="247"/>
      <c r="E935" s="349" t="s">
        <v>1148</v>
      </c>
      <c r="F935" s="717" t="s">
        <v>110</v>
      </c>
      <c r="G935" s="718"/>
      <c r="H935" s="718"/>
      <c r="I935" s="718"/>
      <c r="J935" s="64"/>
      <c r="K935" s="350">
        <f>(1.4*2+6.6*2+8.3+1.4)*2</f>
        <v>51.4</v>
      </c>
      <c r="L935" s="196"/>
      <c r="M935" s="196"/>
      <c r="R935" s="249"/>
      <c r="T935" s="45"/>
      <c r="V935" s="402"/>
      <c r="W935" s="42"/>
      <c r="X935" s="42"/>
    </row>
    <row r="936" spans="2:29" ht="13.5" customHeight="1" outlineLevel="1">
      <c r="B936" s="237"/>
      <c r="C936" s="383"/>
      <c r="D936" s="383" t="s">
        <v>69</v>
      </c>
      <c r="E936" s="384" t="s">
        <v>446</v>
      </c>
      <c r="F936" s="751" t="s">
        <v>445</v>
      </c>
      <c r="G936" s="751"/>
      <c r="H936" s="751"/>
      <c r="I936" s="751"/>
      <c r="J936" s="65" t="s">
        <v>68</v>
      </c>
      <c r="K936" s="385">
        <f>K934*1.1</f>
        <v>56.540000000000006</v>
      </c>
      <c r="L936" s="726"/>
      <c r="M936" s="726"/>
      <c r="N936" s="752">
        <f>ROUND(L936*K936,2)</f>
        <v>0</v>
      </c>
      <c r="O936" s="720"/>
      <c r="P936" s="720"/>
      <c r="Q936" s="720"/>
      <c r="R936" s="238"/>
      <c r="T936" s="45"/>
    </row>
    <row r="937" spans="2:29" outlineLevel="1">
      <c r="B937" s="237"/>
      <c r="C937" s="345"/>
      <c r="D937" s="345" t="s">
        <v>62</v>
      </c>
      <c r="E937" s="346">
        <v>998771202</v>
      </c>
      <c r="F937" s="719" t="s">
        <v>1149</v>
      </c>
      <c r="G937" s="719"/>
      <c r="H937" s="719"/>
      <c r="I937" s="719"/>
      <c r="J937" s="63" t="s">
        <v>70</v>
      </c>
      <c r="K937" s="66">
        <f>SUM(N905:Q936)</f>
        <v>0</v>
      </c>
      <c r="L937" s="759"/>
      <c r="M937" s="759"/>
      <c r="N937" s="720">
        <f>ROUND(L937*K937,2)</f>
        <v>0</v>
      </c>
      <c r="O937" s="720"/>
      <c r="P937" s="720"/>
      <c r="Q937" s="720"/>
      <c r="R937" s="238"/>
      <c r="T937" s="45"/>
    </row>
    <row r="938" spans="2:29" s="341" customFormat="1" ht="12.75">
      <c r="B938" s="340"/>
      <c r="C938" s="344"/>
      <c r="D938" s="344" t="s">
        <v>454</v>
      </c>
      <c r="E938" s="344"/>
      <c r="F938" s="344"/>
      <c r="G938" s="344"/>
      <c r="H938" s="344"/>
      <c r="I938" s="344"/>
      <c r="J938" s="61"/>
      <c r="K938" s="344"/>
      <c r="L938" s="72"/>
      <c r="M938" s="72"/>
      <c r="N938" s="734">
        <f>SUM(N939:Q944)</f>
        <v>0</v>
      </c>
      <c r="O938" s="734"/>
      <c r="P938" s="734"/>
      <c r="Q938" s="734"/>
      <c r="R938" s="342"/>
      <c r="T938" s="45">
        <f>SUM(N938:Q944)/2</f>
        <v>0</v>
      </c>
      <c r="U938" s="248"/>
      <c r="V938" s="398"/>
      <c r="W938" s="399"/>
      <c r="X938" s="399"/>
    </row>
    <row r="939" spans="2:29" ht="11.25" customHeight="1" outlineLevel="1">
      <c r="B939" s="237"/>
      <c r="C939" s="345"/>
      <c r="D939" s="345" t="s">
        <v>62</v>
      </c>
      <c r="E939" s="346">
        <v>772591914</v>
      </c>
      <c r="F939" s="719" t="s">
        <v>455</v>
      </c>
      <c r="G939" s="719"/>
      <c r="H939" s="719"/>
      <c r="I939" s="719"/>
      <c r="J939" s="63" t="s">
        <v>63</v>
      </c>
      <c r="K939" s="347">
        <f>SUM(K940:K940)</f>
        <v>17.009999999999998</v>
      </c>
      <c r="L939" s="726"/>
      <c r="M939" s="726"/>
      <c r="N939" s="720">
        <f>ROUND(L939*K939,2)</f>
        <v>0</v>
      </c>
      <c r="O939" s="720"/>
      <c r="P939" s="720"/>
      <c r="Q939" s="720"/>
      <c r="R939" s="238"/>
      <c r="T939" s="45"/>
    </row>
    <row r="940" spans="2:29" s="248" customFormat="1" outlineLevel="1">
      <c r="B940" s="247"/>
      <c r="E940" s="349" t="s">
        <v>1151</v>
      </c>
      <c r="F940" s="717" t="s">
        <v>110</v>
      </c>
      <c r="G940" s="718"/>
      <c r="H940" s="718"/>
      <c r="I940" s="718"/>
      <c r="J940" s="64"/>
      <c r="K940" s="350">
        <f>2.84+2.9+11.27</f>
        <v>17.009999999999998</v>
      </c>
      <c r="L940" s="196"/>
      <c r="M940" s="196"/>
      <c r="R940" s="249"/>
      <c r="T940" s="45"/>
      <c r="V940" s="402"/>
      <c r="W940" s="42"/>
      <c r="X940" s="42"/>
    </row>
    <row r="941" spans="2:29" ht="11.25" customHeight="1" outlineLevel="1">
      <c r="B941" s="237"/>
      <c r="C941" s="345"/>
      <c r="D941" s="345" t="s">
        <v>62</v>
      </c>
      <c r="E941" s="346">
        <v>772591912</v>
      </c>
      <c r="F941" s="719" t="s">
        <v>456</v>
      </c>
      <c r="G941" s="719"/>
      <c r="H941" s="719"/>
      <c r="I941" s="719"/>
      <c r="J941" s="63" t="s">
        <v>63</v>
      </c>
      <c r="K941" s="347">
        <f>K939</f>
        <v>17.009999999999998</v>
      </c>
      <c r="L941" s="726"/>
      <c r="M941" s="726"/>
      <c r="N941" s="720">
        <f>ROUND(L941*K941,2)</f>
        <v>0</v>
      </c>
      <c r="O941" s="720"/>
      <c r="P941" s="720"/>
      <c r="Q941" s="720"/>
      <c r="R941" s="238"/>
      <c r="T941" s="45"/>
    </row>
    <row r="942" spans="2:29" outlineLevel="1">
      <c r="B942" s="237"/>
      <c r="C942" s="345"/>
      <c r="D942" s="345" t="s">
        <v>62</v>
      </c>
      <c r="E942" s="346">
        <v>772591922</v>
      </c>
      <c r="F942" s="719" t="s">
        <v>457</v>
      </c>
      <c r="G942" s="719"/>
      <c r="H942" s="719"/>
      <c r="I942" s="719"/>
      <c r="J942" s="63" t="s">
        <v>63</v>
      </c>
      <c r="K942" s="347">
        <f>K939</f>
        <v>17.009999999999998</v>
      </c>
      <c r="L942" s="726"/>
      <c r="M942" s="726"/>
      <c r="N942" s="720">
        <f>ROUND(L942*K942,2)</f>
        <v>0</v>
      </c>
      <c r="O942" s="720"/>
      <c r="P942" s="720"/>
      <c r="Q942" s="720"/>
      <c r="R942" s="238"/>
      <c r="T942" s="45"/>
    </row>
    <row r="943" spans="2:29" outlineLevel="1">
      <c r="B943" s="237"/>
      <c r="C943" s="345"/>
      <c r="D943" s="345" t="s">
        <v>62</v>
      </c>
      <c r="E943" s="346" t="s">
        <v>458</v>
      </c>
      <c r="F943" s="719" t="s">
        <v>459</v>
      </c>
      <c r="G943" s="719"/>
      <c r="H943" s="719"/>
      <c r="I943" s="719"/>
      <c r="J943" s="63" t="s">
        <v>63</v>
      </c>
      <c r="K943" s="347">
        <f>K940</f>
        <v>17.009999999999998</v>
      </c>
      <c r="L943" s="726"/>
      <c r="M943" s="726"/>
      <c r="N943" s="720">
        <f>ROUND(L943*K943,2)</f>
        <v>0</v>
      </c>
      <c r="O943" s="720"/>
      <c r="P943" s="720"/>
      <c r="Q943" s="720"/>
      <c r="R943" s="238"/>
      <c r="T943" s="45"/>
    </row>
    <row r="944" spans="2:29" outlineLevel="1">
      <c r="B944" s="237"/>
      <c r="C944" s="345"/>
      <c r="D944" s="345" t="s">
        <v>62</v>
      </c>
      <c r="E944" s="346">
        <v>998772202</v>
      </c>
      <c r="F944" s="719" t="s">
        <v>1153</v>
      </c>
      <c r="G944" s="719"/>
      <c r="H944" s="719"/>
      <c r="I944" s="719"/>
      <c r="J944" s="63" t="s">
        <v>70</v>
      </c>
      <c r="K944" s="66">
        <f>SUM(N939:Q943)</f>
        <v>0</v>
      </c>
      <c r="L944" s="759"/>
      <c r="M944" s="759"/>
      <c r="N944" s="720">
        <f>ROUND(L944*K944,2)</f>
        <v>0</v>
      </c>
      <c r="O944" s="720"/>
      <c r="P944" s="720"/>
      <c r="Q944" s="720"/>
      <c r="R944" s="238"/>
      <c r="T944" s="45"/>
    </row>
    <row r="945" spans="2:29" s="341" customFormat="1" ht="12.75">
      <c r="B945" s="340"/>
      <c r="C945" s="344"/>
      <c r="D945" s="344" t="s">
        <v>1154</v>
      </c>
      <c r="E945" s="344"/>
      <c r="F945" s="344"/>
      <c r="G945" s="344"/>
      <c r="H945" s="344"/>
      <c r="I945" s="344"/>
      <c r="J945" s="61"/>
      <c r="K945" s="344"/>
      <c r="L945" s="72"/>
      <c r="M945" s="72"/>
      <c r="N945" s="734">
        <f>SUM(N946:Q958)</f>
        <v>0</v>
      </c>
      <c r="O945" s="734"/>
      <c r="P945" s="734"/>
      <c r="Q945" s="734"/>
      <c r="R945" s="342"/>
      <c r="T945" s="45">
        <f>SUM(N945:Q958)/2</f>
        <v>0</v>
      </c>
      <c r="U945" s="248"/>
      <c r="V945" s="398"/>
      <c r="W945" s="399"/>
      <c r="X945" s="399"/>
    </row>
    <row r="946" spans="2:29" s="358" customFormat="1" ht="11.25" customHeight="1" outlineLevel="1">
      <c r="B946" s="353"/>
      <c r="C946" s="354"/>
      <c r="D946" s="354" t="s">
        <v>62</v>
      </c>
      <c r="E946" s="355">
        <v>773511260</v>
      </c>
      <c r="F946" s="727" t="s">
        <v>1155</v>
      </c>
      <c r="G946" s="727"/>
      <c r="H946" s="727"/>
      <c r="I946" s="727"/>
      <c r="J946" s="215" t="s">
        <v>63</v>
      </c>
      <c r="K946" s="356">
        <f>SUM(K947:K951)</f>
        <v>154.77000000000004</v>
      </c>
      <c r="L946" s="728"/>
      <c r="M946" s="728"/>
      <c r="N946" s="729">
        <f>ROUND(L946*K946,2)</f>
        <v>0</v>
      </c>
      <c r="O946" s="729"/>
      <c r="P946" s="729"/>
      <c r="Q946" s="729"/>
      <c r="R946" s="357"/>
      <c r="T946" s="216"/>
      <c r="U946" s="359"/>
      <c r="V946" s="414"/>
      <c r="W946" s="415"/>
      <c r="X946" s="415"/>
    </row>
    <row r="947" spans="2:29" s="248" customFormat="1" outlineLevel="1">
      <c r="B947" s="247"/>
      <c r="E947" s="349" t="s">
        <v>1068</v>
      </c>
      <c r="F947" s="717" t="s">
        <v>110</v>
      </c>
      <c r="G947" s="718"/>
      <c r="H947" s="718"/>
      <c r="I947" s="718"/>
      <c r="J947" s="64"/>
      <c r="K947" s="350">
        <f>(20+17.25+40.52+27.72+22.76+30.61)</f>
        <v>158.86000000000001</v>
      </c>
      <c r="L947" s="196"/>
      <c r="M947" s="196"/>
      <c r="R947" s="249"/>
      <c r="T947" s="45"/>
      <c r="V947" s="402"/>
      <c r="W947" s="42"/>
      <c r="X947" s="42"/>
    </row>
    <row r="948" spans="2:29" s="248" customFormat="1" ht="11.25" customHeight="1" outlineLevel="1">
      <c r="B948" s="247"/>
      <c r="E948" s="349" t="s">
        <v>1069</v>
      </c>
      <c r="F948" s="717" t="s">
        <v>110</v>
      </c>
      <c r="G948" s="718"/>
      <c r="H948" s="718"/>
      <c r="I948" s="718"/>
      <c r="J948" s="64"/>
      <c r="K948" s="350">
        <f>(27.54+2.07)</f>
        <v>29.61</v>
      </c>
      <c r="L948" s="196"/>
      <c r="M948" s="196"/>
      <c r="R948" s="249"/>
      <c r="T948" s="45"/>
      <c r="V948" s="402"/>
      <c r="W948" s="42"/>
      <c r="X948" s="42"/>
    </row>
    <row r="949" spans="2:29" s="248" customFormat="1" ht="11.25" customHeight="1" outlineLevel="1">
      <c r="B949" s="247"/>
      <c r="E949" s="349" t="s">
        <v>1071</v>
      </c>
      <c r="F949" s="717" t="s">
        <v>110</v>
      </c>
      <c r="G949" s="718"/>
      <c r="H949" s="718"/>
      <c r="I949" s="718"/>
      <c r="J949" s="64"/>
      <c r="K949" s="350">
        <f>2*1.33</f>
        <v>2.66</v>
      </c>
      <c r="L949" s="196"/>
      <c r="M949" s="196"/>
      <c r="R949" s="249"/>
      <c r="T949" s="45"/>
      <c r="V949" s="402"/>
      <c r="W949" s="42"/>
      <c r="X949" s="42"/>
    </row>
    <row r="950" spans="2:29" s="248" customFormat="1" ht="11.25" customHeight="1" outlineLevel="1">
      <c r="B950" s="247"/>
      <c r="E950" s="349" t="s">
        <v>913</v>
      </c>
      <c r="F950" s="717" t="s">
        <v>110</v>
      </c>
      <c r="G950" s="718"/>
      <c r="H950" s="718"/>
      <c r="I950" s="718"/>
      <c r="J950" s="64"/>
      <c r="K950" s="350">
        <f>14.25</f>
        <v>14.25</v>
      </c>
      <c r="L950" s="196"/>
      <c r="M950" s="196"/>
      <c r="R950" s="249"/>
      <c r="T950" s="45"/>
      <c r="V950" s="402"/>
      <c r="W950" s="42"/>
      <c r="X950" s="42"/>
    </row>
    <row r="951" spans="2:29" s="333" customFormat="1" outlineLevel="1">
      <c r="B951" s="362"/>
      <c r="E951" s="363" t="s">
        <v>2520</v>
      </c>
      <c r="F951" s="715" t="s">
        <v>2456</v>
      </c>
      <c r="G951" s="716">
        <f>(1.4+1.5)*2*(0.25*0.6)*12+0.35*0.45*2.3</f>
        <v>10.802249999999999</v>
      </c>
      <c r="H951" s="716">
        <f>(1.4+1.5)*2*(0.25*0.6)*12+0.35*0.45*2.3</f>
        <v>10.802249999999999</v>
      </c>
      <c r="I951" s="716">
        <f>(1.4+1.5)*2*(0.25*0.6)*12+0.35*0.45*2.3</f>
        <v>10.802249999999999</v>
      </c>
      <c r="J951" s="209">
        <v>-1</v>
      </c>
      <c r="K951" s="364">
        <f>K264*J951</f>
        <v>-50.61</v>
      </c>
      <c r="L951" s="210"/>
      <c r="M951" s="210"/>
      <c r="R951" s="365"/>
      <c r="T951" s="211"/>
      <c r="V951" s="217"/>
      <c r="W951" s="217"/>
      <c r="X951" s="217"/>
      <c r="AC951" s="366"/>
    </row>
    <row r="952" spans="2:29" s="358" customFormat="1" ht="27" customHeight="1" outlineLevel="1">
      <c r="B952" s="353"/>
      <c r="C952" s="354"/>
      <c r="D952" s="354" t="s">
        <v>62</v>
      </c>
      <c r="E952" s="355">
        <v>773413200</v>
      </c>
      <c r="F952" s="727" t="s">
        <v>1156</v>
      </c>
      <c r="G952" s="727"/>
      <c r="H952" s="727"/>
      <c r="I952" s="727"/>
      <c r="J952" s="215" t="s">
        <v>68</v>
      </c>
      <c r="K952" s="356">
        <f>SUM(K953:K954)</f>
        <v>135.9</v>
      </c>
      <c r="L952" s="728"/>
      <c r="M952" s="728"/>
      <c r="N952" s="729">
        <f>ROUND(L952*K952,2)</f>
        <v>0</v>
      </c>
      <c r="O952" s="729"/>
      <c r="P952" s="729"/>
      <c r="Q952" s="729"/>
      <c r="R952" s="357"/>
      <c r="T952" s="216"/>
      <c r="U952" s="359"/>
      <c r="V952" s="414"/>
      <c r="W952" s="415"/>
      <c r="X952" s="415"/>
    </row>
    <row r="953" spans="2:29" s="248" customFormat="1" outlineLevel="1">
      <c r="B953" s="247"/>
      <c r="E953" s="349" t="s">
        <v>2474</v>
      </c>
      <c r="F953" s="717" t="s">
        <v>2475</v>
      </c>
      <c r="G953" s="718"/>
      <c r="H953" s="718"/>
      <c r="I953" s="718"/>
      <c r="J953" s="64"/>
      <c r="K953" s="350">
        <f>(3.2+6+13.8+3.5+5.8*2+3.7+4.7+6.6+6.1+5.5+5.6+5.1+7.3+1.1)*2+7.4+1.5</f>
        <v>176.5</v>
      </c>
      <c r="L953" s="196"/>
      <c r="M953" s="196"/>
      <c r="R953" s="249"/>
      <c r="T953" s="45"/>
      <c r="V953" s="402"/>
      <c r="W953" s="42"/>
      <c r="X953" s="42"/>
    </row>
    <row r="954" spans="2:29" s="333" customFormat="1" outlineLevel="1">
      <c r="B954" s="362"/>
      <c r="E954" s="363" t="s">
        <v>2520</v>
      </c>
      <c r="F954" s="715" t="s">
        <v>2456</v>
      </c>
      <c r="G954" s="716">
        <f>(1.4+1.5)*2*(0.25*0.6)*12+0.35*0.45*2.3</f>
        <v>10.802249999999999</v>
      </c>
      <c r="H954" s="716">
        <f>(1.4+1.5)*2*(0.25*0.6)*12+0.35*0.45*2.3</f>
        <v>10.802249999999999</v>
      </c>
      <c r="I954" s="716">
        <f>(1.4+1.5)*2*(0.25*0.6)*12+0.35*0.45*2.3</f>
        <v>10.802249999999999</v>
      </c>
      <c r="J954" s="209">
        <v>-1</v>
      </c>
      <c r="K954" s="364">
        <f>K266*J954</f>
        <v>-40.6</v>
      </c>
      <c r="L954" s="210"/>
      <c r="M954" s="210"/>
      <c r="R954" s="365"/>
      <c r="T954" s="211"/>
      <c r="V954" s="217"/>
      <c r="W954" s="217"/>
      <c r="X954" s="217"/>
      <c r="AC954" s="366"/>
    </row>
    <row r="955" spans="2:29" outlineLevel="1">
      <c r="B955" s="237"/>
      <c r="C955" s="345"/>
      <c r="D955" s="345" t="s">
        <v>62</v>
      </c>
      <c r="E955" s="346" t="s">
        <v>1958</v>
      </c>
      <c r="F955" s="719" t="s">
        <v>1959</v>
      </c>
      <c r="G955" s="719"/>
      <c r="H955" s="719"/>
      <c r="I955" s="719"/>
      <c r="J955" s="63" t="s">
        <v>63</v>
      </c>
      <c r="K955" s="347">
        <f>SUM(K956:K957)</f>
        <v>175.15500000000003</v>
      </c>
      <c r="L955" s="726"/>
      <c r="M955" s="726"/>
      <c r="N955" s="720">
        <f>ROUND(L955*K955,2)</f>
        <v>0</v>
      </c>
      <c r="O955" s="720"/>
      <c r="P955" s="720"/>
      <c r="Q955" s="720"/>
      <c r="R955" s="238"/>
      <c r="T955" s="45"/>
    </row>
    <row r="956" spans="2:29" s="248" customFormat="1" outlineLevel="1">
      <c r="B956" s="247"/>
      <c r="E956" s="349" t="s">
        <v>756</v>
      </c>
      <c r="F956" s="717" t="s">
        <v>158</v>
      </c>
      <c r="G956" s="718"/>
      <c r="H956" s="718"/>
      <c r="I956" s="718"/>
      <c r="J956" s="64"/>
      <c r="K956" s="350">
        <f>K946</f>
        <v>154.77000000000004</v>
      </c>
      <c r="L956" s="196"/>
      <c r="M956" s="196"/>
      <c r="R956" s="249"/>
      <c r="T956" s="45"/>
      <c r="V956" s="402"/>
      <c r="W956" s="42"/>
      <c r="X956" s="42"/>
    </row>
    <row r="957" spans="2:29" s="248" customFormat="1" ht="11.25" customHeight="1" outlineLevel="1">
      <c r="B957" s="247"/>
      <c r="E957" s="349" t="s">
        <v>1148</v>
      </c>
      <c r="F957" s="717" t="s">
        <v>158</v>
      </c>
      <c r="G957" s="718"/>
      <c r="H957" s="718"/>
      <c r="I957" s="718"/>
      <c r="J957" s="64">
        <v>0.15</v>
      </c>
      <c r="K957" s="350">
        <f>K952*J957</f>
        <v>20.385000000000002</v>
      </c>
      <c r="L957" s="196"/>
      <c r="M957" s="196"/>
      <c r="R957" s="249"/>
      <c r="T957" s="45"/>
      <c r="V957" s="402"/>
      <c r="W957" s="42"/>
      <c r="X957" s="42"/>
    </row>
    <row r="958" spans="2:29" outlineLevel="1">
      <c r="B958" s="237"/>
      <c r="C958" s="345"/>
      <c r="D958" s="345" t="s">
        <v>62</v>
      </c>
      <c r="E958" s="346">
        <v>998773202</v>
      </c>
      <c r="F958" s="719" t="s">
        <v>1157</v>
      </c>
      <c r="G958" s="719"/>
      <c r="H958" s="719"/>
      <c r="I958" s="719"/>
      <c r="J958" s="63" t="s">
        <v>70</v>
      </c>
      <c r="K958" s="66">
        <f>SUM(N946:Q955)</f>
        <v>0</v>
      </c>
      <c r="L958" s="759"/>
      <c r="M958" s="759"/>
      <c r="N958" s="720">
        <f>ROUND(L958*K958,2)</f>
        <v>0</v>
      </c>
      <c r="O958" s="720"/>
      <c r="P958" s="720"/>
      <c r="Q958" s="720"/>
      <c r="R958" s="238"/>
      <c r="T958" s="45"/>
    </row>
    <row r="959" spans="2:29" s="341" customFormat="1" ht="12.75">
      <c r="B959" s="340"/>
      <c r="C959" s="344"/>
      <c r="D959" s="344" t="s">
        <v>53</v>
      </c>
      <c r="E959" s="344"/>
      <c r="F959" s="344"/>
      <c r="G959" s="344"/>
      <c r="H959" s="344"/>
      <c r="I959" s="344"/>
      <c r="J959" s="61"/>
      <c r="K959" s="344"/>
      <c r="L959" s="72"/>
      <c r="M959" s="72"/>
      <c r="N959" s="734">
        <f>SUM(N960:Q978)</f>
        <v>0</v>
      </c>
      <c r="O959" s="734"/>
      <c r="P959" s="734"/>
      <c r="Q959" s="734"/>
      <c r="R959" s="342"/>
      <c r="T959" s="45">
        <f>SUM(N959:Q978)/2</f>
        <v>0</v>
      </c>
      <c r="U959" s="248"/>
      <c r="V959" s="398"/>
      <c r="W959" s="399"/>
      <c r="X959" s="399"/>
    </row>
    <row r="960" spans="2:29" s="358" customFormat="1" outlineLevel="1">
      <c r="B960" s="353"/>
      <c r="C960" s="354"/>
      <c r="D960" s="354" t="s">
        <v>62</v>
      </c>
      <c r="E960" s="355">
        <v>775413115</v>
      </c>
      <c r="F960" s="727" t="s">
        <v>1160</v>
      </c>
      <c r="G960" s="727"/>
      <c r="H960" s="727"/>
      <c r="I960" s="727"/>
      <c r="J960" s="215" t="s">
        <v>68</v>
      </c>
      <c r="K960" s="356">
        <f>SUM(K961:K962)</f>
        <v>146.4</v>
      </c>
      <c r="L960" s="728"/>
      <c r="M960" s="728"/>
      <c r="N960" s="729">
        <f>ROUND(L960*K960,2)</f>
        <v>0</v>
      </c>
      <c r="O960" s="729"/>
      <c r="P960" s="729"/>
      <c r="Q960" s="729"/>
      <c r="R960" s="357"/>
      <c r="T960" s="216"/>
      <c r="U960" s="359"/>
      <c r="V960" s="414"/>
      <c r="W960" s="415"/>
      <c r="X960" s="415"/>
    </row>
    <row r="961" spans="2:29" s="248" customFormat="1" outlineLevel="1">
      <c r="B961" s="247"/>
      <c r="E961" s="349" t="s">
        <v>1161</v>
      </c>
      <c r="F961" s="717" t="s">
        <v>110</v>
      </c>
      <c r="G961" s="718"/>
      <c r="H961" s="718"/>
      <c r="I961" s="718"/>
      <c r="J961" s="64"/>
      <c r="K961" s="350">
        <f>(5.7+5.9+3.5+5.7+6.3+6.9+5.2+9.6+5.6+5.1+5.8+3+3.8+4.9+16.9+8.5+3.1+1.7)*2</f>
        <v>214.4</v>
      </c>
      <c r="L961" s="196"/>
      <c r="M961" s="196"/>
      <c r="R961" s="249"/>
      <c r="T961" s="45"/>
      <c r="V961" s="402"/>
      <c r="W961" s="42"/>
      <c r="X961" s="42"/>
    </row>
    <row r="962" spans="2:29" s="333" customFormat="1" outlineLevel="1">
      <c r="B962" s="362"/>
      <c r="E962" s="363" t="s">
        <v>2520</v>
      </c>
      <c r="F962" s="715" t="s">
        <v>2456</v>
      </c>
      <c r="G962" s="716">
        <f>(1.4+1.5)*2*(0.25*0.6)*12+0.35*0.45*2.3</f>
        <v>10.802249999999999</v>
      </c>
      <c r="H962" s="716">
        <f>(1.4+1.5)*2*(0.25*0.6)*12+0.35*0.45*2.3</f>
        <v>10.802249999999999</v>
      </c>
      <c r="I962" s="716">
        <f>(1.4+1.5)*2*(0.25*0.6)*12+0.35*0.45*2.3</f>
        <v>10.802249999999999</v>
      </c>
      <c r="J962" s="209">
        <v>-1</v>
      </c>
      <c r="K962" s="364">
        <f>K272*J962</f>
        <v>-68</v>
      </c>
      <c r="L962" s="210"/>
      <c r="M962" s="210"/>
      <c r="R962" s="365"/>
      <c r="T962" s="211"/>
      <c r="V962" s="217"/>
      <c r="W962" s="217"/>
      <c r="X962" s="217"/>
      <c r="AC962" s="366"/>
    </row>
    <row r="963" spans="2:29" ht="13.5" customHeight="1" outlineLevel="1">
      <c r="B963" s="237"/>
      <c r="C963" s="383"/>
      <c r="D963" s="383" t="s">
        <v>65</v>
      </c>
      <c r="E963" s="384">
        <v>61418155</v>
      </c>
      <c r="F963" s="751" t="s">
        <v>1162</v>
      </c>
      <c r="G963" s="751"/>
      <c r="H963" s="751"/>
      <c r="I963" s="751"/>
      <c r="J963" s="65" t="s">
        <v>68</v>
      </c>
      <c r="K963" s="385">
        <f>K960*1.1</f>
        <v>161.04000000000002</v>
      </c>
      <c r="L963" s="726"/>
      <c r="M963" s="726"/>
      <c r="N963" s="752">
        <f>ROUND(L963*K963,2)</f>
        <v>0</v>
      </c>
      <c r="O963" s="720"/>
      <c r="P963" s="720"/>
      <c r="Q963" s="720"/>
      <c r="R963" s="238"/>
      <c r="T963" s="45"/>
    </row>
    <row r="964" spans="2:29" s="358" customFormat="1" outlineLevel="1">
      <c r="B964" s="353"/>
      <c r="C964" s="354"/>
      <c r="D964" s="354" t="s">
        <v>62</v>
      </c>
      <c r="E964" s="355">
        <v>762526110</v>
      </c>
      <c r="F964" s="770" t="s">
        <v>1962</v>
      </c>
      <c r="G964" s="771"/>
      <c r="H964" s="771"/>
      <c r="I964" s="772"/>
      <c r="J964" s="215" t="s">
        <v>63</v>
      </c>
      <c r="K964" s="356">
        <f>SUM(K965:K967)</f>
        <v>260.73</v>
      </c>
      <c r="L964" s="728"/>
      <c r="M964" s="728"/>
      <c r="N964" s="773">
        <f>ROUND(L964*K964,2)</f>
        <v>0</v>
      </c>
      <c r="O964" s="774"/>
      <c r="P964" s="774"/>
      <c r="Q964" s="775"/>
      <c r="R964" s="357"/>
      <c r="T964" s="216"/>
      <c r="U964" s="359"/>
      <c r="V964" s="414"/>
      <c r="W964" s="415"/>
      <c r="X964" s="415"/>
    </row>
    <row r="965" spans="2:29" s="248" customFormat="1" ht="11.25" customHeight="1" outlineLevel="1">
      <c r="B965" s="247"/>
      <c r="E965" s="349" t="s">
        <v>1164</v>
      </c>
      <c r="F965" s="717" t="s">
        <v>110</v>
      </c>
      <c r="G965" s="718"/>
      <c r="H965" s="718"/>
      <c r="I965" s="718"/>
      <c r="J965" s="64"/>
      <c r="K965" s="350">
        <f>34+24.54+43.31+50.38+19.5+17.17+27.26</f>
        <v>216.15999999999997</v>
      </c>
      <c r="L965" s="196"/>
      <c r="M965" s="196"/>
      <c r="R965" s="249"/>
      <c r="T965" s="45"/>
      <c r="V965" s="402"/>
      <c r="W965" s="42"/>
      <c r="X965" s="42"/>
    </row>
    <row r="966" spans="2:29" s="248" customFormat="1" ht="11.25" customHeight="1" outlineLevel="1">
      <c r="B966" s="247"/>
      <c r="E966" s="349" t="s">
        <v>1097</v>
      </c>
      <c r="F966" s="717" t="s">
        <v>110</v>
      </c>
      <c r="G966" s="718"/>
      <c r="H966" s="718"/>
      <c r="I966" s="718"/>
      <c r="J966" s="64"/>
      <c r="K966" s="350">
        <f>143.12+3.3</f>
        <v>146.42000000000002</v>
      </c>
      <c r="L966" s="196"/>
      <c r="M966" s="196"/>
      <c r="R966" s="249"/>
      <c r="T966" s="45"/>
      <c r="V966" s="402"/>
      <c r="W966" s="42"/>
      <c r="X966" s="42"/>
    </row>
    <row r="967" spans="2:29" s="333" customFormat="1" outlineLevel="1">
      <c r="B967" s="362"/>
      <c r="E967" s="363" t="s">
        <v>2520</v>
      </c>
      <c r="F967" s="715" t="s">
        <v>2456</v>
      </c>
      <c r="G967" s="716">
        <f>(1.4+1.5)*2*(0.25*0.6)*12+0.35*0.45*2.3</f>
        <v>10.802249999999999</v>
      </c>
      <c r="H967" s="716">
        <f>(1.4+1.5)*2*(0.25*0.6)*12+0.35*0.45*2.3</f>
        <v>10.802249999999999</v>
      </c>
      <c r="I967" s="716">
        <f>(1.4+1.5)*2*(0.25*0.6)*12+0.35*0.45*2.3</f>
        <v>10.802249999999999</v>
      </c>
      <c r="J967" s="209">
        <v>-1</v>
      </c>
      <c r="K967" s="364">
        <f>K275*J967</f>
        <v>-101.85</v>
      </c>
      <c r="L967" s="210"/>
      <c r="M967" s="210"/>
      <c r="R967" s="365"/>
      <c r="T967" s="211"/>
      <c r="V967" s="217"/>
      <c r="W967" s="217"/>
      <c r="X967" s="217"/>
      <c r="AC967" s="366"/>
    </row>
    <row r="968" spans="2:29" outlineLevel="1">
      <c r="B968" s="237"/>
      <c r="C968" s="383"/>
      <c r="D968" s="383" t="s">
        <v>65</v>
      </c>
      <c r="E968" s="384">
        <v>60515111</v>
      </c>
      <c r="F968" s="751" t="s">
        <v>1963</v>
      </c>
      <c r="G968" s="751"/>
      <c r="H968" s="751"/>
      <c r="I968" s="751"/>
      <c r="J968" s="65" t="s">
        <v>64</v>
      </c>
      <c r="K968" s="385">
        <f>K964/0.55*0.1*0.025</f>
        <v>1.1851363636363637</v>
      </c>
      <c r="L968" s="726"/>
      <c r="M968" s="726"/>
      <c r="N968" s="752">
        <f>ROUND(L968*K968,2)</f>
        <v>0</v>
      </c>
      <c r="O968" s="720"/>
      <c r="P968" s="720"/>
      <c r="Q968" s="720"/>
      <c r="R968" s="238"/>
      <c r="T968" s="45"/>
    </row>
    <row r="969" spans="2:29" outlineLevel="1">
      <c r="B969" s="237"/>
      <c r="C969" s="345"/>
      <c r="D969" s="345" t="s">
        <v>62</v>
      </c>
      <c r="E969" s="346">
        <v>762524104</v>
      </c>
      <c r="F969" s="760" t="s">
        <v>1964</v>
      </c>
      <c r="G969" s="761"/>
      <c r="H969" s="761"/>
      <c r="I969" s="762"/>
      <c r="J969" s="63" t="s">
        <v>63</v>
      </c>
      <c r="K969" s="347">
        <f>K964</f>
        <v>260.73</v>
      </c>
      <c r="L969" s="726"/>
      <c r="M969" s="726"/>
      <c r="N969" s="763">
        <f>ROUND(L969*K969,2)</f>
        <v>0</v>
      </c>
      <c r="O969" s="764"/>
      <c r="P969" s="764"/>
      <c r="Q969" s="765"/>
      <c r="R969" s="238"/>
      <c r="T969" s="45"/>
    </row>
    <row r="970" spans="2:29" s="358" customFormat="1" ht="13.5" customHeight="1" outlineLevel="1">
      <c r="B970" s="353"/>
      <c r="C970" s="386"/>
      <c r="D970" s="386" t="s">
        <v>65</v>
      </c>
      <c r="E970" s="387">
        <v>61189990</v>
      </c>
      <c r="F970" s="750" t="s">
        <v>1163</v>
      </c>
      <c r="G970" s="750"/>
      <c r="H970" s="750"/>
      <c r="I970" s="750"/>
      <c r="J970" s="219" t="s">
        <v>63</v>
      </c>
      <c r="K970" s="388">
        <f>SUM(K971:K973)</f>
        <v>211.35840000000002</v>
      </c>
      <c r="L970" s="728"/>
      <c r="M970" s="728"/>
      <c r="N970" s="758">
        <f>ROUND(L970*K970,2)</f>
        <v>0</v>
      </c>
      <c r="O970" s="729"/>
      <c r="P970" s="729"/>
      <c r="Q970" s="729"/>
      <c r="R970" s="357"/>
      <c r="T970" s="216"/>
      <c r="U970" s="359"/>
      <c r="V970" s="414"/>
      <c r="W970" s="415"/>
      <c r="X970" s="415"/>
    </row>
    <row r="971" spans="2:29" s="248" customFormat="1" ht="11.25" customHeight="1" outlineLevel="1">
      <c r="B971" s="247"/>
      <c r="E971" s="349" t="s">
        <v>1164</v>
      </c>
      <c r="F971" s="717" t="s">
        <v>110</v>
      </c>
      <c r="G971" s="718"/>
      <c r="H971" s="718"/>
      <c r="I971" s="718"/>
      <c r="J971" s="141">
        <v>0.4</v>
      </c>
      <c r="K971" s="350">
        <f>(34+24.54+43.31+50.38+19.5+17.17+27.26)*J971*1.1</f>
        <v>95.110400000000013</v>
      </c>
      <c r="L971" s="196"/>
      <c r="M971" s="196"/>
      <c r="R971" s="249"/>
      <c r="T971" s="45"/>
      <c r="V971" s="402"/>
      <c r="W971" s="42"/>
      <c r="X971" s="42"/>
    </row>
    <row r="972" spans="2:29" s="248" customFormat="1" ht="11.25" customHeight="1" outlineLevel="1">
      <c r="B972" s="247"/>
      <c r="E972" s="349" t="s">
        <v>1097</v>
      </c>
      <c r="F972" s="717" t="s">
        <v>110</v>
      </c>
      <c r="G972" s="718"/>
      <c r="H972" s="718"/>
      <c r="I972" s="718"/>
      <c r="J972" s="64">
        <v>1.1000000000000001</v>
      </c>
      <c r="K972" s="350">
        <f>(143.12+3.3)*J972</f>
        <v>161.06200000000004</v>
      </c>
      <c r="L972" s="196"/>
      <c r="M972" s="196"/>
      <c r="R972" s="249"/>
      <c r="T972" s="45"/>
      <c r="V972" s="402"/>
      <c r="W972" s="42"/>
      <c r="X972" s="42"/>
    </row>
    <row r="973" spans="2:29" s="333" customFormat="1" outlineLevel="1">
      <c r="B973" s="362"/>
      <c r="E973" s="363" t="s">
        <v>2520</v>
      </c>
      <c r="F973" s="715" t="s">
        <v>2456</v>
      </c>
      <c r="G973" s="716">
        <f>(1.4+1.5)*2*(0.25*0.6)*12+0.35*0.45*2.3</f>
        <v>10.802249999999999</v>
      </c>
      <c r="H973" s="716">
        <f>(1.4+1.5)*2*(0.25*0.6)*12+0.35*0.45*2.3</f>
        <v>10.802249999999999</v>
      </c>
      <c r="I973" s="716">
        <f>(1.4+1.5)*2*(0.25*0.6)*12+0.35*0.45*2.3</f>
        <v>10.802249999999999</v>
      </c>
      <c r="J973" s="209">
        <v>-1</v>
      </c>
      <c r="K973" s="364">
        <f>K279*J973</f>
        <v>-44.814000000000007</v>
      </c>
      <c r="L973" s="210"/>
      <c r="M973" s="210"/>
      <c r="R973" s="365"/>
      <c r="T973" s="211"/>
      <c r="V973" s="217"/>
      <c r="W973" s="217"/>
      <c r="X973" s="217"/>
      <c r="AC973" s="366"/>
    </row>
    <row r="974" spans="2:29" outlineLevel="1">
      <c r="B974" s="237"/>
      <c r="C974" s="345"/>
      <c r="D974" s="345" t="s">
        <v>62</v>
      </c>
      <c r="E974" s="346">
        <v>775591311</v>
      </c>
      <c r="F974" s="719" t="s">
        <v>1165</v>
      </c>
      <c r="G974" s="719"/>
      <c r="H974" s="719"/>
      <c r="I974" s="719"/>
      <c r="J974" s="63" t="s">
        <v>63</v>
      </c>
      <c r="K974" s="347">
        <f>K969</f>
        <v>260.73</v>
      </c>
      <c r="L974" s="726"/>
      <c r="M974" s="726"/>
      <c r="N974" s="720">
        <f>ROUND(L974*K974,2)</f>
        <v>0</v>
      </c>
      <c r="O974" s="720"/>
      <c r="P974" s="720"/>
      <c r="Q974" s="720"/>
      <c r="R974" s="238"/>
      <c r="T974" s="45"/>
    </row>
    <row r="975" spans="2:29" outlineLevel="1">
      <c r="B975" s="237"/>
      <c r="C975" s="345"/>
      <c r="D975" s="345" t="s">
        <v>62</v>
      </c>
      <c r="E975" s="346">
        <v>775591314</v>
      </c>
      <c r="F975" s="719" t="s">
        <v>1166</v>
      </c>
      <c r="G975" s="719"/>
      <c r="H975" s="719"/>
      <c r="I975" s="719"/>
      <c r="J975" s="63" t="s">
        <v>63</v>
      </c>
      <c r="K975" s="347">
        <f>K974</f>
        <v>260.73</v>
      </c>
      <c r="L975" s="726"/>
      <c r="M975" s="726"/>
      <c r="N975" s="720">
        <f>ROUND(L975*K975,2)</f>
        <v>0</v>
      </c>
      <c r="O975" s="720"/>
      <c r="P975" s="720"/>
      <c r="Q975" s="720"/>
      <c r="R975" s="238"/>
      <c r="T975" s="45"/>
    </row>
    <row r="976" spans="2:29" outlineLevel="1">
      <c r="B976" s="237"/>
      <c r="C976" s="345"/>
      <c r="D976" s="345" t="s">
        <v>62</v>
      </c>
      <c r="E976" s="346" t="s">
        <v>1167</v>
      </c>
      <c r="F976" s="719" t="s">
        <v>1168</v>
      </c>
      <c r="G976" s="719"/>
      <c r="H976" s="719"/>
      <c r="I976" s="719"/>
      <c r="J976" s="63" t="s">
        <v>63</v>
      </c>
      <c r="K976" s="347">
        <f>K975</f>
        <v>260.73</v>
      </c>
      <c r="L976" s="726"/>
      <c r="M976" s="726"/>
      <c r="N976" s="720">
        <f>ROUND(L976*K976,2)</f>
        <v>0</v>
      </c>
      <c r="O976" s="720"/>
      <c r="P976" s="720"/>
      <c r="Q976" s="720"/>
      <c r="R976" s="238"/>
      <c r="T976" s="45"/>
    </row>
    <row r="977" spans="2:24" outlineLevel="1">
      <c r="B977" s="237"/>
      <c r="C977" s="345"/>
      <c r="D977" s="345" t="s">
        <v>62</v>
      </c>
      <c r="E977" s="346">
        <v>776991141</v>
      </c>
      <c r="F977" s="719" t="s">
        <v>448</v>
      </c>
      <c r="G977" s="719"/>
      <c r="H977" s="719"/>
      <c r="I977" s="719"/>
      <c r="J977" s="63" t="s">
        <v>63</v>
      </c>
      <c r="K977" s="347">
        <f>K976</f>
        <v>260.73</v>
      </c>
      <c r="L977" s="726"/>
      <c r="M977" s="726"/>
      <c r="N977" s="720">
        <f>ROUND(L977*K977,2)</f>
        <v>0</v>
      </c>
      <c r="O977" s="720"/>
      <c r="P977" s="720"/>
      <c r="Q977" s="720"/>
      <c r="R977" s="238"/>
      <c r="T977" s="45"/>
    </row>
    <row r="978" spans="2:24" outlineLevel="1">
      <c r="B978" s="237"/>
      <c r="C978" s="345"/>
      <c r="D978" s="345" t="s">
        <v>62</v>
      </c>
      <c r="E978" s="346">
        <v>998775202</v>
      </c>
      <c r="F978" s="719" t="s">
        <v>1152</v>
      </c>
      <c r="G978" s="719"/>
      <c r="H978" s="719"/>
      <c r="I978" s="719"/>
      <c r="J978" s="63" t="s">
        <v>70</v>
      </c>
      <c r="K978" s="66">
        <f>SUM(N960:Q977)</f>
        <v>0</v>
      </c>
      <c r="L978" s="759"/>
      <c r="M978" s="759"/>
      <c r="N978" s="720">
        <f>ROUND(L978*K978,2)</f>
        <v>0</v>
      </c>
      <c r="O978" s="720"/>
      <c r="P978" s="720"/>
      <c r="Q978" s="720"/>
      <c r="R978" s="238"/>
      <c r="T978" s="45"/>
    </row>
    <row r="979" spans="2:24" s="341" customFormat="1" ht="12.75">
      <c r="B979" s="340"/>
      <c r="C979" s="344"/>
      <c r="D979" s="344" t="s">
        <v>449</v>
      </c>
      <c r="E979" s="344"/>
      <c r="F979" s="344"/>
      <c r="G979" s="344"/>
      <c r="H979" s="344"/>
      <c r="I979" s="344"/>
      <c r="J979" s="61"/>
      <c r="K979" s="344"/>
      <c r="L979" s="72"/>
      <c r="M979" s="72"/>
      <c r="N979" s="734">
        <f>SUM(N980:Q989)</f>
        <v>0</v>
      </c>
      <c r="O979" s="734"/>
      <c r="P979" s="734"/>
      <c r="Q979" s="734"/>
      <c r="R979" s="342"/>
      <c r="T979" s="45">
        <f>SUM(N979:Q989)/2</f>
        <v>0</v>
      </c>
      <c r="U979" s="248"/>
      <c r="V979" s="398"/>
      <c r="W979" s="399"/>
      <c r="X979" s="399"/>
    </row>
    <row r="980" spans="2:24" ht="11.25" customHeight="1" outlineLevel="1">
      <c r="B980" s="237"/>
      <c r="C980" s="345"/>
      <c r="D980" s="345" t="s">
        <v>62</v>
      </c>
      <c r="E980" s="346" t="s">
        <v>1169</v>
      </c>
      <c r="F980" s="719" t="s">
        <v>1170</v>
      </c>
      <c r="G980" s="719"/>
      <c r="H980" s="719"/>
      <c r="I980" s="719"/>
      <c r="J980" s="63" t="s">
        <v>63</v>
      </c>
      <c r="K980" s="347">
        <f>SUM(K981:K982)</f>
        <v>51.35</v>
      </c>
      <c r="L980" s="726"/>
      <c r="M980" s="726"/>
      <c r="N980" s="720">
        <f>ROUND(L980*K980,2)</f>
        <v>0</v>
      </c>
      <c r="O980" s="720"/>
      <c r="P980" s="720"/>
      <c r="Q980" s="720"/>
      <c r="R980" s="238"/>
      <c r="T980" s="45"/>
    </row>
    <row r="981" spans="2:24" s="248" customFormat="1" ht="11.25" customHeight="1" outlineLevel="1">
      <c r="B981" s="247"/>
      <c r="E981" s="349" t="s">
        <v>2018</v>
      </c>
      <c r="F981" s="717" t="s">
        <v>110</v>
      </c>
      <c r="G981" s="718"/>
      <c r="H981" s="718"/>
      <c r="I981" s="718"/>
      <c r="J981" s="64"/>
      <c r="K981" s="350">
        <f>(5.77+2.26+1.87)</f>
        <v>9.8999999999999986</v>
      </c>
      <c r="L981" s="196"/>
      <c r="M981" s="196"/>
      <c r="R981" s="249"/>
      <c r="T981" s="45"/>
      <c r="V981" s="402"/>
      <c r="W981" s="42"/>
      <c r="X981" s="42"/>
    </row>
    <row r="982" spans="2:24" s="248" customFormat="1" ht="11.25" customHeight="1" outlineLevel="1">
      <c r="B982" s="247"/>
      <c r="E982" s="349" t="s">
        <v>1099</v>
      </c>
      <c r="F982" s="717" t="s">
        <v>110</v>
      </c>
      <c r="G982" s="718"/>
      <c r="H982" s="718"/>
      <c r="I982" s="718"/>
      <c r="J982" s="64"/>
      <c r="K982" s="350">
        <f>16.84+14.96+9.65</f>
        <v>41.45</v>
      </c>
      <c r="L982" s="196"/>
      <c r="M982" s="196"/>
      <c r="R982" s="249"/>
      <c r="T982" s="45"/>
      <c r="V982" s="402"/>
      <c r="W982" s="42"/>
      <c r="X982" s="42"/>
    </row>
    <row r="983" spans="2:24" outlineLevel="1">
      <c r="B983" s="237"/>
      <c r="C983" s="345"/>
      <c r="D983" s="345" t="s">
        <v>62</v>
      </c>
      <c r="E983" s="346">
        <v>777111111</v>
      </c>
      <c r="F983" s="719" t="s">
        <v>1171</v>
      </c>
      <c r="G983" s="719"/>
      <c r="H983" s="719"/>
      <c r="I983" s="719"/>
      <c r="J983" s="63" t="s">
        <v>63</v>
      </c>
      <c r="K983" s="347">
        <f>K980</f>
        <v>51.35</v>
      </c>
      <c r="L983" s="726"/>
      <c r="M983" s="726"/>
      <c r="N983" s="720">
        <f>ROUND(L983*K983,2)</f>
        <v>0</v>
      </c>
      <c r="O983" s="720"/>
      <c r="P983" s="720"/>
      <c r="Q983" s="720"/>
      <c r="R983" s="238"/>
      <c r="T983" s="45"/>
    </row>
    <row r="984" spans="2:24" outlineLevel="1">
      <c r="B984" s="237"/>
      <c r="C984" s="345"/>
      <c r="D984" s="345" t="s">
        <v>62</v>
      </c>
      <c r="E984" s="346">
        <v>777131103</v>
      </c>
      <c r="F984" s="719" t="s">
        <v>1172</v>
      </c>
      <c r="G984" s="719"/>
      <c r="H984" s="719"/>
      <c r="I984" s="719"/>
      <c r="J984" s="63" t="s">
        <v>63</v>
      </c>
      <c r="K984" s="347">
        <f>K983</f>
        <v>51.35</v>
      </c>
      <c r="L984" s="726"/>
      <c r="M984" s="726"/>
      <c r="N984" s="720">
        <f>ROUND(L984*K984,2)</f>
        <v>0</v>
      </c>
      <c r="O984" s="720"/>
      <c r="P984" s="720"/>
      <c r="Q984" s="720"/>
      <c r="R984" s="238"/>
      <c r="T984" s="45"/>
    </row>
    <row r="985" spans="2:24" outlineLevel="1">
      <c r="B985" s="237"/>
      <c r="C985" s="345"/>
      <c r="D985" s="345" t="s">
        <v>62</v>
      </c>
      <c r="E985" s="346">
        <v>777611121</v>
      </c>
      <c r="F985" s="719" t="s">
        <v>450</v>
      </c>
      <c r="G985" s="719"/>
      <c r="H985" s="719"/>
      <c r="I985" s="719"/>
      <c r="J985" s="63" t="s">
        <v>63</v>
      </c>
      <c r="K985" s="347">
        <f>K984</f>
        <v>51.35</v>
      </c>
      <c r="L985" s="726"/>
      <c r="M985" s="726"/>
      <c r="N985" s="720">
        <f>ROUND(L985*K985,2)</f>
        <v>0</v>
      </c>
      <c r="O985" s="720"/>
      <c r="P985" s="720"/>
      <c r="Q985" s="720"/>
      <c r="R985" s="238"/>
      <c r="T985" s="45"/>
    </row>
    <row r="986" spans="2:24" outlineLevel="1">
      <c r="B986" s="237"/>
      <c r="C986" s="345"/>
      <c r="D986" s="345" t="s">
        <v>62</v>
      </c>
      <c r="E986" s="346" t="s">
        <v>1173</v>
      </c>
      <c r="F986" s="719" t="s">
        <v>1174</v>
      </c>
      <c r="G986" s="719"/>
      <c r="H986" s="719"/>
      <c r="I986" s="719"/>
      <c r="J986" s="63" t="s">
        <v>63</v>
      </c>
      <c r="K986" s="347">
        <f>K980</f>
        <v>51.35</v>
      </c>
      <c r="L986" s="726"/>
      <c r="M986" s="726"/>
      <c r="N986" s="720">
        <f>ROUND(L986*K986,2)</f>
        <v>0</v>
      </c>
      <c r="O986" s="720"/>
      <c r="P986" s="720"/>
      <c r="Q986" s="720"/>
      <c r="R986" s="238"/>
      <c r="T986" s="45"/>
    </row>
    <row r="987" spans="2:24" outlineLevel="1">
      <c r="B987" s="237"/>
      <c r="C987" s="345"/>
      <c r="D987" s="345" t="s">
        <v>62</v>
      </c>
      <c r="E987" s="346">
        <v>777911111</v>
      </c>
      <c r="F987" s="719" t="s">
        <v>451</v>
      </c>
      <c r="G987" s="719"/>
      <c r="H987" s="719"/>
      <c r="I987" s="719"/>
      <c r="J987" s="63" t="s">
        <v>68</v>
      </c>
      <c r="K987" s="347">
        <f>SUM(K988:K988)</f>
        <v>75.400000000000006</v>
      </c>
      <c r="L987" s="726"/>
      <c r="M987" s="726"/>
      <c r="N987" s="720">
        <f>ROUND(L987*K987,2)</f>
        <v>0</v>
      </c>
      <c r="O987" s="720"/>
      <c r="P987" s="720"/>
      <c r="Q987" s="720"/>
      <c r="R987" s="238"/>
      <c r="T987" s="45"/>
    </row>
    <row r="988" spans="2:24" s="248" customFormat="1" outlineLevel="1">
      <c r="B988" s="247"/>
      <c r="E988" s="349" t="s">
        <v>1175</v>
      </c>
      <c r="F988" s="717" t="s">
        <v>110</v>
      </c>
      <c r="G988" s="718"/>
      <c r="H988" s="718"/>
      <c r="I988" s="718"/>
      <c r="J988" s="64">
        <v>1</v>
      </c>
      <c r="K988" s="350">
        <f>(9.6+1.8+5.5+3.3+3.5+3.3+5.5+2.6*2)*2</f>
        <v>75.400000000000006</v>
      </c>
      <c r="L988" s="196"/>
      <c r="M988" s="196"/>
      <c r="R988" s="249"/>
      <c r="T988" s="45"/>
      <c r="V988" s="402"/>
      <c r="W988" s="42"/>
      <c r="X988" s="42"/>
    </row>
    <row r="989" spans="2:24" outlineLevel="1">
      <c r="B989" s="237"/>
      <c r="C989" s="345"/>
      <c r="D989" s="345" t="s">
        <v>62</v>
      </c>
      <c r="E989" s="346">
        <v>998777202</v>
      </c>
      <c r="F989" s="719" t="s">
        <v>1176</v>
      </c>
      <c r="G989" s="719"/>
      <c r="H989" s="719"/>
      <c r="I989" s="719"/>
      <c r="J989" s="63" t="s">
        <v>70</v>
      </c>
      <c r="K989" s="66">
        <f>SUM(N980:Q988)</f>
        <v>0</v>
      </c>
      <c r="L989" s="759"/>
      <c r="M989" s="759"/>
      <c r="N989" s="720">
        <f>ROUND(L989*K989,2)</f>
        <v>0</v>
      </c>
      <c r="O989" s="720"/>
      <c r="P989" s="720"/>
      <c r="Q989" s="720"/>
      <c r="R989" s="238"/>
      <c r="T989" s="45"/>
    </row>
    <row r="990" spans="2:24" s="341" customFormat="1" ht="12.75">
      <c r="B990" s="340"/>
      <c r="C990" s="344"/>
      <c r="D990" s="344" t="s">
        <v>171</v>
      </c>
      <c r="E990" s="344"/>
      <c r="F990" s="344"/>
      <c r="G990" s="344"/>
      <c r="H990" s="344"/>
      <c r="I990" s="344"/>
      <c r="J990" s="61"/>
      <c r="K990" s="344"/>
      <c r="L990" s="72"/>
      <c r="M990" s="72"/>
      <c r="N990" s="734">
        <f>SUM(N991:Q999)</f>
        <v>0</v>
      </c>
      <c r="O990" s="734"/>
      <c r="P990" s="734"/>
      <c r="Q990" s="734"/>
      <c r="R990" s="342"/>
      <c r="T990" s="45">
        <f>SUM(N990:Q999)/2</f>
        <v>0</v>
      </c>
      <c r="U990" s="248"/>
      <c r="V990" s="398"/>
      <c r="W990" s="399"/>
      <c r="X990" s="399"/>
    </row>
    <row r="991" spans="2:24" s="358" customFormat="1" outlineLevel="1">
      <c r="B991" s="353"/>
      <c r="C991" s="354"/>
      <c r="D991" s="354" t="s">
        <v>62</v>
      </c>
      <c r="E991" s="355">
        <v>781121011</v>
      </c>
      <c r="F991" s="727" t="s">
        <v>1178</v>
      </c>
      <c r="G991" s="727"/>
      <c r="H991" s="727"/>
      <c r="I991" s="727"/>
      <c r="J991" s="215" t="s">
        <v>63</v>
      </c>
      <c r="K991" s="356">
        <f>SUM(K992:K993)</f>
        <v>184.5</v>
      </c>
      <c r="L991" s="728"/>
      <c r="M991" s="728"/>
      <c r="N991" s="729">
        <f>ROUND(L991*K991,2)</f>
        <v>0</v>
      </c>
      <c r="O991" s="729"/>
      <c r="P991" s="729"/>
      <c r="Q991" s="729"/>
      <c r="R991" s="357"/>
      <c r="T991" s="216"/>
      <c r="U991" s="359"/>
      <c r="V991" s="414"/>
      <c r="W991" s="415"/>
      <c r="X991" s="415"/>
    </row>
    <row r="992" spans="2:24" s="410" customFormat="1" ht="37.5" customHeight="1" outlineLevel="1">
      <c r="B992" s="409"/>
      <c r="E992" s="349" t="s">
        <v>1177</v>
      </c>
      <c r="F992" s="717" t="s">
        <v>1193</v>
      </c>
      <c r="G992" s="718" t="e">
        <f>(2.6*2+0.9*2+1*3+1.5*3+3.1+1.4+2.3+0.9+1.9+1.3+1.2*2+1.8*3+1.7*3+1.7*2+2.9+1.6+2.6+1.3+2.4)*2*F992</f>
        <v>#VALUE!</v>
      </c>
      <c r="H992" s="718" t="e">
        <f>(2.6*2+0.9*2+1*3+1.5*3+3.1+1.4+2.3+0.9+1.9+1.3+1.2*2+1.8*3+1.7*3+1.7*2+2.9+1.6+2.6+1.3+2.4)*2*G992</f>
        <v>#VALUE!</v>
      </c>
      <c r="I992" s="718" t="e">
        <f>(2.6*2+0.9*2+1*3+1.5*3+3.1+1.4+2.3+0.9+1.9+1.3+1.2*2+1.8*3+1.7*3+1.7*2+2.9+1.6+2.6+1.3+2.4)*2*H992</f>
        <v>#VALUE!</v>
      </c>
      <c r="J992" s="64">
        <v>1.8</v>
      </c>
      <c r="K992" s="350">
        <f>(2.6*2+0.9*2+1*3+1.5*3+3.1+1.4+2.3+0.9+1.9+1.3+1.2*2+1.8*3+1.7*3+1.7*2+2.9+1.6+2.6+1.3+2.4)*2*J992+7.7*1.8</f>
        <v>202.85999999999999</v>
      </c>
      <c r="L992" s="200"/>
      <c r="M992" s="200"/>
      <c r="R992" s="411"/>
      <c r="T992" s="45"/>
      <c r="U992" s="248"/>
      <c r="V992" s="412"/>
      <c r="W992" s="413"/>
      <c r="X992" s="413"/>
    </row>
    <row r="993" spans="2:29" s="333" customFormat="1" outlineLevel="1">
      <c r="B993" s="362"/>
      <c r="E993" s="363" t="s">
        <v>2520</v>
      </c>
      <c r="F993" s="715" t="s">
        <v>2456</v>
      </c>
      <c r="G993" s="716">
        <f>(1.4+1.5)*2*(0.25*0.6)*12+0.35*0.45*2.3</f>
        <v>10.802249999999999</v>
      </c>
      <c r="H993" s="716">
        <f>(1.4+1.5)*2*(0.25*0.6)*12+0.35*0.45*2.3</f>
        <v>10.802249999999999</v>
      </c>
      <c r="I993" s="716">
        <f>(1.4+1.5)*2*(0.25*0.6)*12+0.35*0.45*2.3</f>
        <v>10.802249999999999</v>
      </c>
      <c r="J993" s="209">
        <v>-1</v>
      </c>
      <c r="K993" s="364">
        <f>K287*J993</f>
        <v>-18.36</v>
      </c>
      <c r="L993" s="210"/>
      <c r="M993" s="210"/>
      <c r="R993" s="365"/>
      <c r="T993" s="211"/>
      <c r="V993" s="217"/>
      <c r="W993" s="217"/>
      <c r="X993" s="217"/>
      <c r="AC993" s="366"/>
    </row>
    <row r="994" spans="2:29" ht="30.75" customHeight="1" outlineLevel="1">
      <c r="B994" s="237"/>
      <c r="C994" s="345"/>
      <c r="D994" s="345" t="s">
        <v>62</v>
      </c>
      <c r="E994" s="346">
        <v>781474115</v>
      </c>
      <c r="F994" s="719" t="s">
        <v>452</v>
      </c>
      <c r="G994" s="719"/>
      <c r="H994" s="719"/>
      <c r="I994" s="719"/>
      <c r="J994" s="63" t="s">
        <v>63</v>
      </c>
      <c r="K994" s="347">
        <f>K991</f>
        <v>184.5</v>
      </c>
      <c r="L994" s="726"/>
      <c r="M994" s="726"/>
      <c r="N994" s="720">
        <f>ROUND(L994*K994,2)</f>
        <v>0</v>
      </c>
      <c r="O994" s="720"/>
      <c r="P994" s="720"/>
      <c r="Q994" s="720"/>
      <c r="R994" s="238"/>
      <c r="T994" s="45"/>
    </row>
    <row r="995" spans="2:29" outlineLevel="1">
      <c r="B995" s="237"/>
      <c r="C995" s="383"/>
      <c r="D995" s="383" t="s">
        <v>65</v>
      </c>
      <c r="E995" s="384">
        <v>59761068</v>
      </c>
      <c r="F995" s="751" t="s">
        <v>453</v>
      </c>
      <c r="G995" s="751"/>
      <c r="H995" s="751"/>
      <c r="I995" s="751"/>
      <c r="J995" s="65" t="s">
        <v>63</v>
      </c>
      <c r="K995" s="385">
        <f>K994*1.1</f>
        <v>202.95000000000002</v>
      </c>
      <c r="L995" s="726"/>
      <c r="M995" s="726"/>
      <c r="N995" s="752">
        <f>ROUND(L995*K995,2)</f>
        <v>0</v>
      </c>
      <c r="O995" s="720"/>
      <c r="P995" s="720"/>
      <c r="Q995" s="720"/>
      <c r="R995" s="238"/>
      <c r="T995" s="45"/>
    </row>
    <row r="996" spans="2:29" s="358" customFormat="1" outlineLevel="1">
      <c r="B996" s="353"/>
      <c r="C996" s="354"/>
      <c r="D996" s="354" t="s">
        <v>69</v>
      </c>
      <c r="E996" s="355" t="s">
        <v>172</v>
      </c>
      <c r="F996" s="727" t="s">
        <v>2323</v>
      </c>
      <c r="G996" s="727"/>
      <c r="H996" s="727"/>
      <c r="I996" s="727"/>
      <c r="J996" s="215" t="s">
        <v>68</v>
      </c>
      <c r="K996" s="356">
        <f>SUM(K997:K998)</f>
        <v>102.49999999999999</v>
      </c>
      <c r="L996" s="728"/>
      <c r="M996" s="728"/>
      <c r="N996" s="729">
        <f>ROUND(L996*K996,2)</f>
        <v>0</v>
      </c>
      <c r="O996" s="729"/>
      <c r="P996" s="729"/>
      <c r="Q996" s="729"/>
      <c r="R996" s="357"/>
      <c r="T996" s="216"/>
      <c r="U996" s="359"/>
      <c r="V996" s="414"/>
      <c r="W996" s="415"/>
      <c r="X996" s="415"/>
    </row>
    <row r="997" spans="2:29" s="410" customFormat="1" outlineLevel="1">
      <c r="B997" s="409"/>
      <c r="E997" s="349" t="s">
        <v>2529</v>
      </c>
      <c r="F997" s="717"/>
      <c r="G997" s="718"/>
      <c r="H997" s="718"/>
      <c r="I997" s="718"/>
      <c r="J997" s="64"/>
      <c r="K997" s="350">
        <v>112.69999999999999</v>
      </c>
      <c r="L997" s="200"/>
      <c r="M997" s="200"/>
      <c r="R997" s="411"/>
      <c r="T997" s="45"/>
      <c r="U997" s="248"/>
      <c r="V997" s="412"/>
      <c r="W997" s="413"/>
      <c r="X997" s="413"/>
    </row>
    <row r="998" spans="2:29" s="333" customFormat="1" outlineLevel="1">
      <c r="B998" s="362"/>
      <c r="E998" s="363" t="s">
        <v>2520</v>
      </c>
      <c r="F998" s="715" t="s">
        <v>2456</v>
      </c>
      <c r="G998" s="716">
        <f>(1.4+1.5)*2*(0.25*0.6)*12+0.35*0.45*2.3</f>
        <v>10.802249999999999</v>
      </c>
      <c r="H998" s="716">
        <f>(1.4+1.5)*2*(0.25*0.6)*12+0.35*0.45*2.3</f>
        <v>10.802249999999999</v>
      </c>
      <c r="I998" s="716">
        <f>(1.4+1.5)*2*(0.25*0.6)*12+0.35*0.45*2.3</f>
        <v>10.802249999999999</v>
      </c>
      <c r="J998" s="209">
        <v>-1</v>
      </c>
      <c r="K998" s="364">
        <f>K291*J998</f>
        <v>-10.199999999999999</v>
      </c>
      <c r="L998" s="210"/>
      <c r="M998" s="210"/>
      <c r="R998" s="365"/>
      <c r="T998" s="211"/>
      <c r="V998" s="217"/>
      <c r="W998" s="217"/>
      <c r="X998" s="217"/>
      <c r="AC998" s="366"/>
    </row>
    <row r="999" spans="2:29" outlineLevel="1">
      <c r="B999" s="237"/>
      <c r="C999" s="345"/>
      <c r="D999" s="345" t="s">
        <v>62</v>
      </c>
      <c r="E999" s="346">
        <v>998781202</v>
      </c>
      <c r="F999" s="719" t="s">
        <v>1179</v>
      </c>
      <c r="G999" s="719"/>
      <c r="H999" s="719"/>
      <c r="I999" s="719"/>
      <c r="J999" s="63" t="s">
        <v>70</v>
      </c>
      <c r="K999" s="66">
        <f>SUM(N991:Q996)</f>
        <v>0</v>
      </c>
      <c r="L999" s="759"/>
      <c r="M999" s="759"/>
      <c r="N999" s="720">
        <f>ROUND(L999*K999,2)</f>
        <v>0</v>
      </c>
      <c r="O999" s="720"/>
      <c r="P999" s="720"/>
      <c r="Q999" s="720"/>
      <c r="R999" s="238"/>
      <c r="T999" s="45"/>
    </row>
    <row r="1000" spans="2:29" s="341" customFormat="1" ht="12.75">
      <c r="B1000" s="340"/>
      <c r="C1000" s="344"/>
      <c r="D1000" s="344" t="s">
        <v>105</v>
      </c>
      <c r="E1000" s="344"/>
      <c r="F1000" s="344"/>
      <c r="G1000" s="344"/>
      <c r="H1000" s="344"/>
      <c r="I1000" s="344"/>
      <c r="J1000" s="61"/>
      <c r="K1000" s="344"/>
      <c r="L1000" s="72"/>
      <c r="M1000" s="72"/>
      <c r="N1000" s="734">
        <f>SUM(N1001:Q1015)</f>
        <v>0</v>
      </c>
      <c r="O1000" s="734"/>
      <c r="P1000" s="734"/>
      <c r="Q1000" s="734"/>
      <c r="R1000" s="342"/>
      <c r="T1000" s="45">
        <f>SUM(N1000:Q1015)/2</f>
        <v>0</v>
      </c>
      <c r="U1000" s="248"/>
      <c r="V1000" s="398"/>
      <c r="W1000" s="399"/>
      <c r="X1000" s="399"/>
    </row>
    <row r="1001" spans="2:29" outlineLevel="1">
      <c r="B1001" s="237"/>
      <c r="C1001" s="345"/>
      <c r="D1001" s="345" t="s">
        <v>62</v>
      </c>
      <c r="E1001" s="346">
        <v>783801503</v>
      </c>
      <c r="F1001" s="719" t="s">
        <v>1063</v>
      </c>
      <c r="G1001" s="719"/>
      <c r="H1001" s="719"/>
      <c r="I1001" s="719"/>
      <c r="J1001" s="63" t="s">
        <v>63</v>
      </c>
      <c r="K1001" s="347">
        <f>SUM(K1002)</f>
        <v>668.85</v>
      </c>
      <c r="L1001" s="726"/>
      <c r="M1001" s="726"/>
      <c r="N1001" s="720">
        <f>ROUND(L1001*K1001,2)</f>
        <v>0</v>
      </c>
      <c r="O1001" s="720"/>
      <c r="P1001" s="720"/>
      <c r="Q1001" s="720"/>
      <c r="R1001" s="238"/>
      <c r="T1001" s="45"/>
    </row>
    <row r="1002" spans="2:29" s="248" customFormat="1" outlineLevel="1">
      <c r="B1002" s="247"/>
      <c r="E1002" s="349" t="s">
        <v>1062</v>
      </c>
      <c r="F1002" s="717" t="s">
        <v>158</v>
      </c>
      <c r="G1002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H1002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I1002" s="718">
        <f>13.8*(8.53-0.35)+(2.365+1.965)*(8.21-0.6)+10.5*(8.53-0.25)-(0.6*1.15+2*1.76*5+0.6*1.15+2*1.8+2*1.76)+(0.6+1.15*2+(2+1.76*2)*2)*0.25+(2+1.76*2)*0.27*2+(0.6+1.15*2+2+1.8*2+(2+1.76*2)*3)*0.27+12.4*(8.21-0.6)-(1.1*1.76+1.1*2.315+0.6*1.15)+(1.1+1.76*2)*0.255+(1.1+2.315*2)*0.33+(0.6+1.15*2)*0.12-(1.105*1.76+0.6*1.15*3)+(1.105+1.76*2)*0.255+((0.6+1.15*2)-0.12)*3</f>
        <v>318.020375</v>
      </c>
      <c r="J1002" s="64"/>
      <c r="K1002" s="350">
        <f>K487</f>
        <v>668.85</v>
      </c>
      <c r="L1002" s="196"/>
      <c r="M1002" s="196"/>
      <c r="R1002" s="249"/>
      <c r="T1002" s="45"/>
      <c r="V1002" s="402"/>
      <c r="W1002" s="42"/>
      <c r="X1002" s="42"/>
    </row>
    <row r="1003" spans="2:29" outlineLevel="1">
      <c r="B1003" s="237"/>
      <c r="C1003" s="345"/>
      <c r="D1003" s="345" t="s">
        <v>62</v>
      </c>
      <c r="E1003" s="346" t="s">
        <v>1064</v>
      </c>
      <c r="F1003" s="719" t="s">
        <v>1065</v>
      </c>
      <c r="G1003" s="719"/>
      <c r="H1003" s="719"/>
      <c r="I1003" s="719"/>
      <c r="J1003" s="63" t="s">
        <v>63</v>
      </c>
      <c r="K1003" s="347">
        <f>K1001</f>
        <v>668.85</v>
      </c>
      <c r="L1003" s="726"/>
      <c r="M1003" s="726"/>
      <c r="N1003" s="720">
        <f>ROUND(L1003*K1003,2)</f>
        <v>0</v>
      </c>
      <c r="O1003" s="720"/>
      <c r="P1003" s="720"/>
      <c r="Q1003" s="720"/>
      <c r="R1003" s="238"/>
      <c r="T1003" s="45"/>
    </row>
    <row r="1004" spans="2:29" outlineLevel="1">
      <c r="B1004" s="237"/>
      <c r="C1004" s="345"/>
      <c r="D1004" s="345" t="s">
        <v>62</v>
      </c>
      <c r="E1004" s="346" t="s">
        <v>1066</v>
      </c>
      <c r="F1004" s="719" t="s">
        <v>407</v>
      </c>
      <c r="G1004" s="719"/>
      <c r="H1004" s="719"/>
      <c r="I1004" s="719"/>
      <c r="J1004" s="63" t="s">
        <v>63</v>
      </c>
      <c r="K1004" s="347">
        <f>K1003</f>
        <v>668.85</v>
      </c>
      <c r="L1004" s="726"/>
      <c r="M1004" s="726"/>
      <c r="N1004" s="720">
        <f>ROUND(L1004*K1004,2)</f>
        <v>0</v>
      </c>
      <c r="O1004" s="720"/>
      <c r="P1004" s="720"/>
      <c r="Q1004" s="720"/>
      <c r="R1004" s="238"/>
      <c r="T1004" s="45"/>
    </row>
    <row r="1005" spans="2:29" outlineLevel="1">
      <c r="B1005" s="237"/>
      <c r="C1005" s="345"/>
      <c r="D1005" s="345" t="s">
        <v>62</v>
      </c>
      <c r="E1005" s="346">
        <v>783827425</v>
      </c>
      <c r="F1005" s="719" t="s">
        <v>1191</v>
      </c>
      <c r="G1005" s="719"/>
      <c r="H1005" s="719"/>
      <c r="I1005" s="719"/>
      <c r="J1005" s="63" t="s">
        <v>63</v>
      </c>
      <c r="K1005" s="347">
        <f>SUM(K1006:K1006)</f>
        <v>88.500000000000014</v>
      </c>
      <c r="L1005" s="726"/>
      <c r="M1005" s="726"/>
      <c r="N1005" s="720">
        <f>ROUND(L1005*K1005,2)</f>
        <v>0</v>
      </c>
      <c r="O1005" s="720"/>
      <c r="P1005" s="720"/>
      <c r="Q1005" s="720"/>
      <c r="R1005" s="238"/>
      <c r="T1005" s="45"/>
    </row>
    <row r="1006" spans="2:29" s="248" customFormat="1" ht="11.25" customHeight="1" outlineLevel="1">
      <c r="B1006" s="247"/>
      <c r="E1006" s="349" t="s">
        <v>1192</v>
      </c>
      <c r="F1006" s="717"/>
      <c r="G1006" s="718"/>
      <c r="H1006" s="718"/>
      <c r="I1006" s="718"/>
      <c r="J1006" s="64">
        <v>1.5</v>
      </c>
      <c r="K1006" s="350">
        <f>((3.7+5.9+4.7+5.9+6)*2+6.6)*J1006</f>
        <v>88.500000000000014</v>
      </c>
      <c r="L1006" s="196"/>
      <c r="M1006" s="196"/>
      <c r="R1006" s="249"/>
      <c r="T1006" s="45"/>
      <c r="V1006" s="402"/>
      <c r="W1006" s="42"/>
      <c r="X1006" s="42"/>
    </row>
    <row r="1007" spans="2:29" outlineLevel="1">
      <c r="B1007" s="237"/>
      <c r="C1007" s="345"/>
      <c r="D1007" s="345" t="s">
        <v>62</v>
      </c>
      <c r="E1007" s="346">
        <v>783101203</v>
      </c>
      <c r="F1007" s="719" t="s">
        <v>1993</v>
      </c>
      <c r="G1007" s="719"/>
      <c r="H1007" s="719"/>
      <c r="I1007" s="719"/>
      <c r="J1007" s="63" t="s">
        <v>63</v>
      </c>
      <c r="K1007" s="347">
        <f>SUM(K1008:K1008)</f>
        <v>235.91250000000002</v>
      </c>
      <c r="L1007" s="726"/>
      <c r="M1007" s="726"/>
      <c r="N1007" s="720">
        <f>ROUND(L1007*K1007,2)</f>
        <v>0</v>
      </c>
      <c r="O1007" s="720"/>
      <c r="P1007" s="720"/>
      <c r="Q1007" s="720"/>
      <c r="R1007" s="238"/>
      <c r="T1007" s="45"/>
    </row>
    <row r="1008" spans="2:29" s="248" customFormat="1" ht="11.25" customHeight="1" outlineLevel="1">
      <c r="B1008" s="247"/>
      <c r="E1008" s="349" t="s">
        <v>1994</v>
      </c>
      <c r="F1008" s="717"/>
      <c r="G1008" s="718"/>
      <c r="H1008" s="718"/>
      <c r="I1008" s="718"/>
      <c r="J1008" s="64"/>
      <c r="K1008" s="350">
        <f>K894+K897</f>
        <v>235.91250000000002</v>
      </c>
      <c r="L1008" s="196"/>
      <c r="M1008" s="196"/>
      <c r="R1008" s="249"/>
      <c r="T1008" s="45"/>
      <c r="V1008" s="402"/>
      <c r="W1008" s="42"/>
      <c r="X1008" s="42"/>
    </row>
    <row r="1009" spans="2:24" outlineLevel="1">
      <c r="B1009" s="237"/>
      <c r="C1009" s="345"/>
      <c r="D1009" s="345" t="s">
        <v>62</v>
      </c>
      <c r="E1009" s="346">
        <v>783101403</v>
      </c>
      <c r="F1009" s="719" t="s">
        <v>1995</v>
      </c>
      <c r="G1009" s="719"/>
      <c r="H1009" s="719"/>
      <c r="I1009" s="719"/>
      <c r="J1009" s="63" t="s">
        <v>63</v>
      </c>
      <c r="K1009" s="347">
        <f>K1007</f>
        <v>235.91250000000002</v>
      </c>
      <c r="L1009" s="726"/>
      <c r="M1009" s="726"/>
      <c r="N1009" s="720">
        <f>ROUND(L1009*K1009,2)</f>
        <v>0</v>
      </c>
      <c r="O1009" s="720"/>
      <c r="P1009" s="720"/>
      <c r="Q1009" s="720"/>
      <c r="R1009" s="238"/>
      <c r="T1009" s="45"/>
    </row>
    <row r="1010" spans="2:24" outlineLevel="1">
      <c r="B1010" s="237"/>
      <c r="C1010" s="345"/>
      <c r="D1010" s="345" t="s">
        <v>62</v>
      </c>
      <c r="E1010" s="346">
        <v>783168101</v>
      </c>
      <c r="F1010" s="719" t="s">
        <v>1996</v>
      </c>
      <c r="G1010" s="719"/>
      <c r="H1010" s="719"/>
      <c r="I1010" s="719"/>
      <c r="J1010" s="63" t="s">
        <v>63</v>
      </c>
      <c r="K1010" s="347">
        <f>SUM(K1011:K1011)</f>
        <v>471.82500000000005</v>
      </c>
      <c r="L1010" s="726"/>
      <c r="M1010" s="726"/>
      <c r="N1010" s="720">
        <f>ROUND(L1010*K1010,2)</f>
        <v>0</v>
      </c>
      <c r="O1010" s="720"/>
      <c r="P1010" s="720"/>
      <c r="Q1010" s="720"/>
      <c r="R1010" s="238"/>
      <c r="T1010" s="45"/>
    </row>
    <row r="1011" spans="2:24" s="248" customFormat="1" ht="11.25" customHeight="1" outlineLevel="1">
      <c r="B1011" s="247"/>
      <c r="E1011" s="349" t="s">
        <v>737</v>
      </c>
      <c r="F1011" s="717"/>
      <c r="G1011" s="718"/>
      <c r="H1011" s="718"/>
      <c r="I1011" s="718"/>
      <c r="J1011" s="64">
        <v>2</v>
      </c>
      <c r="K1011" s="350">
        <f>K1007*J1011</f>
        <v>471.82500000000005</v>
      </c>
      <c r="L1011" s="196"/>
      <c r="M1011" s="196"/>
      <c r="R1011" s="249"/>
      <c r="T1011" s="45"/>
      <c r="V1011" s="402"/>
      <c r="W1011" s="42"/>
      <c r="X1011" s="42"/>
    </row>
    <row r="1012" spans="2:24" ht="27" customHeight="1" outlineLevel="1">
      <c r="B1012" s="237"/>
      <c r="C1012" s="345"/>
      <c r="D1012" s="345" t="s">
        <v>62</v>
      </c>
      <c r="E1012" s="346">
        <v>783223011</v>
      </c>
      <c r="F1012" s="719" t="s">
        <v>1181</v>
      </c>
      <c r="G1012" s="719"/>
      <c r="H1012" s="719"/>
      <c r="I1012" s="719"/>
      <c r="J1012" s="63" t="s">
        <v>63</v>
      </c>
      <c r="K1012" s="347">
        <f>SUM(K1013:K1013)</f>
        <v>127.16800000000001</v>
      </c>
      <c r="L1012" s="726"/>
      <c r="M1012" s="726"/>
      <c r="N1012" s="720">
        <f>ROUND(L1012*K1012,2)</f>
        <v>0</v>
      </c>
      <c r="O1012" s="720"/>
      <c r="P1012" s="720"/>
      <c r="Q1012" s="720"/>
      <c r="R1012" s="238"/>
      <c r="T1012" s="45"/>
    </row>
    <row r="1013" spans="2:24" s="248" customFormat="1" ht="11.25" customHeight="1" outlineLevel="1">
      <c r="B1013" s="247"/>
      <c r="E1013" s="349" t="s">
        <v>1180</v>
      </c>
      <c r="F1013" s="717"/>
      <c r="G1013" s="718"/>
      <c r="H1013" s="718"/>
      <c r="I1013" s="718"/>
      <c r="J1013" s="64"/>
      <c r="K1013" s="350">
        <f>0.16*4*7+0.18*4*(15*2+5.4*2*13)</f>
        <v>127.16800000000001</v>
      </c>
      <c r="L1013" s="196"/>
      <c r="M1013" s="196"/>
      <c r="R1013" s="249"/>
      <c r="T1013" s="45"/>
      <c r="V1013" s="402"/>
      <c r="W1013" s="42"/>
      <c r="X1013" s="42"/>
    </row>
    <row r="1014" spans="2:24" outlineLevel="1">
      <c r="B1014" s="237"/>
      <c r="C1014" s="345"/>
      <c r="D1014" s="345" t="s">
        <v>62</v>
      </c>
      <c r="E1014" s="346">
        <v>783228111</v>
      </c>
      <c r="F1014" s="719" t="s">
        <v>1186</v>
      </c>
      <c r="G1014" s="719"/>
      <c r="H1014" s="719"/>
      <c r="I1014" s="719"/>
      <c r="J1014" s="63" t="s">
        <v>63</v>
      </c>
      <c r="K1014" s="347">
        <f>K1012</f>
        <v>127.16800000000001</v>
      </c>
      <c r="L1014" s="726"/>
      <c r="M1014" s="726"/>
      <c r="N1014" s="720">
        <f>ROUND(L1014*K1014,2)</f>
        <v>0</v>
      </c>
      <c r="O1014" s="720"/>
      <c r="P1014" s="720"/>
      <c r="Q1014" s="720"/>
      <c r="R1014" s="238"/>
      <c r="T1014" s="45"/>
    </row>
    <row r="1015" spans="2:24" outlineLevel="1">
      <c r="B1015" s="237"/>
      <c r="C1015" s="345"/>
      <c r="D1015" s="345" t="s">
        <v>62</v>
      </c>
      <c r="E1015" s="346">
        <v>783226101</v>
      </c>
      <c r="F1015" s="719" t="s">
        <v>1238</v>
      </c>
      <c r="G1015" s="719"/>
      <c r="H1015" s="719"/>
      <c r="I1015" s="719"/>
      <c r="J1015" s="63" t="s">
        <v>63</v>
      </c>
      <c r="K1015" s="347">
        <f>SUM(K1016:K1016)</f>
        <v>4.4800000000000004</v>
      </c>
      <c r="L1015" s="726"/>
      <c r="M1015" s="726"/>
      <c r="N1015" s="720">
        <f>ROUND(L1015*K1015,2)</f>
        <v>0</v>
      </c>
      <c r="O1015" s="720"/>
      <c r="P1015" s="720"/>
      <c r="Q1015" s="720"/>
      <c r="R1015" s="238"/>
      <c r="T1015" s="45"/>
    </row>
    <row r="1016" spans="2:24" s="248" customFormat="1" ht="11.25" customHeight="1" outlineLevel="1">
      <c r="B1016" s="247"/>
      <c r="E1016" s="349" t="s">
        <v>1960</v>
      </c>
      <c r="F1016" s="717"/>
      <c r="G1016" s="718"/>
      <c r="H1016" s="718"/>
      <c r="I1016" s="718"/>
      <c r="J1016" s="64"/>
      <c r="K1016" s="350">
        <f>0.16*4*7</f>
        <v>4.4800000000000004</v>
      </c>
      <c r="L1016" s="196"/>
      <c r="M1016" s="196"/>
      <c r="R1016" s="249"/>
      <c r="T1016" s="45"/>
      <c r="V1016" s="402"/>
      <c r="W1016" s="42"/>
      <c r="X1016" s="42"/>
    </row>
    <row r="1017" spans="2:24" s="341" customFormat="1" ht="12.75">
      <c r="B1017" s="340"/>
      <c r="C1017" s="344"/>
      <c r="D1017" s="344" t="s">
        <v>54</v>
      </c>
      <c r="E1017" s="344"/>
      <c r="F1017" s="344"/>
      <c r="G1017" s="344"/>
      <c r="H1017" s="344"/>
      <c r="I1017" s="344"/>
      <c r="J1017" s="61"/>
      <c r="K1017" s="344"/>
      <c r="L1017" s="72"/>
      <c r="M1017" s="72"/>
      <c r="N1017" s="734">
        <f>SUM(N1018:Q1030)</f>
        <v>0</v>
      </c>
      <c r="O1017" s="734"/>
      <c r="P1017" s="734"/>
      <c r="Q1017" s="734"/>
      <c r="R1017" s="342"/>
      <c r="T1017" s="45">
        <f>SUM(N1017:Q1030)/2</f>
        <v>0</v>
      </c>
      <c r="U1017" s="248"/>
      <c r="V1017" s="398"/>
      <c r="W1017" s="399"/>
      <c r="X1017" s="399"/>
    </row>
    <row r="1018" spans="2:24" outlineLevel="1">
      <c r="B1018" s="237"/>
      <c r="C1018" s="345"/>
      <c r="D1018" s="345" t="s">
        <v>62</v>
      </c>
      <c r="E1018" s="346" t="s">
        <v>90</v>
      </c>
      <c r="F1018" s="719" t="s">
        <v>91</v>
      </c>
      <c r="G1018" s="719"/>
      <c r="H1018" s="719"/>
      <c r="I1018" s="719"/>
      <c r="J1018" s="63" t="s">
        <v>63</v>
      </c>
      <c r="K1018" s="347">
        <f>SUM(K1019:K1021)</f>
        <v>2187.9198700000002</v>
      </c>
      <c r="L1018" s="726"/>
      <c r="M1018" s="726"/>
      <c r="N1018" s="720">
        <f>ROUND(L1018*K1018,2)</f>
        <v>0</v>
      </c>
      <c r="O1018" s="720"/>
      <c r="P1018" s="720"/>
      <c r="Q1018" s="720"/>
      <c r="R1018" s="238"/>
      <c r="T1018" s="45"/>
      <c r="U1018" s="403"/>
    </row>
    <row r="1019" spans="2:24" s="248" customFormat="1" outlineLevel="1">
      <c r="B1019" s="247"/>
      <c r="E1019" s="349" t="s">
        <v>103</v>
      </c>
      <c r="F1019" s="717" t="s">
        <v>158</v>
      </c>
      <c r="G1019" s="718"/>
      <c r="H1019" s="718"/>
      <c r="I1019" s="718"/>
      <c r="J1019" s="64"/>
      <c r="K1019" s="350">
        <f>K472+K477+K479+K484</f>
        <v>1975.2078700000002</v>
      </c>
      <c r="L1019" s="196"/>
      <c r="M1019" s="196"/>
      <c r="R1019" s="249"/>
      <c r="T1019" s="45"/>
      <c r="V1019" s="402"/>
      <c r="W1019" s="42"/>
      <c r="X1019" s="42"/>
    </row>
    <row r="1020" spans="2:24" s="248" customFormat="1" outlineLevel="1">
      <c r="B1020" s="247"/>
      <c r="E1020" s="349" t="s">
        <v>104</v>
      </c>
      <c r="F1020" s="717" t="s">
        <v>158</v>
      </c>
      <c r="G1020" s="718"/>
      <c r="H1020" s="718"/>
      <c r="I1020" s="718"/>
      <c r="J1020" s="64"/>
      <c r="K1020" s="350">
        <f>(K826+K828)*2+K830+K832+K835+K839+K841</f>
        <v>397.21200000000005</v>
      </c>
      <c r="L1020" s="196"/>
      <c r="M1020" s="196"/>
      <c r="R1020" s="249"/>
      <c r="T1020" s="45"/>
      <c r="V1020" s="402"/>
      <c r="W1020" s="42"/>
      <c r="X1020" s="42"/>
    </row>
    <row r="1021" spans="2:24" s="248" customFormat="1" outlineLevel="1">
      <c r="B1021" s="247"/>
      <c r="E1021" s="349" t="s">
        <v>251</v>
      </c>
      <c r="F1021" s="717" t="s">
        <v>158</v>
      </c>
      <c r="G1021" s="718"/>
      <c r="H1021" s="718"/>
      <c r="I1021" s="718"/>
      <c r="J1021" s="64">
        <v>-1</v>
      </c>
      <c r="K1021" s="350">
        <f>K991*J1021</f>
        <v>-184.5</v>
      </c>
      <c r="L1021" s="196"/>
      <c r="M1021" s="196"/>
      <c r="R1021" s="249"/>
      <c r="T1021" s="45"/>
      <c r="V1021" s="402"/>
      <c r="W1021" s="42"/>
      <c r="X1021" s="42"/>
    </row>
    <row r="1022" spans="2:24" ht="29.25" customHeight="1" outlineLevel="1">
      <c r="B1022" s="237"/>
      <c r="C1022" s="345"/>
      <c r="D1022" s="345" t="s">
        <v>62</v>
      </c>
      <c r="E1022" s="346" t="s">
        <v>92</v>
      </c>
      <c r="F1022" s="760" t="s">
        <v>93</v>
      </c>
      <c r="G1022" s="761"/>
      <c r="H1022" s="761"/>
      <c r="I1022" s="762"/>
      <c r="J1022" s="63" t="s">
        <v>63</v>
      </c>
      <c r="K1022" s="347">
        <f>K1018</f>
        <v>2187.9198700000002</v>
      </c>
      <c r="L1022" s="726"/>
      <c r="M1022" s="726"/>
      <c r="N1022" s="763">
        <f>ROUND(L1022*K1022,2)</f>
        <v>0</v>
      </c>
      <c r="O1022" s="764"/>
      <c r="P1022" s="764"/>
      <c r="Q1022" s="765"/>
      <c r="R1022" s="238"/>
      <c r="T1022" s="45"/>
      <c r="U1022" s="403"/>
    </row>
    <row r="1023" spans="2:24" s="248" customFormat="1" outlineLevel="1">
      <c r="B1023" s="247"/>
      <c r="E1023" s="349" t="s">
        <v>1187</v>
      </c>
      <c r="F1023" s="717" t="s">
        <v>158</v>
      </c>
      <c r="G1023" s="718"/>
      <c r="H1023" s="718"/>
      <c r="I1023" s="718"/>
      <c r="J1023" s="64"/>
      <c r="K1023" s="350">
        <f>K1018</f>
        <v>2187.9198700000002</v>
      </c>
      <c r="L1023" s="196"/>
      <c r="M1023" s="196"/>
      <c r="R1023" s="249"/>
      <c r="T1023" s="45"/>
      <c r="V1023" s="402"/>
      <c r="W1023" s="42"/>
      <c r="X1023" s="42"/>
    </row>
    <row r="1024" spans="2:24" s="248" customFormat="1" outlineLevel="1">
      <c r="B1024" s="247"/>
      <c r="E1024" s="349" t="s">
        <v>1188</v>
      </c>
      <c r="F1024" s="717" t="s">
        <v>158</v>
      </c>
      <c r="G1024" s="718"/>
      <c r="H1024" s="718"/>
      <c r="I1024" s="718"/>
      <c r="J1024" s="64">
        <v>-1</v>
      </c>
      <c r="K1024" s="350">
        <f>K1027*J1024</f>
        <v>-252.33</v>
      </c>
      <c r="L1024" s="196"/>
      <c r="M1024" s="196"/>
      <c r="R1024" s="249"/>
      <c r="T1024" s="45"/>
      <c r="V1024" s="402"/>
      <c r="W1024" s="42"/>
      <c r="X1024" s="42"/>
    </row>
    <row r="1025" spans="2:24" s="248" customFormat="1" outlineLevel="1">
      <c r="B1025" s="247"/>
      <c r="E1025" s="349" t="s">
        <v>1189</v>
      </c>
      <c r="F1025" s="717" t="s">
        <v>158</v>
      </c>
      <c r="G1025" s="718"/>
      <c r="H1025" s="718"/>
      <c r="I1025" s="718"/>
      <c r="J1025" s="64">
        <v>-1</v>
      </c>
      <c r="K1025" s="350">
        <f>K1029*J1025</f>
        <v>-734.80200000000002</v>
      </c>
      <c r="L1025" s="196"/>
      <c r="M1025" s="196"/>
      <c r="R1025" s="249"/>
      <c r="T1025" s="45"/>
      <c r="V1025" s="402"/>
      <c r="W1025" s="42"/>
      <c r="X1025" s="42"/>
    </row>
    <row r="1026" spans="2:24" s="248" customFormat="1" ht="22.5" outlineLevel="1">
      <c r="B1026" s="247"/>
      <c r="E1026" s="349" t="s">
        <v>1190</v>
      </c>
      <c r="F1026" s="717" t="s">
        <v>158</v>
      </c>
      <c r="G1026" s="718"/>
      <c r="H1026" s="718"/>
      <c r="I1026" s="718"/>
      <c r="J1026" s="64">
        <v>-1</v>
      </c>
      <c r="K1026" s="350">
        <f>K1005*J1026</f>
        <v>-88.500000000000014</v>
      </c>
      <c r="L1026" s="196"/>
      <c r="M1026" s="196"/>
      <c r="R1026" s="249"/>
      <c r="T1026" s="45"/>
      <c r="V1026" s="402"/>
      <c r="W1026" s="42"/>
      <c r="X1026" s="42"/>
    </row>
    <row r="1027" spans="2:24" ht="29.25" customHeight="1" outlineLevel="1">
      <c r="B1027" s="237"/>
      <c r="C1027" s="345"/>
      <c r="D1027" s="345" t="s">
        <v>62</v>
      </c>
      <c r="E1027" s="346">
        <v>784211167</v>
      </c>
      <c r="F1027" s="760" t="s">
        <v>1194</v>
      </c>
      <c r="G1027" s="761"/>
      <c r="H1027" s="761"/>
      <c r="I1027" s="762"/>
      <c r="J1027" s="63" t="s">
        <v>63</v>
      </c>
      <c r="K1027" s="347">
        <f>SUM(K1028:K1028)</f>
        <v>252.33</v>
      </c>
      <c r="L1027" s="726"/>
      <c r="M1027" s="726"/>
      <c r="N1027" s="763">
        <f>ROUND(L1027*K1027,2)</f>
        <v>0</v>
      </c>
      <c r="O1027" s="764"/>
      <c r="P1027" s="764"/>
      <c r="Q1027" s="765"/>
      <c r="R1027" s="238"/>
      <c r="T1027" s="45"/>
      <c r="U1027" s="403"/>
    </row>
    <row r="1028" spans="2:24" s="248" customFormat="1" outlineLevel="1">
      <c r="B1028" s="247"/>
      <c r="E1028" s="349" t="s">
        <v>1195</v>
      </c>
      <c r="F1028" s="717" t="s">
        <v>158</v>
      </c>
      <c r="G1028" s="718"/>
      <c r="H1028" s="718"/>
      <c r="I1028" s="718"/>
      <c r="J1028" s="64"/>
      <c r="K1028" s="350">
        <f>K897/0.75</f>
        <v>252.33</v>
      </c>
      <c r="L1028" s="196"/>
      <c r="M1028" s="196"/>
      <c r="R1028" s="249"/>
      <c r="T1028" s="45"/>
      <c r="V1028" s="402"/>
      <c r="W1028" s="42"/>
      <c r="X1028" s="42"/>
    </row>
    <row r="1029" spans="2:24" outlineLevel="1">
      <c r="B1029" s="237"/>
      <c r="C1029" s="345"/>
      <c r="D1029" s="345" t="s">
        <v>62</v>
      </c>
      <c r="E1029" s="346">
        <v>784341001</v>
      </c>
      <c r="F1029" s="719" t="s">
        <v>1196</v>
      </c>
      <c r="G1029" s="719"/>
      <c r="H1029" s="719"/>
      <c r="I1029" s="719"/>
      <c r="J1029" s="63" t="s">
        <v>63</v>
      </c>
      <c r="K1029" s="347">
        <f>SUM(K1030:K1030)</f>
        <v>734.80200000000002</v>
      </c>
      <c r="L1029" s="726"/>
      <c r="M1029" s="726"/>
      <c r="N1029" s="720">
        <f>ROUND(L1029*K1029,2)</f>
        <v>0</v>
      </c>
      <c r="O1029" s="720"/>
      <c r="P1029" s="720"/>
      <c r="Q1029" s="720"/>
      <c r="R1029" s="238"/>
      <c r="T1029" s="45"/>
      <c r="U1029" s="403"/>
    </row>
    <row r="1030" spans="2:24" s="248" customFormat="1" outlineLevel="1">
      <c r="B1030" s="247"/>
      <c r="E1030" s="349" t="s">
        <v>1197</v>
      </c>
      <c r="F1030" s="717" t="s">
        <v>158</v>
      </c>
      <c r="G1030" s="718"/>
      <c r="H1030" s="718"/>
      <c r="I1030" s="718"/>
      <c r="J1030" s="64"/>
      <c r="K1030" s="350">
        <f>K473+K177*-1+K480+K180*-1</f>
        <v>734.80200000000002</v>
      </c>
      <c r="L1030" s="196"/>
      <c r="M1030" s="196"/>
      <c r="R1030" s="249"/>
      <c r="T1030" s="45"/>
      <c r="V1030" s="402"/>
      <c r="W1030" s="42"/>
      <c r="X1030" s="42"/>
    </row>
    <row r="1031" spans="2:24">
      <c r="B1031" s="274"/>
      <c r="C1031" s="275"/>
      <c r="D1031" s="275"/>
      <c r="E1031" s="275"/>
      <c r="F1031" s="275"/>
      <c r="G1031" s="275"/>
      <c r="H1031" s="275"/>
      <c r="I1031" s="275"/>
      <c r="J1031" s="67"/>
      <c r="K1031" s="275"/>
      <c r="L1031" s="275"/>
      <c r="M1031" s="275"/>
      <c r="N1031" s="275"/>
      <c r="O1031" s="275"/>
      <c r="P1031" s="275"/>
      <c r="Q1031" s="275"/>
      <c r="R1031" s="276"/>
      <c r="T1031" s="45"/>
    </row>
    <row r="1032" spans="2:24">
      <c r="J1032" s="68"/>
      <c r="T1032" s="45"/>
    </row>
    <row r="1033" spans="2:24">
      <c r="J1033" s="68"/>
      <c r="T1033" s="45"/>
    </row>
    <row r="1034" spans="2:24">
      <c r="J1034" s="68"/>
      <c r="T1034" s="45"/>
    </row>
  </sheetData>
  <sheetProtection algorithmName="SHA-512" hashValue="ZKDVrqDGV0tS18P6Sdu+4RT9SCObS5aUlmHuj5bxSCE/Cnr7r4Z7v75HC19KQxHX5999OJ9tr8QoQqh9YqWbIw==" saltValue="eR1dyW+bWRMXCmStKDZXUQ==" spinCount="100000" sheet="1"/>
  <mergeCells count="1814">
    <mergeCell ref="F157:I157"/>
    <mergeCell ref="L157:M157"/>
    <mergeCell ref="N157:Q157"/>
    <mergeCell ref="F158:I158"/>
    <mergeCell ref="F380:I380"/>
    <mergeCell ref="F159:I159"/>
    <mergeCell ref="L159:M159"/>
    <mergeCell ref="N159:Q159"/>
    <mergeCell ref="F160:I160"/>
    <mergeCell ref="F391:I391"/>
    <mergeCell ref="F167:I167"/>
    <mergeCell ref="F161:I161"/>
    <mergeCell ref="L161:M161"/>
    <mergeCell ref="N161:Q161"/>
    <mergeCell ref="F162:I162"/>
    <mergeCell ref="F163:I163"/>
    <mergeCell ref="F164:I164"/>
    <mergeCell ref="F390:I390"/>
    <mergeCell ref="F942:I942"/>
    <mergeCell ref="L942:M942"/>
    <mergeCell ref="N942:Q942"/>
    <mergeCell ref="F937:I937"/>
    <mergeCell ref="L937:M937"/>
    <mergeCell ref="N937:Q937"/>
    <mergeCell ref="F960:I960"/>
    <mergeCell ref="L960:M960"/>
    <mergeCell ref="F943:I943"/>
    <mergeCell ref="F413:I413"/>
    <mergeCell ref="F178:I178"/>
    <mergeCell ref="F181:I181"/>
    <mergeCell ref="F183:I183"/>
    <mergeCell ref="F198:I198"/>
    <mergeCell ref="E200:I200"/>
    <mergeCell ref="F201:I201"/>
    <mergeCell ref="F206:I206"/>
    <mergeCell ref="L206:M206"/>
    <mergeCell ref="N206:Q206"/>
    <mergeCell ref="F207:I207"/>
    <mergeCell ref="F393:I393"/>
    <mergeCell ref="F394:I394"/>
    <mergeCell ref="L394:M394"/>
    <mergeCell ref="F410:I410"/>
    <mergeCell ref="F848:I848"/>
    <mergeCell ref="L848:M848"/>
    <mergeCell ref="N848:Q848"/>
    <mergeCell ref="F1027:I1027"/>
    <mergeCell ref="L1027:M1027"/>
    <mergeCell ref="N1027:Q1027"/>
    <mergeCell ref="F1023:I1023"/>
    <mergeCell ref="F1024:I1024"/>
    <mergeCell ref="F1026:I1026"/>
    <mergeCell ref="F1025:I1025"/>
    <mergeCell ref="F1015:I1015"/>
    <mergeCell ref="L1015:M1015"/>
    <mergeCell ref="N1015:Q1015"/>
    <mergeCell ref="F924:I924"/>
    <mergeCell ref="N945:Q945"/>
    <mergeCell ref="F946:I946"/>
    <mergeCell ref="L946:M946"/>
    <mergeCell ref="N946:Q946"/>
    <mergeCell ref="F947:I947"/>
    <mergeCell ref="F948:I948"/>
    <mergeCell ref="L943:M943"/>
    <mergeCell ref="F1005:I1005"/>
    <mergeCell ref="N943:Q943"/>
    <mergeCell ref="L817:M817"/>
    <mergeCell ref="N817:Q817"/>
    <mergeCell ref="F818:I818"/>
    <mergeCell ref="L818:M818"/>
    <mergeCell ref="N818:Q818"/>
    <mergeCell ref="F949:I949"/>
    <mergeCell ref="L934:M934"/>
    <mergeCell ref="F932:I932"/>
    <mergeCell ref="F1030:I1030"/>
    <mergeCell ref="F971:I971"/>
    <mergeCell ref="F972:I972"/>
    <mergeCell ref="F974:I974"/>
    <mergeCell ref="L974:M974"/>
    <mergeCell ref="N974:Q974"/>
    <mergeCell ref="F975:I975"/>
    <mergeCell ref="L975:M975"/>
    <mergeCell ref="N975:Q975"/>
    <mergeCell ref="F976:I976"/>
    <mergeCell ref="L976:M976"/>
    <mergeCell ref="N976:Q976"/>
    <mergeCell ref="F1028:I1028"/>
    <mergeCell ref="L1022:M1022"/>
    <mergeCell ref="N1022:Q1022"/>
    <mergeCell ref="N1017:Q1017"/>
    <mergeCell ref="F1018:I1018"/>
    <mergeCell ref="F1003:I1003"/>
    <mergeCell ref="L1003:M1003"/>
    <mergeCell ref="N1003:Q1003"/>
    <mergeCell ref="F1002:I1002"/>
    <mergeCell ref="F996:I996"/>
    <mergeCell ref="F1019:I1019"/>
    <mergeCell ref="L1005:M1005"/>
    <mergeCell ref="N999:Q999"/>
    <mergeCell ref="N1000:Q1000"/>
    <mergeCell ref="N1005:Q1005"/>
    <mergeCell ref="L1012:M1012"/>
    <mergeCell ref="F1020:I1020"/>
    <mergeCell ref="F1021:I1021"/>
    <mergeCell ref="F1022:I1022"/>
    <mergeCell ref="N854:Q854"/>
    <mergeCell ref="N841:Q841"/>
    <mergeCell ref="F846:I846"/>
    <mergeCell ref="F843:I843"/>
    <mergeCell ref="F855:I855"/>
    <mergeCell ref="N878:Q878"/>
    <mergeCell ref="F879:I879"/>
    <mergeCell ref="F880:I880"/>
    <mergeCell ref="F873:I873"/>
    <mergeCell ref="F1006:I1006"/>
    <mergeCell ref="N873:Q873"/>
    <mergeCell ref="F874:I874"/>
    <mergeCell ref="F875:I875"/>
    <mergeCell ref="F869:I869"/>
    <mergeCell ref="L855:M855"/>
    <mergeCell ref="N855:Q855"/>
    <mergeCell ref="F1029:I1029"/>
    <mergeCell ref="L1029:M1029"/>
    <mergeCell ref="N1029:Q1029"/>
    <mergeCell ref="F961:I961"/>
    <mergeCell ref="F963:I963"/>
    <mergeCell ref="L963:M963"/>
    <mergeCell ref="N963:Q963"/>
    <mergeCell ref="F958:I958"/>
    <mergeCell ref="L958:M958"/>
    <mergeCell ref="N958:Q958"/>
    <mergeCell ref="L939:M939"/>
    <mergeCell ref="N939:Q939"/>
    <mergeCell ref="F940:I940"/>
    <mergeCell ref="F941:I941"/>
    <mergeCell ref="L941:M941"/>
    <mergeCell ref="N941:Q941"/>
    <mergeCell ref="L796:M796"/>
    <mergeCell ref="N796:Q796"/>
    <mergeCell ref="F786:I786"/>
    <mergeCell ref="L786:M786"/>
    <mergeCell ref="N786:Q786"/>
    <mergeCell ref="F792:I792"/>
    <mergeCell ref="L839:M839"/>
    <mergeCell ref="N839:Q839"/>
    <mergeCell ref="L795:M795"/>
    <mergeCell ref="L996:M996"/>
    <mergeCell ref="E815:I815"/>
    <mergeCell ref="L815:M815"/>
    <mergeCell ref="F822:I822"/>
    <mergeCell ref="L822:M822"/>
    <mergeCell ref="N776:Q776"/>
    <mergeCell ref="F772:I772"/>
    <mergeCell ref="N822:Q822"/>
    <mergeCell ref="F821:I821"/>
    <mergeCell ref="F882:I882"/>
    <mergeCell ref="L882:M882"/>
    <mergeCell ref="N882:Q882"/>
    <mergeCell ref="N884:Q884"/>
    <mergeCell ref="F835:I835"/>
    <mergeCell ref="L835:M835"/>
    <mergeCell ref="N835:Q835"/>
    <mergeCell ref="L837:M837"/>
    <mergeCell ref="N837:Q837"/>
    <mergeCell ref="F838:I838"/>
    <mergeCell ref="F842:I842"/>
    <mergeCell ref="F853:I853"/>
    <mergeCell ref="F854:I854"/>
    <mergeCell ref="L854:M854"/>
    <mergeCell ref="F791:I791"/>
    <mergeCell ref="F790:I790"/>
    <mergeCell ref="L790:M790"/>
    <mergeCell ref="N790:Q790"/>
    <mergeCell ref="L678:M678"/>
    <mergeCell ref="N678:Q678"/>
    <mergeCell ref="F679:I679"/>
    <mergeCell ref="L679:M679"/>
    <mergeCell ref="F748:I748"/>
    <mergeCell ref="L873:M873"/>
    <mergeCell ref="N759:Q759"/>
    <mergeCell ref="F765:I765"/>
    <mergeCell ref="F766:I766"/>
    <mergeCell ref="F767:I767"/>
    <mergeCell ref="L767:M767"/>
    <mergeCell ref="N767:Q767"/>
    <mergeCell ref="F856:I856"/>
    <mergeCell ref="F857:I857"/>
    <mergeCell ref="F832:I832"/>
    <mergeCell ref="L832:M832"/>
    <mergeCell ref="N832:Q832"/>
    <mergeCell ref="F833:I833"/>
    <mergeCell ref="F830:I830"/>
    <mergeCell ref="L830:M830"/>
    <mergeCell ref="N830:Q830"/>
    <mergeCell ref="F831:I831"/>
    <mergeCell ref="N771:Q771"/>
    <mergeCell ref="L769:M769"/>
    <mergeCell ref="E777:I777"/>
    <mergeCell ref="L777:M777"/>
    <mergeCell ref="N777:Q777"/>
    <mergeCell ref="N769:Q769"/>
    <mergeCell ref="E653:I653"/>
    <mergeCell ref="L653:M653"/>
    <mergeCell ref="F742:I742"/>
    <mergeCell ref="L742:M742"/>
    <mergeCell ref="N742:Q742"/>
    <mergeCell ref="L776:M776"/>
    <mergeCell ref="L752:M752"/>
    <mergeCell ref="N752:Q752"/>
    <mergeCell ref="F737:I737"/>
    <mergeCell ref="L747:M747"/>
    <mergeCell ref="N747:Q747"/>
    <mergeCell ref="L765:M765"/>
    <mergeCell ref="N653:Q653"/>
    <mergeCell ref="F655:I655"/>
    <mergeCell ref="L655:M655"/>
    <mergeCell ref="F735:I735"/>
    <mergeCell ref="L659:M659"/>
    <mergeCell ref="N659:Q659"/>
    <mergeCell ref="F660:I660"/>
    <mergeCell ref="F769:I769"/>
    <mergeCell ref="F736:I736"/>
    <mergeCell ref="N765:Q765"/>
    <mergeCell ref="L756:M756"/>
    <mergeCell ref="N756:Q756"/>
    <mergeCell ref="E698:I698"/>
    <mergeCell ref="L707:M707"/>
    <mergeCell ref="N707:Q707"/>
    <mergeCell ref="F760:I760"/>
    <mergeCell ref="N799:Q799"/>
    <mergeCell ref="L800:M800"/>
    <mergeCell ref="N800:Q800"/>
    <mergeCell ref="F802:I802"/>
    <mergeCell ref="L802:M802"/>
    <mergeCell ref="N802:Q802"/>
    <mergeCell ref="F794:I794"/>
    <mergeCell ref="F795:I795"/>
    <mergeCell ref="N795:Q795"/>
    <mergeCell ref="F796:I796"/>
    <mergeCell ref="L760:M760"/>
    <mergeCell ref="N760:Q760"/>
    <mergeCell ref="L770:M770"/>
    <mergeCell ref="N770:Q770"/>
    <mergeCell ref="F771:I771"/>
    <mergeCell ref="F768:I768"/>
    <mergeCell ref="L768:M768"/>
    <mergeCell ref="F788:I788"/>
    <mergeCell ref="F785:I785"/>
    <mergeCell ref="F784:I784"/>
    <mergeCell ref="L771:M771"/>
    <mergeCell ref="F793:I793"/>
    <mergeCell ref="L793:M793"/>
    <mergeCell ref="N793:Q793"/>
    <mergeCell ref="N785:Q785"/>
    <mergeCell ref="F789:I789"/>
    <mergeCell ref="L789:M789"/>
    <mergeCell ref="N789:Q789"/>
    <mergeCell ref="N778:Q778"/>
    <mergeCell ref="L788:M788"/>
    <mergeCell ref="N788:Q788"/>
    <mergeCell ref="F787:I787"/>
    <mergeCell ref="F489:I489"/>
    <mergeCell ref="F504:I504"/>
    <mergeCell ref="L504:M504"/>
    <mergeCell ref="N504:Q504"/>
    <mergeCell ref="F505:I505"/>
    <mergeCell ref="L505:M505"/>
    <mergeCell ref="N505:Q505"/>
    <mergeCell ref="F482:I482"/>
    <mergeCell ref="F486:I486"/>
    <mergeCell ref="F498:I498"/>
    <mergeCell ref="F497:I497"/>
    <mergeCell ref="F499:I499"/>
    <mergeCell ref="F495:I495"/>
    <mergeCell ref="L495:M495"/>
    <mergeCell ref="N495:Q495"/>
    <mergeCell ref="F522:I522"/>
    <mergeCell ref="L522:M522"/>
    <mergeCell ref="F485:I485"/>
    <mergeCell ref="F484:I484"/>
    <mergeCell ref="L484:M484"/>
    <mergeCell ref="N484:Q484"/>
    <mergeCell ref="N493:Q493"/>
    <mergeCell ref="F494:I494"/>
    <mergeCell ref="F491:I491"/>
    <mergeCell ref="F487:I487"/>
    <mergeCell ref="L487:M487"/>
    <mergeCell ref="N487:Q487"/>
    <mergeCell ref="F500:I500"/>
    <mergeCell ref="F507:I507"/>
    <mergeCell ref="F496:I496"/>
    <mergeCell ref="L497:M497"/>
    <mergeCell ref="N497:Q497"/>
    <mergeCell ref="F469:I469"/>
    <mergeCell ref="L469:M469"/>
    <mergeCell ref="N469:Q469"/>
    <mergeCell ref="F490:I490"/>
    <mergeCell ref="N819:Q819"/>
    <mergeCell ref="F779:I779"/>
    <mergeCell ref="F780:I780"/>
    <mergeCell ref="L783:M783"/>
    <mergeCell ref="N783:Q783"/>
    <mergeCell ref="F740:I740"/>
    <mergeCell ref="L740:M740"/>
    <mergeCell ref="N740:Q740"/>
    <mergeCell ref="F741:I741"/>
    <mergeCell ref="L741:M741"/>
    <mergeCell ref="N741:Q741"/>
    <mergeCell ref="N815:Q815"/>
    <mergeCell ref="F817:I817"/>
    <mergeCell ref="L797:M797"/>
    <mergeCell ref="N797:Q797"/>
    <mergeCell ref="F799:I799"/>
    <mergeCell ref="E819:I819"/>
    <mergeCell ref="L819:M819"/>
    <mergeCell ref="L780:M780"/>
    <mergeCell ref="N780:Q780"/>
    <mergeCell ref="F774:I774"/>
    <mergeCell ref="F801:I801"/>
    <mergeCell ref="F751:I751"/>
    <mergeCell ref="N804:Q804"/>
    <mergeCell ref="F773:I773"/>
    <mergeCell ref="L773:M773"/>
    <mergeCell ref="N773:Q773"/>
    <mergeCell ref="L791:M791"/>
    <mergeCell ref="N459:Q459"/>
    <mergeCell ref="N522:Q522"/>
    <mergeCell ref="F493:I493"/>
    <mergeCell ref="L493:M493"/>
    <mergeCell ref="F711:I711"/>
    <mergeCell ref="L704:M704"/>
    <mergeCell ref="F734:I734"/>
    <mergeCell ref="F470:I470"/>
    <mergeCell ref="L470:M470"/>
    <mergeCell ref="N470:Q470"/>
    <mergeCell ref="F472:I472"/>
    <mergeCell ref="L439:M439"/>
    <mergeCell ref="N439:Q439"/>
    <mergeCell ref="L472:M472"/>
    <mergeCell ref="F479:I479"/>
    <mergeCell ref="F610:I610"/>
    <mergeCell ref="F473:I473"/>
    <mergeCell ref="F480:I480"/>
    <mergeCell ref="F580:I580"/>
    <mergeCell ref="L580:M580"/>
    <mergeCell ref="N580:Q580"/>
    <mergeCell ref="F581:I581"/>
    <mergeCell ref="F585:I585"/>
    <mergeCell ref="L585:M585"/>
    <mergeCell ref="N585:Q585"/>
    <mergeCell ref="F586:I586"/>
    <mergeCell ref="F521:I521"/>
    <mergeCell ref="L507:M507"/>
    <mergeCell ref="F501:I501"/>
    <mergeCell ref="F481:I481"/>
    <mergeCell ref="F465:I465"/>
    <mergeCell ref="F467:I467"/>
    <mergeCell ref="N655:Q655"/>
    <mergeCell ref="F659:I659"/>
    <mergeCell ref="F744:I744"/>
    <mergeCell ref="L744:M744"/>
    <mergeCell ref="F803:I803"/>
    <mergeCell ref="L803:M803"/>
    <mergeCell ref="N803:Q803"/>
    <mergeCell ref="E797:I797"/>
    <mergeCell ref="F781:I781"/>
    <mergeCell ref="L781:M781"/>
    <mergeCell ref="N781:Q781"/>
    <mergeCell ref="E782:I782"/>
    <mergeCell ref="L782:M782"/>
    <mergeCell ref="N782:Q782"/>
    <mergeCell ref="F783:I783"/>
    <mergeCell ref="F775:I775"/>
    <mergeCell ref="L775:M775"/>
    <mergeCell ref="N775:Q775"/>
    <mergeCell ref="F776:I776"/>
    <mergeCell ref="L785:M785"/>
    <mergeCell ref="N768:Q768"/>
    <mergeCell ref="F770:I770"/>
    <mergeCell ref="N791:Q791"/>
    <mergeCell ref="L751:M751"/>
    <mergeCell ref="N751:Q751"/>
    <mergeCell ref="F749:I749"/>
    <mergeCell ref="L748:M748"/>
    <mergeCell ref="N748:Q748"/>
    <mergeCell ref="F757:I757"/>
    <mergeCell ref="L757:M757"/>
    <mergeCell ref="N757:Q757"/>
    <mergeCell ref="L799:M799"/>
    <mergeCell ref="N472:Q472"/>
    <mergeCell ref="L479:M479"/>
    <mergeCell ref="N479:Q479"/>
    <mergeCell ref="F477:I477"/>
    <mergeCell ref="L477:M477"/>
    <mergeCell ref="N477:Q477"/>
    <mergeCell ref="F478:I478"/>
    <mergeCell ref="F474:I474"/>
    <mergeCell ref="F475:I475"/>
    <mergeCell ref="F428:I428"/>
    <mergeCell ref="F430:I430"/>
    <mergeCell ref="L430:M430"/>
    <mergeCell ref="N430:Q430"/>
    <mergeCell ref="F431:I431"/>
    <mergeCell ref="L431:M431"/>
    <mergeCell ref="N431:Q431"/>
    <mergeCell ref="F432:I432"/>
    <mergeCell ref="L432:M432"/>
    <mergeCell ref="N432:Q432"/>
    <mergeCell ref="F444:I444"/>
    <mergeCell ref="L444:M444"/>
    <mergeCell ref="N444:Q444"/>
    <mergeCell ref="F445:I445"/>
    <mergeCell ref="F429:I429"/>
    <mergeCell ref="F433:I433"/>
    <mergeCell ref="L433:M433"/>
    <mergeCell ref="N453:Q453"/>
    <mergeCell ref="F452:I452"/>
    <mergeCell ref="F454:I454"/>
    <mergeCell ref="F458:I458"/>
    <mergeCell ref="F459:I459"/>
    <mergeCell ref="L459:M459"/>
    <mergeCell ref="L435:M435"/>
    <mergeCell ref="N435:Q435"/>
    <mergeCell ref="F436:I436"/>
    <mergeCell ref="F437:I437"/>
    <mergeCell ref="L437:M437"/>
    <mergeCell ref="N437:Q437"/>
    <mergeCell ref="F440:I440"/>
    <mergeCell ref="N438:Q438"/>
    <mergeCell ref="F439:I439"/>
    <mergeCell ref="L440:M440"/>
    <mergeCell ref="N440:Q440"/>
    <mergeCell ref="F438:I438"/>
    <mergeCell ref="L438:M438"/>
    <mergeCell ref="F457:I457"/>
    <mergeCell ref="F455:I455"/>
    <mergeCell ref="L457:M457"/>
    <mergeCell ref="N457:Q457"/>
    <mergeCell ref="F448:I448"/>
    <mergeCell ref="L448:M448"/>
    <mergeCell ref="N448:Q448"/>
    <mergeCell ref="F449:I449"/>
    <mergeCell ref="F450:I450"/>
    <mergeCell ref="L450:M450"/>
    <mergeCell ref="N450:Q450"/>
    <mergeCell ref="F451:I451"/>
    <mergeCell ref="F446:I446"/>
    <mergeCell ref="L446:M446"/>
    <mergeCell ref="N446:Q446"/>
    <mergeCell ref="F447:I447"/>
    <mergeCell ref="F453:I453"/>
    <mergeCell ref="L453:M453"/>
    <mergeCell ref="N433:Q433"/>
    <mergeCell ref="F434:I434"/>
    <mergeCell ref="L434:M434"/>
    <mergeCell ref="N434:Q434"/>
    <mergeCell ref="F441:I441"/>
    <mergeCell ref="F443:I443"/>
    <mergeCell ref="L443:M443"/>
    <mergeCell ref="N443:Q443"/>
    <mergeCell ref="F442:I442"/>
    <mergeCell ref="F435:I435"/>
    <mergeCell ref="F384:I384"/>
    <mergeCell ref="F423:I423"/>
    <mergeCell ref="N418:Q418"/>
    <mergeCell ref="F419:I419"/>
    <mergeCell ref="F407:I407"/>
    <mergeCell ref="F411:I411"/>
    <mergeCell ref="L424:M424"/>
    <mergeCell ref="N424:Q424"/>
    <mergeCell ref="N399:Q399"/>
    <mergeCell ref="F403:I403"/>
    <mergeCell ref="L403:M403"/>
    <mergeCell ref="N403:Q403"/>
    <mergeCell ref="F404:I404"/>
    <mergeCell ref="F405:I405"/>
    <mergeCell ref="F406:I406"/>
    <mergeCell ref="F388:I388"/>
    <mergeCell ref="L388:M388"/>
    <mergeCell ref="N388:Q388"/>
    <mergeCell ref="F389:I389"/>
    <mergeCell ref="F392:I392"/>
    <mergeCell ref="L392:M392"/>
    <mergeCell ref="N392:Q392"/>
    <mergeCell ref="N394:Q394"/>
    <mergeCell ref="F395:I395"/>
    <mergeCell ref="F396:I396"/>
    <mergeCell ref="L407:M407"/>
    <mergeCell ref="N407:Q407"/>
    <mergeCell ref="F408:I408"/>
    <mergeCell ref="N369:Q369"/>
    <mergeCell ref="F367:I367"/>
    <mergeCell ref="F369:I369"/>
    <mergeCell ref="F370:I370"/>
    <mergeCell ref="F372:I372"/>
    <mergeCell ref="N368:Q368"/>
    <mergeCell ref="F374:I374"/>
    <mergeCell ref="L374:M374"/>
    <mergeCell ref="N374:Q374"/>
    <mergeCell ref="F375:I375"/>
    <mergeCell ref="F381:I381"/>
    <mergeCell ref="L381:M381"/>
    <mergeCell ref="N381:Q381"/>
    <mergeCell ref="F382:I382"/>
    <mergeCell ref="F379:I379"/>
    <mergeCell ref="F383:I383"/>
    <mergeCell ref="L383:M383"/>
    <mergeCell ref="N383:Q383"/>
    <mergeCell ref="F377:I377"/>
    <mergeCell ref="F905:I905"/>
    <mergeCell ref="L905:M905"/>
    <mergeCell ref="N905:Q905"/>
    <mergeCell ref="F917:I917"/>
    <mergeCell ref="F906:I906"/>
    <mergeCell ref="F907:I907"/>
    <mergeCell ref="F909:I909"/>
    <mergeCell ref="F908:I908"/>
    <mergeCell ref="L908:M908"/>
    <mergeCell ref="N908:Q908"/>
    <mergeCell ref="F910:I910"/>
    <mergeCell ref="F912:I912"/>
    <mergeCell ref="F913:I913"/>
    <mergeCell ref="F914:I914"/>
    <mergeCell ref="F916:I916"/>
    <mergeCell ref="L916:M916"/>
    <mergeCell ref="L917:M917"/>
    <mergeCell ref="N917:Q917"/>
    <mergeCell ref="F915:I915"/>
    <mergeCell ref="M29:P29"/>
    <mergeCell ref="M32:P32"/>
    <mergeCell ref="H34:J34"/>
    <mergeCell ref="M34:P34"/>
    <mergeCell ref="H35:J35"/>
    <mergeCell ref="F903:I903"/>
    <mergeCell ref="N916:Q916"/>
    <mergeCell ref="L1001:M1001"/>
    <mergeCell ref="N1001:Q1001"/>
    <mergeCell ref="F1004:I1004"/>
    <mergeCell ref="L1004:M1004"/>
    <mergeCell ref="N1004:Q1004"/>
    <mergeCell ref="F1001:I1001"/>
    <mergeCell ref="F859:I859"/>
    <mergeCell ref="F881:I881"/>
    <mergeCell ref="L881:M881"/>
    <mergeCell ref="N881:Q881"/>
    <mergeCell ref="F883:I883"/>
    <mergeCell ref="L883:M883"/>
    <mergeCell ref="N883:Q883"/>
    <mergeCell ref="F868:I868"/>
    <mergeCell ref="L868:M868"/>
    <mergeCell ref="N868:Q868"/>
    <mergeCell ref="F929:I929"/>
    <mergeCell ref="F930:I930"/>
    <mergeCell ref="L930:M930"/>
    <mergeCell ref="N930:Q930"/>
    <mergeCell ref="F931:I931"/>
    <mergeCell ref="L931:M931"/>
    <mergeCell ref="N931:Q931"/>
    <mergeCell ref="F934:I934"/>
    <mergeCell ref="N920:Q920"/>
    <mergeCell ref="C2:Q2"/>
    <mergeCell ref="F4:P4"/>
    <mergeCell ref="F5:P5"/>
    <mergeCell ref="O7:P7"/>
    <mergeCell ref="O9:P9"/>
    <mergeCell ref="O10:P10"/>
    <mergeCell ref="O19:P19"/>
    <mergeCell ref="O21:P21"/>
    <mergeCell ref="E22:P22"/>
    <mergeCell ref="D25:E25"/>
    <mergeCell ref="G25:P25"/>
    <mergeCell ref="D26:E26"/>
    <mergeCell ref="G26:P26"/>
    <mergeCell ref="F12:I12"/>
    <mergeCell ref="O12:P12"/>
    <mergeCell ref="O13:P13"/>
    <mergeCell ref="O15:P15"/>
    <mergeCell ref="O16:P16"/>
    <mergeCell ref="O18:P18"/>
    <mergeCell ref="M35:P35"/>
    <mergeCell ref="N109:Q109"/>
    <mergeCell ref="N110:Q110"/>
    <mergeCell ref="N112:Q112"/>
    <mergeCell ref="N113:Q113"/>
    <mergeCell ref="N114:Q114"/>
    <mergeCell ref="M83:Q83"/>
    <mergeCell ref="C85:G85"/>
    <mergeCell ref="N85:Q85"/>
    <mergeCell ref="N106:Q106"/>
    <mergeCell ref="N107:Q107"/>
    <mergeCell ref="N108:Q108"/>
    <mergeCell ref="N111:Q111"/>
    <mergeCell ref="N121:Q121"/>
    <mergeCell ref="N124:Q124"/>
    <mergeCell ref="N125:Q125"/>
    <mergeCell ref="N127:Q127"/>
    <mergeCell ref="L37:P37"/>
    <mergeCell ref="C75:Q75"/>
    <mergeCell ref="F77:P77"/>
    <mergeCell ref="F78:P78"/>
    <mergeCell ref="M80:P80"/>
    <mergeCell ref="M82:Q82"/>
    <mergeCell ref="N103:Q103"/>
    <mergeCell ref="N104:Q104"/>
    <mergeCell ref="N101:Q101"/>
    <mergeCell ref="N129:Q129"/>
    <mergeCell ref="N130:Q130"/>
    <mergeCell ref="N115:Q115"/>
    <mergeCell ref="N116:Q116"/>
    <mergeCell ref="N117:Q117"/>
    <mergeCell ref="N118:Q118"/>
    <mergeCell ref="N119:Q119"/>
    <mergeCell ref="N120:Q120"/>
    <mergeCell ref="N126:Q126"/>
    <mergeCell ref="N128:Q128"/>
    <mergeCell ref="M146:Q146"/>
    <mergeCell ref="M147:Q147"/>
    <mergeCell ref="F148:P148"/>
    <mergeCell ref="N122:Q122"/>
    <mergeCell ref="N123:Q123"/>
    <mergeCell ref="F149:P149"/>
    <mergeCell ref="F151:I151"/>
    <mergeCell ref="L151:M151"/>
    <mergeCell ref="N151:Q151"/>
    <mergeCell ref="N131:Q131"/>
    <mergeCell ref="L133:Q133"/>
    <mergeCell ref="C139:Q139"/>
    <mergeCell ref="F141:P141"/>
    <mergeCell ref="F142:P142"/>
    <mergeCell ref="M144:P144"/>
    <mergeCell ref="F313:I313"/>
    <mergeCell ref="F320:I320"/>
    <mergeCell ref="L320:M320"/>
    <mergeCell ref="N320:Q320"/>
    <mergeCell ref="F321:I321"/>
    <mergeCell ref="F322:I322"/>
    <mergeCell ref="N309:Q309"/>
    <mergeCell ref="N310:Q310"/>
    <mergeCell ref="N311:Q311"/>
    <mergeCell ref="F312:I312"/>
    <mergeCell ref="L312:M312"/>
    <mergeCell ref="N312:Q312"/>
    <mergeCell ref="L322:M322"/>
    <mergeCell ref="N322:Q322"/>
    <mergeCell ref="F318:I318"/>
    <mergeCell ref="L318:M318"/>
    <mergeCell ref="N318:Q318"/>
    <mergeCell ref="F319:I319"/>
    <mergeCell ref="F314:I314"/>
    <mergeCell ref="F315:I315"/>
    <mergeCell ref="L315:M315"/>
    <mergeCell ref="N315:Q315"/>
    <mergeCell ref="F316:I316"/>
    <mergeCell ref="F317:I317"/>
    <mergeCell ref="F323:I323"/>
    <mergeCell ref="F324:I324"/>
    <mergeCell ref="F325:I325"/>
    <mergeCell ref="L324:M324"/>
    <mergeCell ref="N324:Q324"/>
    <mergeCell ref="L326:M326"/>
    <mergeCell ref="N326:Q326"/>
    <mergeCell ref="F366:I366"/>
    <mergeCell ref="L366:M366"/>
    <mergeCell ref="N366:Q366"/>
    <mergeCell ref="N332:Q332"/>
    <mergeCell ref="F354:I354"/>
    <mergeCell ref="L354:M354"/>
    <mergeCell ref="N354:Q354"/>
    <mergeCell ref="F355:I355"/>
    <mergeCell ref="F356:I356"/>
    <mergeCell ref="L356:M356"/>
    <mergeCell ref="N356:Q356"/>
    <mergeCell ref="F357:I357"/>
    <mergeCell ref="F358:I358"/>
    <mergeCell ref="F364:I364"/>
    <mergeCell ref="F330:I330"/>
    <mergeCell ref="F331:I331"/>
    <mergeCell ref="L350:M350"/>
    <mergeCell ref="F361:I361"/>
    <mergeCell ref="F362:I362"/>
    <mergeCell ref="L362:M362"/>
    <mergeCell ref="N362:Q362"/>
    <mergeCell ref="F363:I363"/>
    <mergeCell ref="L364:M364"/>
    <mergeCell ref="N364:Q364"/>
    <mergeCell ref="F365:I365"/>
    <mergeCell ref="F326:I326"/>
    <mergeCell ref="F327:I327"/>
    <mergeCell ref="L327:M327"/>
    <mergeCell ref="N327:Q327"/>
    <mergeCell ref="F328:I328"/>
    <mergeCell ref="F329:I329"/>
    <mergeCell ref="L329:M329"/>
    <mergeCell ref="N329:Q329"/>
    <mergeCell ref="F385:I385"/>
    <mergeCell ref="L385:M385"/>
    <mergeCell ref="N385:Q385"/>
    <mergeCell ref="F386:I386"/>
    <mergeCell ref="F387:I387"/>
    <mergeCell ref="F400:I400"/>
    <mergeCell ref="F401:I401"/>
    <mergeCell ref="F397:I397"/>
    <mergeCell ref="L397:M397"/>
    <mergeCell ref="N397:Q397"/>
    <mergeCell ref="F398:I398"/>
    <mergeCell ref="F399:I399"/>
    <mergeCell ref="L399:M399"/>
    <mergeCell ref="F351:I351"/>
    <mergeCell ref="F344:I344"/>
    <mergeCell ref="L344:M344"/>
    <mergeCell ref="N344:Q344"/>
    <mergeCell ref="F346:I346"/>
    <mergeCell ref="F347:I347"/>
    <mergeCell ref="L347:M347"/>
    <mergeCell ref="F371:I371"/>
    <mergeCell ref="F376:I376"/>
    <mergeCell ref="F378:I378"/>
    <mergeCell ref="L369:M369"/>
    <mergeCell ref="F409:I409"/>
    <mergeCell ref="F417:I417"/>
    <mergeCell ref="F412:I412"/>
    <mergeCell ref="F414:I414"/>
    <mergeCell ref="L414:M414"/>
    <mergeCell ref="N414:Q414"/>
    <mergeCell ref="F415:I415"/>
    <mergeCell ref="F416:I416"/>
    <mergeCell ref="N471:Q471"/>
    <mergeCell ref="F461:I461"/>
    <mergeCell ref="F466:I466"/>
    <mergeCell ref="L419:M419"/>
    <mergeCell ref="N419:Q419"/>
    <mergeCell ref="F420:I420"/>
    <mergeCell ref="F421:I421"/>
    <mergeCell ref="F422:I422"/>
    <mergeCell ref="L422:M422"/>
    <mergeCell ref="N422:Q422"/>
    <mergeCell ref="F425:I425"/>
    <mergeCell ref="F427:I427"/>
    <mergeCell ref="L427:M427"/>
    <mergeCell ref="N427:Q427"/>
    <mergeCell ref="F424:I424"/>
    <mergeCell ref="F426:I426"/>
    <mergeCell ref="F460:I460"/>
    <mergeCell ref="F464:I464"/>
    <mergeCell ref="L464:M464"/>
    <mergeCell ref="N464:Q464"/>
    <mergeCell ref="F462:I462"/>
    <mergeCell ref="F456:I456"/>
    <mergeCell ref="L456:M456"/>
    <mergeCell ref="N456:Q456"/>
    <mergeCell ref="L499:M499"/>
    <mergeCell ref="N499:Q499"/>
    <mergeCell ref="N562:Q562"/>
    <mergeCell ref="F528:I528"/>
    <mergeCell ref="F529:I529"/>
    <mergeCell ref="F534:I534"/>
    <mergeCell ref="F545:I545"/>
    <mergeCell ref="F546:I546"/>
    <mergeCell ref="N547:Q547"/>
    <mergeCell ref="F538:I538"/>
    <mergeCell ref="F549:I549"/>
    <mergeCell ref="F552:I552"/>
    <mergeCell ref="F553:I553"/>
    <mergeCell ref="F512:I512"/>
    <mergeCell ref="F513:I513"/>
    <mergeCell ref="F541:I541"/>
    <mergeCell ref="L501:M501"/>
    <mergeCell ref="F530:I530"/>
    <mergeCell ref="F535:I535"/>
    <mergeCell ref="F516:I516"/>
    <mergeCell ref="F517:I517"/>
    <mergeCell ref="F518:I518"/>
    <mergeCell ref="E526:I526"/>
    <mergeCell ref="N554:Q554"/>
    <mergeCell ref="F527:I527"/>
    <mergeCell ref="F488:I488"/>
    <mergeCell ref="F563:I563"/>
    <mergeCell ref="F550:I550"/>
    <mergeCell ref="F564:I564"/>
    <mergeCell ref="L564:M564"/>
    <mergeCell ref="N564:Q564"/>
    <mergeCell ref="N558:Q558"/>
    <mergeCell ref="F559:I559"/>
    <mergeCell ref="L559:M559"/>
    <mergeCell ref="F536:I536"/>
    <mergeCell ref="F537:I537"/>
    <mergeCell ref="F533:I533"/>
    <mergeCell ref="E532:I532"/>
    <mergeCell ref="F551:I551"/>
    <mergeCell ref="F531:I531"/>
    <mergeCell ref="L541:M541"/>
    <mergeCell ref="N541:Q541"/>
    <mergeCell ref="F548:I548"/>
    <mergeCell ref="F539:I539"/>
    <mergeCell ref="F544:I544"/>
    <mergeCell ref="L544:M544"/>
    <mergeCell ref="N544:Q544"/>
    <mergeCell ref="N559:Q559"/>
    <mergeCell ref="F560:I560"/>
    <mergeCell ref="F555:I555"/>
    <mergeCell ref="L555:M555"/>
    <mergeCell ref="N555:Q555"/>
    <mergeCell ref="F556:I556"/>
    <mergeCell ref="F562:I562"/>
    <mergeCell ref="L562:M562"/>
    <mergeCell ref="F542:I542"/>
    <mergeCell ref="F543:I543"/>
    <mergeCell ref="F576:I576"/>
    <mergeCell ref="L576:M576"/>
    <mergeCell ref="N576:Q576"/>
    <mergeCell ref="F577:I577"/>
    <mergeCell ref="L570:M570"/>
    <mergeCell ref="N570:Q570"/>
    <mergeCell ref="F571:I571"/>
    <mergeCell ref="L571:M571"/>
    <mergeCell ref="N571:Q571"/>
    <mergeCell ref="F565:I565"/>
    <mergeCell ref="F566:I566"/>
    <mergeCell ref="L566:M566"/>
    <mergeCell ref="N566:Q566"/>
    <mergeCell ref="F567:I567"/>
    <mergeCell ref="F568:I568"/>
    <mergeCell ref="L568:M568"/>
    <mergeCell ref="N568:Q568"/>
    <mergeCell ref="F569:I569"/>
    <mergeCell ref="F570:I570"/>
    <mergeCell ref="F620:I620"/>
    <mergeCell ref="F621:I621"/>
    <mergeCell ref="N620:Q620"/>
    <mergeCell ref="F611:I611"/>
    <mergeCell ref="N587:Q587"/>
    <mergeCell ref="F588:I588"/>
    <mergeCell ref="F589:I589"/>
    <mergeCell ref="F590:I590"/>
    <mergeCell ref="F587:I587"/>
    <mergeCell ref="L587:M587"/>
    <mergeCell ref="N616:Q616"/>
    <mergeCell ref="F619:I619"/>
    <mergeCell ref="N572:Q572"/>
    <mergeCell ref="F573:I573"/>
    <mergeCell ref="L573:M573"/>
    <mergeCell ref="N573:Q573"/>
    <mergeCell ref="N574:Q574"/>
    <mergeCell ref="N575:Q575"/>
    <mergeCell ref="F578:I578"/>
    <mergeCell ref="F579:I579"/>
    <mergeCell ref="F584:I584"/>
    <mergeCell ref="F582:I582"/>
    <mergeCell ref="L582:M582"/>
    <mergeCell ref="N582:Q582"/>
    <mergeCell ref="N591:Q591"/>
    <mergeCell ref="L591:M591"/>
    <mergeCell ref="F591:I591"/>
    <mergeCell ref="F596:I596"/>
    <mergeCell ref="F597:I597"/>
    <mergeCell ref="F583:I583"/>
    <mergeCell ref="L583:M583"/>
    <mergeCell ref="N583:Q583"/>
    <mergeCell ref="F618:I618"/>
    <mergeCell ref="F605:I605"/>
    <mergeCell ref="L605:M605"/>
    <mergeCell ref="N605:Q605"/>
    <mergeCell ref="F606:I606"/>
    <mergeCell ref="L606:M606"/>
    <mergeCell ref="N606:Q606"/>
    <mergeCell ref="F607:I607"/>
    <mergeCell ref="L607:M607"/>
    <mergeCell ref="N607:Q607"/>
    <mergeCell ref="N608:Q608"/>
    <mergeCell ref="F595:I595"/>
    <mergeCell ref="F594:I594"/>
    <mergeCell ref="F609:I609"/>
    <mergeCell ref="L609:M609"/>
    <mergeCell ref="N609:Q609"/>
    <mergeCell ref="F617:I617"/>
    <mergeCell ref="L594:M594"/>
    <mergeCell ref="N594:Q594"/>
    <mergeCell ref="F599:I599"/>
    <mergeCell ref="L599:M599"/>
    <mergeCell ref="N599:Q599"/>
    <mergeCell ref="F600:I600"/>
    <mergeCell ref="N641:Q641"/>
    <mergeCell ref="F627:I627"/>
    <mergeCell ref="F624:I624"/>
    <mergeCell ref="L624:M624"/>
    <mergeCell ref="N624:Q624"/>
    <mergeCell ref="F592:I592"/>
    <mergeCell ref="F593:I593"/>
    <mergeCell ref="L593:M593"/>
    <mergeCell ref="N593:Q593"/>
    <mergeCell ref="F601:I601"/>
    <mergeCell ref="L601:M601"/>
    <mergeCell ref="N601:Q601"/>
    <mergeCell ref="L698:M698"/>
    <mergeCell ref="N698:Q698"/>
    <mergeCell ref="F657:I657"/>
    <mergeCell ref="F691:I691"/>
    <mergeCell ref="F652:I652"/>
    <mergeCell ref="L652:M652"/>
    <mergeCell ref="N648:Q648"/>
    <mergeCell ref="F676:I676"/>
    <mergeCell ref="L676:M676"/>
    <mergeCell ref="F682:I682"/>
    <mergeCell ref="F669:I669"/>
    <mergeCell ref="L664:M664"/>
    <mergeCell ref="N664:Q664"/>
    <mergeCell ref="F665:I665"/>
    <mergeCell ref="F666:I666"/>
    <mergeCell ref="F625:I625"/>
    <mergeCell ref="F623:I623"/>
    <mergeCell ref="F602:I602"/>
    <mergeCell ref="F604:I604"/>
    <mergeCell ref="F678:I678"/>
    <mergeCell ref="F840:I840"/>
    <mergeCell ref="F828:I828"/>
    <mergeCell ref="L828:M828"/>
    <mergeCell ref="N828:Q828"/>
    <mergeCell ref="F829:I829"/>
    <mergeCell ref="F626:I626"/>
    <mergeCell ref="L626:M626"/>
    <mergeCell ref="N626:Q626"/>
    <mergeCell ref="F614:I614"/>
    <mergeCell ref="L614:M614"/>
    <mergeCell ref="N614:Q614"/>
    <mergeCell ref="F612:I612"/>
    <mergeCell ref="F613:I613"/>
    <mergeCell ref="L613:M613"/>
    <mergeCell ref="N613:Q613"/>
    <mergeCell ref="F640:I640"/>
    <mergeCell ref="L640:M640"/>
    <mergeCell ref="N640:Q640"/>
    <mergeCell ref="L743:M743"/>
    <mergeCell ref="F635:I635"/>
    <mergeCell ref="L635:M635"/>
    <mergeCell ref="N635:Q635"/>
    <mergeCell ref="N743:Q743"/>
    <mergeCell ref="N708:Q708"/>
    <mergeCell ref="F739:I739"/>
    <mergeCell ref="F738:I738"/>
    <mergeCell ref="F642:I642"/>
    <mergeCell ref="L642:M642"/>
    <mergeCell ref="N642:Q642"/>
    <mergeCell ref="F733:I733"/>
    <mergeCell ref="F629:I629"/>
    <mergeCell ref="F656:I656"/>
    <mergeCell ref="N897:Q897"/>
    <mergeCell ref="F899:I899"/>
    <mergeCell ref="F900:I900"/>
    <mergeCell ref="F902:I902"/>
    <mergeCell ref="L902:M902"/>
    <mergeCell ref="N902:Q902"/>
    <mergeCell ref="F861:I861"/>
    <mergeCell ref="F862:I862"/>
    <mergeCell ref="F926:I926"/>
    <mergeCell ref="F927:I927"/>
    <mergeCell ref="L927:M927"/>
    <mergeCell ref="N927:Q927"/>
    <mergeCell ref="F928:I928"/>
    <mergeCell ref="L928:M928"/>
    <mergeCell ref="N928:Q928"/>
    <mergeCell ref="F898:I898"/>
    <mergeCell ref="F911:I911"/>
    <mergeCell ref="F897:I897"/>
    <mergeCell ref="F886:I886"/>
    <mergeCell ref="F891:I891"/>
    <mergeCell ref="F887:I887"/>
    <mergeCell ref="L887:M887"/>
    <mergeCell ref="N887:Q887"/>
    <mergeCell ref="F894:I894"/>
    <mergeCell ref="L894:M894"/>
    <mergeCell ref="N894:Q894"/>
    <mergeCell ref="F895:I895"/>
    <mergeCell ref="F896:I896"/>
    <mergeCell ref="L896:M896"/>
    <mergeCell ref="N896:Q896"/>
    <mergeCell ref="F888:I888"/>
    <mergeCell ref="N904:Q904"/>
    <mergeCell ref="N984:Q984"/>
    <mergeCell ref="F985:I985"/>
    <mergeCell ref="F964:I964"/>
    <mergeCell ref="L964:M964"/>
    <mergeCell ref="N964:Q964"/>
    <mergeCell ref="F968:I968"/>
    <mergeCell ref="L968:M968"/>
    <mergeCell ref="N968:Q968"/>
    <mergeCell ref="F969:I969"/>
    <mergeCell ref="L969:M969"/>
    <mergeCell ref="F978:I978"/>
    <mergeCell ref="F950:I950"/>
    <mergeCell ref="F952:I952"/>
    <mergeCell ref="L952:M952"/>
    <mergeCell ref="N952:Q952"/>
    <mergeCell ref="F955:I955"/>
    <mergeCell ref="L955:M955"/>
    <mergeCell ref="N955:Q955"/>
    <mergeCell ref="L977:M977"/>
    <mergeCell ref="N977:Q977"/>
    <mergeCell ref="N969:Q969"/>
    <mergeCell ref="F965:I965"/>
    <mergeCell ref="F966:I966"/>
    <mergeCell ref="F981:I981"/>
    <mergeCell ref="N960:Q960"/>
    <mergeCell ref="F962:I962"/>
    <mergeCell ref="F967:I967"/>
    <mergeCell ref="F973:I973"/>
    <mergeCell ref="N959:Q959"/>
    <mergeCell ref="F1016:I1016"/>
    <mergeCell ref="F1011:I1011"/>
    <mergeCell ref="L1018:M1018"/>
    <mergeCell ref="N1018:Q1018"/>
    <mergeCell ref="N501:Q501"/>
    <mergeCell ref="F503:I503"/>
    <mergeCell ref="F502:I502"/>
    <mergeCell ref="F523:I523"/>
    <mergeCell ref="N507:Q507"/>
    <mergeCell ref="F508:I508"/>
    <mergeCell ref="L508:M508"/>
    <mergeCell ref="N508:Q508"/>
    <mergeCell ref="F514:I514"/>
    <mergeCell ref="F515:I515"/>
    <mergeCell ref="F525:I525"/>
    <mergeCell ref="L525:M525"/>
    <mergeCell ref="N525:Q525"/>
    <mergeCell ref="F524:I524"/>
    <mergeCell ref="F520:I520"/>
    <mergeCell ref="L520:M520"/>
    <mergeCell ref="N520:Q520"/>
    <mergeCell ref="N990:Q990"/>
    <mergeCell ref="F991:I991"/>
    <mergeCell ref="L991:M991"/>
    <mergeCell ref="F728:I728"/>
    <mergeCell ref="L660:M660"/>
    <mergeCell ref="N660:Q660"/>
    <mergeCell ref="F661:I661"/>
    <mergeCell ref="L661:M661"/>
    <mergeCell ref="N661:Q661"/>
    <mergeCell ref="F970:I970"/>
    <mergeCell ref="L970:M970"/>
    <mergeCell ref="E680:I680"/>
    <mergeCell ref="L680:M680"/>
    <mergeCell ref="N680:Q680"/>
    <mergeCell ref="L682:M682"/>
    <mergeCell ref="F729:I729"/>
    <mergeCell ref="F730:I730"/>
    <mergeCell ref="F703:I703"/>
    <mergeCell ref="L703:M703"/>
    <mergeCell ref="N703:Q703"/>
    <mergeCell ref="F731:I731"/>
    <mergeCell ref="F732:I732"/>
    <mergeCell ref="N704:Q704"/>
    <mergeCell ref="L706:M706"/>
    <mergeCell ref="F721:I721"/>
    <mergeCell ref="N716:Q716"/>
    <mergeCell ref="L691:M691"/>
    <mergeCell ref="N691:Q691"/>
    <mergeCell ref="F692:I692"/>
    <mergeCell ref="F693:I693"/>
    <mergeCell ref="F717:I717"/>
    <mergeCell ref="F718:I718"/>
    <mergeCell ref="F700:I700"/>
    <mergeCell ref="L700:M700"/>
    <mergeCell ref="N700:Q700"/>
    <mergeCell ref="F704:I704"/>
    <mergeCell ref="L897:M897"/>
    <mergeCell ref="F509:I509"/>
    <mergeCell ref="L509:M509"/>
    <mergeCell ref="N509:Q509"/>
    <mergeCell ref="F510:I510"/>
    <mergeCell ref="F511:I511"/>
    <mergeCell ref="F547:I547"/>
    <mergeCell ref="L547:M547"/>
    <mergeCell ref="F603:I603"/>
    <mergeCell ref="L620:M620"/>
    <mergeCell ref="F639:I639"/>
    <mergeCell ref="F630:I630"/>
    <mergeCell ref="F631:I631"/>
    <mergeCell ref="L629:M629"/>
    <mergeCell ref="N629:Q629"/>
    <mergeCell ref="F637:I637"/>
    <mergeCell ref="F638:I638"/>
    <mergeCell ref="L638:M638"/>
    <mergeCell ref="N638:Q638"/>
    <mergeCell ref="F622:I622"/>
    <mergeCell ref="L622:M622"/>
    <mergeCell ref="N622:Q622"/>
    <mergeCell ref="F615:I615"/>
    <mergeCell ref="L615:M615"/>
    <mergeCell ref="N615:Q615"/>
    <mergeCell ref="F616:I616"/>
    <mergeCell ref="L616:M616"/>
    <mergeCell ref="L631:M631"/>
    <mergeCell ref="N631:Q631"/>
    <mergeCell ref="F628:I628"/>
    <mergeCell ref="L628:M628"/>
    <mergeCell ref="N628:Q628"/>
    <mergeCell ref="L891:M891"/>
    <mergeCell ref="N891:Q891"/>
    <mergeCell ref="F892:I892"/>
    <mergeCell ref="F890:I890"/>
    <mergeCell ref="F893:I893"/>
    <mergeCell ref="F762:I762"/>
    <mergeCell ref="L762:M762"/>
    <mergeCell ref="F778:I778"/>
    <mergeCell ref="L778:M778"/>
    <mergeCell ref="N825:Q825"/>
    <mergeCell ref="F826:I826"/>
    <mergeCell ref="L826:M826"/>
    <mergeCell ref="N826:Q826"/>
    <mergeCell ref="F827:I827"/>
    <mergeCell ref="F836:I836"/>
    <mergeCell ref="F837:I837"/>
    <mergeCell ref="F849:I849"/>
    <mergeCell ref="L849:M849"/>
    <mergeCell ref="N849:Q849"/>
    <mergeCell ref="F850:I850"/>
    <mergeCell ref="F852:I852"/>
    <mergeCell ref="F885:I885"/>
    <mergeCell ref="L885:M885"/>
    <mergeCell ref="N885:Q885"/>
    <mergeCell ref="F865:I865"/>
    <mergeCell ref="F866:I866"/>
    <mergeCell ref="L866:M866"/>
    <mergeCell ref="N866:Q866"/>
    <mergeCell ref="N867:Q867"/>
    <mergeCell ref="L852:M852"/>
    <mergeCell ref="N852:Q852"/>
    <mergeCell ref="F851:I851"/>
    <mergeCell ref="F352:I352"/>
    <mergeCell ref="L352:M352"/>
    <mergeCell ref="N352:Q352"/>
    <mergeCell ref="L358:M358"/>
    <mergeCell ref="N358:Q358"/>
    <mergeCell ref="F359:I359"/>
    <mergeCell ref="L359:M359"/>
    <mergeCell ref="L986:M986"/>
    <mergeCell ref="N986:Q986"/>
    <mergeCell ref="N979:Q979"/>
    <mergeCell ref="F980:I980"/>
    <mergeCell ref="L980:M980"/>
    <mergeCell ref="N980:Q980"/>
    <mergeCell ref="F982:I982"/>
    <mergeCell ref="F983:I983"/>
    <mergeCell ref="L983:M983"/>
    <mergeCell ref="N983:Q983"/>
    <mergeCell ref="L985:M985"/>
    <mergeCell ref="N985:Q985"/>
    <mergeCell ref="F944:I944"/>
    <mergeCell ref="L944:M944"/>
    <mergeCell ref="N944:Q944"/>
    <mergeCell ref="F984:I984"/>
    <mergeCell ref="N359:Q359"/>
    <mergeCell ref="L984:M984"/>
    <mergeCell ref="F360:I360"/>
    <mergeCell ref="F353:I353"/>
    <mergeCell ref="L978:M978"/>
    <mergeCell ref="N978:Q978"/>
    <mergeCell ref="F977:I977"/>
    <mergeCell ref="F901:I901"/>
    <mergeCell ref="F925:I925"/>
    <mergeCell ref="F338:I338"/>
    <mergeCell ref="F348:I348"/>
    <mergeCell ref="L348:M348"/>
    <mergeCell ref="N348:Q348"/>
    <mergeCell ref="F349:I349"/>
    <mergeCell ref="F342:I342"/>
    <mergeCell ref="L342:M342"/>
    <mergeCell ref="N342:Q342"/>
    <mergeCell ref="F343:I343"/>
    <mergeCell ref="F340:I340"/>
    <mergeCell ref="L340:M340"/>
    <mergeCell ref="N340:Q340"/>
    <mergeCell ref="F341:I341"/>
    <mergeCell ref="F335:I335"/>
    <mergeCell ref="L335:M335"/>
    <mergeCell ref="N335:Q335"/>
    <mergeCell ref="F336:I336"/>
    <mergeCell ref="F337:I337"/>
    <mergeCell ref="L337:M337"/>
    <mergeCell ref="N337:Q337"/>
    <mergeCell ref="F339:I339"/>
    <mergeCell ref="F333:I333"/>
    <mergeCell ref="L333:M333"/>
    <mergeCell ref="N333:Q333"/>
    <mergeCell ref="F334:I334"/>
    <mergeCell ref="N347:Q347"/>
    <mergeCell ref="F345:I345"/>
    <mergeCell ref="F350:I350"/>
    <mergeCell ref="N350:Q350"/>
    <mergeCell ref="L893:M893"/>
    <mergeCell ref="N893:Q893"/>
    <mergeCell ref="L888:M888"/>
    <mergeCell ref="N888:Q888"/>
    <mergeCell ref="N1010:Q1010"/>
    <mergeCell ref="N996:Q996"/>
    <mergeCell ref="F994:I994"/>
    <mergeCell ref="L994:M994"/>
    <mergeCell ref="N994:Q994"/>
    <mergeCell ref="F995:I995"/>
    <mergeCell ref="L995:M995"/>
    <mergeCell ref="N995:Q995"/>
    <mergeCell ref="F999:I999"/>
    <mergeCell ref="L999:M999"/>
    <mergeCell ref="N991:Q991"/>
    <mergeCell ref="F992:I992"/>
    <mergeCell ref="F918:I918"/>
    <mergeCell ref="L907:M907"/>
    <mergeCell ref="N907:Q907"/>
    <mergeCell ref="N934:Q934"/>
    <mergeCell ref="F935:I935"/>
    <mergeCell ref="F936:I936"/>
    <mergeCell ref="L936:M936"/>
    <mergeCell ref="N936:Q936"/>
    <mergeCell ref="L925:M925"/>
    <mergeCell ref="N925:Q925"/>
    <mergeCell ref="L920:M920"/>
    <mergeCell ref="F1014:I1014"/>
    <mergeCell ref="L1014:M1014"/>
    <mergeCell ref="N1014:Q1014"/>
    <mergeCell ref="F989:I989"/>
    <mergeCell ref="L989:M989"/>
    <mergeCell ref="N989:Q989"/>
    <mergeCell ref="F986:I986"/>
    <mergeCell ref="F987:I987"/>
    <mergeCell ref="L987:M987"/>
    <mergeCell ref="N987:Q987"/>
    <mergeCell ref="F988:I988"/>
    <mergeCell ref="F1007:I1007"/>
    <mergeCell ref="L1007:M1007"/>
    <mergeCell ref="N1007:Q1007"/>
    <mergeCell ref="F1008:I1008"/>
    <mergeCell ref="F1009:I1009"/>
    <mergeCell ref="L1009:M1009"/>
    <mergeCell ref="N1009:Q1009"/>
    <mergeCell ref="F1010:I1010"/>
    <mergeCell ref="L1010:M1010"/>
    <mergeCell ref="N1012:Q1012"/>
    <mergeCell ref="F1013:I1013"/>
    <mergeCell ref="F1012:I1012"/>
    <mergeCell ref="N923:Q923"/>
    <mergeCell ref="N938:Q938"/>
    <mergeCell ref="F939:I939"/>
    <mergeCell ref="F956:I956"/>
    <mergeCell ref="F957:I957"/>
    <mergeCell ref="N970:Q970"/>
    <mergeCell ref="N658:Q658"/>
    <mergeCell ref="F701:I701"/>
    <mergeCell ref="F702:I702"/>
    <mergeCell ref="E671:I671"/>
    <mergeCell ref="L671:M671"/>
    <mergeCell ref="N671:Q671"/>
    <mergeCell ref="F674:I674"/>
    <mergeCell ref="F675:I675"/>
    <mergeCell ref="N676:Q676"/>
    <mergeCell ref="F824:I824"/>
    <mergeCell ref="L824:M824"/>
    <mergeCell ref="N824:Q824"/>
    <mergeCell ref="L804:M804"/>
    <mergeCell ref="E804:I804"/>
    <mergeCell ref="F806:I806"/>
    <mergeCell ref="L806:M806"/>
    <mergeCell ref="N806:Q806"/>
    <mergeCell ref="F807:I807"/>
    <mergeCell ref="F808:I808"/>
    <mergeCell ref="F743:I743"/>
    <mergeCell ref="L738:M738"/>
    <mergeCell ref="N738:Q738"/>
    <mergeCell ref="L739:M739"/>
    <mergeCell ref="N739:Q739"/>
    <mergeCell ref="F725:I725"/>
    <mergeCell ref="L725:M725"/>
    <mergeCell ref="N725:Q725"/>
    <mergeCell ref="F726:I726"/>
    <mergeCell ref="N688:Q688"/>
    <mergeCell ref="F720:I720"/>
    <mergeCell ref="F713:I713"/>
    <mergeCell ref="L713:M713"/>
    <mergeCell ref="F636:I636"/>
    <mergeCell ref="F709:I709"/>
    <mergeCell ref="F712:I712"/>
    <mergeCell ref="L712:M712"/>
    <mergeCell ref="N712:Q712"/>
    <mergeCell ref="F863:I863"/>
    <mergeCell ref="E707:I707"/>
    <mergeCell ref="F710:I710"/>
    <mergeCell ref="E662:I662"/>
    <mergeCell ref="L662:M662"/>
    <mergeCell ref="N662:Q662"/>
    <mergeCell ref="L673:M673"/>
    <mergeCell ref="N673:Q673"/>
    <mergeCell ref="L677:M677"/>
    <mergeCell ref="N677:Q677"/>
    <mergeCell ref="F719:I719"/>
    <mergeCell ref="L719:M719"/>
    <mergeCell ref="N719:Q719"/>
    <mergeCell ref="F750:I750"/>
    <mergeCell ref="L750:M750"/>
    <mergeCell ref="N750:Q750"/>
    <mergeCell ref="N652:Q652"/>
    <mergeCell ref="F683:I683"/>
    <mergeCell ref="F813:I813"/>
    <mergeCell ref="L813:M813"/>
    <mergeCell ref="L651:M651"/>
    <mergeCell ref="N651:Q651"/>
    <mergeCell ref="F658:I658"/>
    <mergeCell ref="L658:M658"/>
    <mergeCell ref="F860:I860"/>
    <mergeCell ref="F708:I708"/>
    <mergeCell ref="L708:M708"/>
    <mergeCell ref="F878:I878"/>
    <mergeCell ref="L878:M878"/>
    <mergeCell ref="F870:I870"/>
    <mergeCell ref="F871:I871"/>
    <mergeCell ref="L723:M723"/>
    <mergeCell ref="N723:Q723"/>
    <mergeCell ref="F858:I858"/>
    <mergeCell ref="L858:M858"/>
    <mergeCell ref="N858:Q858"/>
    <mergeCell ref="F872:I872"/>
    <mergeCell ref="F823:I823"/>
    <mergeCell ref="L823:M823"/>
    <mergeCell ref="N823:Q823"/>
    <mergeCell ref="L820:M820"/>
    <mergeCell ref="N813:Q813"/>
    <mergeCell ref="F800:I800"/>
    <mergeCell ref="F755:I755"/>
    <mergeCell ref="F746:I746"/>
    <mergeCell ref="L746:M746"/>
    <mergeCell ref="N746:Q746"/>
    <mergeCell ref="E747:I747"/>
    <mergeCell ref="F820:I820"/>
    <mergeCell ref="E756:I756"/>
    <mergeCell ref="L761:M761"/>
    <mergeCell ref="N761:Q761"/>
    <mergeCell ref="L851:M851"/>
    <mergeCell ref="N851:Q851"/>
    <mergeCell ref="F841:I841"/>
    <mergeCell ref="L841:M841"/>
    <mergeCell ref="F844:I844"/>
    <mergeCell ref="F845:I845"/>
    <mergeCell ref="F839:I839"/>
    <mergeCell ref="F811:I811"/>
    <mergeCell ref="L811:M811"/>
    <mergeCell ref="N811:Q811"/>
    <mergeCell ref="F812:I812"/>
    <mergeCell ref="F696:I696"/>
    <mergeCell ref="L696:M696"/>
    <mergeCell ref="N696:Q696"/>
    <mergeCell ref="F697:I697"/>
    <mergeCell ref="L697:M697"/>
    <mergeCell ref="N697:Q697"/>
    <mergeCell ref="L714:M714"/>
    <mergeCell ref="N714:Q714"/>
    <mergeCell ref="F715:I715"/>
    <mergeCell ref="L715:M715"/>
    <mergeCell ref="N715:Q715"/>
    <mergeCell ref="N706:Q706"/>
    <mergeCell ref="L716:M716"/>
    <mergeCell ref="E761:I761"/>
    <mergeCell ref="N713:Q713"/>
    <mergeCell ref="N762:Q762"/>
    <mergeCell ref="F763:I763"/>
    <mergeCell ref="F764:I764"/>
    <mergeCell ref="L764:M764"/>
    <mergeCell ref="N764:Q764"/>
    <mergeCell ref="N744:Q744"/>
    <mergeCell ref="N745:Q745"/>
    <mergeCell ref="F758:I758"/>
    <mergeCell ref="F759:I759"/>
    <mergeCell ref="L759:M759"/>
    <mergeCell ref="F753:I753"/>
    <mergeCell ref="L753:M753"/>
    <mergeCell ref="F752:I752"/>
    <mergeCell ref="N669:Q669"/>
    <mergeCell ref="F684:I684"/>
    <mergeCell ref="F685:I685"/>
    <mergeCell ref="L685:M685"/>
    <mergeCell ref="N685:Q685"/>
    <mergeCell ref="F686:I686"/>
    <mergeCell ref="L686:M686"/>
    <mergeCell ref="N689:Q689"/>
    <mergeCell ref="F677:I677"/>
    <mergeCell ref="N682:Q682"/>
    <mergeCell ref="L808:M808"/>
    <mergeCell ref="N808:Q808"/>
    <mergeCell ref="F809:I809"/>
    <mergeCell ref="L809:M809"/>
    <mergeCell ref="N809:Q809"/>
    <mergeCell ref="F810:I810"/>
    <mergeCell ref="L810:M810"/>
    <mergeCell ref="N810:Q810"/>
    <mergeCell ref="F722:I722"/>
    <mergeCell ref="L722:M722"/>
    <mergeCell ref="N722:Q722"/>
    <mergeCell ref="F723:I723"/>
    <mergeCell ref="N753:Q753"/>
    <mergeCell ref="F754:I754"/>
    <mergeCell ref="L755:M755"/>
    <mergeCell ref="N755:Q755"/>
    <mergeCell ref="F716:I716"/>
    <mergeCell ref="F705:I705"/>
    <mergeCell ref="L705:M705"/>
    <mergeCell ref="N705:Q705"/>
    <mergeCell ref="F706:I706"/>
    <mergeCell ref="N679:Q679"/>
    <mergeCell ref="L814:M814"/>
    <mergeCell ref="N814:Q814"/>
    <mergeCell ref="F876:I876"/>
    <mergeCell ref="L876:M876"/>
    <mergeCell ref="N876:Q876"/>
    <mergeCell ref="F877:I877"/>
    <mergeCell ref="E724:I724"/>
    <mergeCell ref="L724:M724"/>
    <mergeCell ref="N724:Q724"/>
    <mergeCell ref="E643:I643"/>
    <mergeCell ref="L643:M643"/>
    <mergeCell ref="N643:Q643"/>
    <mergeCell ref="F645:I645"/>
    <mergeCell ref="L645:M645"/>
    <mergeCell ref="N645:Q645"/>
    <mergeCell ref="F646:I646"/>
    <mergeCell ref="F647:I647"/>
    <mergeCell ref="L647:M647"/>
    <mergeCell ref="N647:Q647"/>
    <mergeCell ref="F648:I648"/>
    <mergeCell ref="L648:M648"/>
    <mergeCell ref="F667:I667"/>
    <mergeCell ref="L667:M667"/>
    <mergeCell ref="N667:Q667"/>
    <mergeCell ref="F668:I668"/>
    <mergeCell ref="L668:M668"/>
    <mergeCell ref="N668:Q668"/>
    <mergeCell ref="E689:I689"/>
    <mergeCell ref="L689:M689"/>
    <mergeCell ref="F670:I670"/>
    <mergeCell ref="F798:I798"/>
    <mergeCell ref="L669:M669"/>
    <mergeCell ref="F805:I805"/>
    <mergeCell ref="F816:I816"/>
    <mergeCell ref="F632:I632"/>
    <mergeCell ref="L632:M632"/>
    <mergeCell ref="N632:Q632"/>
    <mergeCell ref="F633:I633"/>
    <mergeCell ref="F634:I634"/>
    <mergeCell ref="L634:M634"/>
    <mergeCell ref="N634:Q634"/>
    <mergeCell ref="L695:M695"/>
    <mergeCell ref="N695:Q695"/>
    <mergeCell ref="F714:I714"/>
    <mergeCell ref="F664:I664"/>
    <mergeCell ref="L903:M903"/>
    <mergeCell ref="N903:Q903"/>
    <mergeCell ref="F923:I923"/>
    <mergeCell ref="L923:M923"/>
    <mergeCell ref="F889:I889"/>
    <mergeCell ref="L890:M890"/>
    <mergeCell ref="N890:Q890"/>
    <mergeCell ref="N820:Q820"/>
    <mergeCell ref="F920:I920"/>
    <mergeCell ref="L670:M670"/>
    <mergeCell ref="N670:Q670"/>
    <mergeCell ref="F673:I673"/>
    <mergeCell ref="N686:Q686"/>
    <mergeCell ref="F687:I687"/>
    <mergeCell ref="L687:M687"/>
    <mergeCell ref="N687:Q687"/>
    <mergeCell ref="F688:I688"/>
    <mergeCell ref="L688:M688"/>
    <mergeCell ref="F814:I814"/>
    <mergeCell ref="N168:Q168"/>
    <mergeCell ref="F166:I166"/>
    <mergeCell ref="F165:I165"/>
    <mergeCell ref="L165:M165"/>
    <mergeCell ref="N165:Q165"/>
    <mergeCell ref="N154:Q154"/>
    <mergeCell ref="F155:I155"/>
    <mergeCell ref="L155:M155"/>
    <mergeCell ref="N155:Q155"/>
    <mergeCell ref="F156:I156"/>
    <mergeCell ref="L205:M205"/>
    <mergeCell ref="N205:Q205"/>
    <mergeCell ref="N152:Q152"/>
    <mergeCell ref="N153:Q153"/>
    <mergeCell ref="F649:I649"/>
    <mergeCell ref="F864:I864"/>
    <mergeCell ref="F650:I650"/>
    <mergeCell ref="F651:I651"/>
    <mergeCell ref="F694:I694"/>
    <mergeCell ref="L694:M694"/>
    <mergeCell ref="N694:Q694"/>
    <mergeCell ref="F695:I695"/>
    <mergeCell ref="F506:I506"/>
    <mergeCell ref="L506:M506"/>
    <mergeCell ref="N506:Q506"/>
    <mergeCell ref="F644:I644"/>
    <mergeCell ref="F654:I654"/>
    <mergeCell ref="F663:I663"/>
    <mergeCell ref="F672:I672"/>
    <mergeCell ref="F681:I681"/>
    <mergeCell ref="F690:I690"/>
    <mergeCell ref="F699:I699"/>
    <mergeCell ref="N175:Q175"/>
    <mergeCell ref="F176:I176"/>
    <mergeCell ref="L176:M176"/>
    <mergeCell ref="N176:Q176"/>
    <mergeCell ref="F177:I177"/>
    <mergeCell ref="F179:I179"/>
    <mergeCell ref="L179:M179"/>
    <mergeCell ref="N179:Q179"/>
    <mergeCell ref="F180:I180"/>
    <mergeCell ref="F169:I169"/>
    <mergeCell ref="L169:M169"/>
    <mergeCell ref="N169:Q169"/>
    <mergeCell ref="F170:I170"/>
    <mergeCell ref="F171:I171"/>
    <mergeCell ref="L171:M171"/>
    <mergeCell ref="N171:Q171"/>
    <mergeCell ref="F172:I172"/>
    <mergeCell ref="F173:I173"/>
    <mergeCell ref="L173:M173"/>
    <mergeCell ref="N173:Q173"/>
    <mergeCell ref="F174:I174"/>
    <mergeCell ref="L174:M174"/>
    <mergeCell ref="N174:Q174"/>
    <mergeCell ref="N208:Q208"/>
    <mergeCell ref="F209:I209"/>
    <mergeCell ref="L209:M209"/>
    <mergeCell ref="N209:Q209"/>
    <mergeCell ref="E202:I202"/>
    <mergeCell ref="F203:I203"/>
    <mergeCell ref="F204:I204"/>
    <mergeCell ref="L204:M204"/>
    <mergeCell ref="N204:Q204"/>
    <mergeCell ref="F199:I199"/>
    <mergeCell ref="L199:M199"/>
    <mergeCell ref="N199:Q199"/>
    <mergeCell ref="F196:I196"/>
    <mergeCell ref="L196:M196"/>
    <mergeCell ref="N196:Q196"/>
    <mergeCell ref="F197:I197"/>
    <mergeCell ref="F182:I182"/>
    <mergeCell ref="L182:M182"/>
    <mergeCell ref="N182:Q182"/>
    <mergeCell ref="F184:I184"/>
    <mergeCell ref="F185:I185"/>
    <mergeCell ref="L185:M185"/>
    <mergeCell ref="N185:Q185"/>
    <mergeCell ref="F186:I186"/>
    <mergeCell ref="F187:I187"/>
    <mergeCell ref="F205:I205"/>
    <mergeCell ref="N194:Q194"/>
    <mergeCell ref="F195:I195"/>
    <mergeCell ref="F210:I210"/>
    <mergeCell ref="N211:Q211"/>
    <mergeCell ref="F212:I212"/>
    <mergeCell ref="L212:M212"/>
    <mergeCell ref="N212:Q212"/>
    <mergeCell ref="F213:I213"/>
    <mergeCell ref="F214:I214"/>
    <mergeCell ref="L214:M214"/>
    <mergeCell ref="N214:Q214"/>
    <mergeCell ref="F215:I215"/>
    <mergeCell ref="F216:I216"/>
    <mergeCell ref="L216:M216"/>
    <mergeCell ref="N216:Q216"/>
    <mergeCell ref="F217:I217"/>
    <mergeCell ref="F218:I218"/>
    <mergeCell ref="L218:M218"/>
    <mergeCell ref="N218:Q218"/>
    <mergeCell ref="N236:Q236"/>
    <mergeCell ref="N233:Q233"/>
    <mergeCell ref="F234:I234"/>
    <mergeCell ref="L234:M234"/>
    <mergeCell ref="N234:Q234"/>
    <mergeCell ref="F219:I219"/>
    <mergeCell ref="F220:I220"/>
    <mergeCell ref="L220:M220"/>
    <mergeCell ref="N220:Q220"/>
    <mergeCell ref="F221:I221"/>
    <mergeCell ref="F222:I222"/>
    <mergeCell ref="L222:M222"/>
    <mergeCell ref="N222:Q222"/>
    <mergeCell ref="F223:I223"/>
    <mergeCell ref="L223:M223"/>
    <mergeCell ref="N223:Q223"/>
    <mergeCell ref="N224:Q224"/>
    <mergeCell ref="F225:I225"/>
    <mergeCell ref="L225:M225"/>
    <mergeCell ref="N225:Q225"/>
    <mergeCell ref="N226:Q226"/>
    <mergeCell ref="N227:Q227"/>
    <mergeCell ref="L232:M232"/>
    <mergeCell ref="N97:Q97"/>
    <mergeCell ref="N100:Q100"/>
    <mergeCell ref="L266:M266"/>
    <mergeCell ref="N266:Q266"/>
    <mergeCell ref="F267:I267"/>
    <mergeCell ref="L267:M267"/>
    <mergeCell ref="N267:Q267"/>
    <mergeCell ref="F268:I268"/>
    <mergeCell ref="F269:I269"/>
    <mergeCell ref="F270:I270"/>
    <mergeCell ref="L270:M270"/>
    <mergeCell ref="N270:Q270"/>
    <mergeCell ref="N263:Q263"/>
    <mergeCell ref="F264:I264"/>
    <mergeCell ref="L264:M264"/>
    <mergeCell ref="N264:Q264"/>
    <mergeCell ref="F265:I265"/>
    <mergeCell ref="F239:I239"/>
    <mergeCell ref="L239:M239"/>
    <mergeCell ref="N239:Q239"/>
    <mergeCell ref="N243:Q243"/>
    <mergeCell ref="F244:I244"/>
    <mergeCell ref="F245:I245"/>
    <mergeCell ref="F246:I246"/>
    <mergeCell ref="L246:M246"/>
    <mergeCell ref="N246:Q246"/>
    <mergeCell ref="F247:I247"/>
    <mergeCell ref="F257:I257"/>
    <mergeCell ref="L257:M257"/>
    <mergeCell ref="N257:Q257"/>
    <mergeCell ref="F258:I258"/>
    <mergeCell ref="F259:I259"/>
    <mergeCell ref="L294:M294"/>
    <mergeCell ref="N256:Q256"/>
    <mergeCell ref="M30:P30"/>
    <mergeCell ref="F373:I373"/>
    <mergeCell ref="F402:I402"/>
    <mergeCell ref="F463:I463"/>
    <mergeCell ref="F468:I468"/>
    <mergeCell ref="F476:I476"/>
    <mergeCell ref="F483:I483"/>
    <mergeCell ref="F492:I492"/>
    <mergeCell ref="F519:I519"/>
    <mergeCell ref="F540:I540"/>
    <mergeCell ref="F557:I557"/>
    <mergeCell ref="F561:I561"/>
    <mergeCell ref="F727:I727"/>
    <mergeCell ref="F951:I951"/>
    <mergeCell ref="F954:I954"/>
    <mergeCell ref="F953:I953"/>
    <mergeCell ref="F306:I306"/>
    <mergeCell ref="L306:M306"/>
    <mergeCell ref="N306:Q306"/>
    <mergeCell ref="F307:I307"/>
    <mergeCell ref="N308:Q308"/>
    <mergeCell ref="N87:Q87"/>
    <mergeCell ref="N88:Q88"/>
    <mergeCell ref="N89:Q89"/>
    <mergeCell ref="N90:Q90"/>
    <mergeCell ref="N91:Q91"/>
    <mergeCell ref="N92:Q92"/>
    <mergeCell ref="N93:Q93"/>
    <mergeCell ref="N94:Q94"/>
    <mergeCell ref="N95:Q95"/>
    <mergeCell ref="L291:M291"/>
    <mergeCell ref="N291:Q291"/>
    <mergeCell ref="N232:Q232"/>
    <mergeCell ref="F598:I598"/>
    <mergeCell ref="N96:Q96"/>
    <mergeCell ref="N240:Q240"/>
    <mergeCell ref="F241:I241"/>
    <mergeCell ref="L241:M241"/>
    <mergeCell ref="N241:Q241"/>
    <mergeCell ref="F242:I242"/>
    <mergeCell ref="F243:I243"/>
    <mergeCell ref="L243:M243"/>
    <mergeCell ref="F229:I229"/>
    <mergeCell ref="F230:I230"/>
    <mergeCell ref="L230:M230"/>
    <mergeCell ref="N230:Q230"/>
    <mergeCell ref="F231:I231"/>
    <mergeCell ref="F228:I228"/>
    <mergeCell ref="L228:M228"/>
    <mergeCell ref="N228:Q228"/>
    <mergeCell ref="N298:Q298"/>
    <mergeCell ref="F299:I299"/>
    <mergeCell ref="L299:M299"/>
    <mergeCell ref="N299:Q299"/>
    <mergeCell ref="F300:I300"/>
    <mergeCell ref="F303:I303"/>
    <mergeCell ref="L303:M303"/>
    <mergeCell ref="N303:Q303"/>
    <mergeCell ref="F304:I304"/>
    <mergeCell ref="F305:I305"/>
    <mergeCell ref="N293:Q293"/>
    <mergeCell ref="F294:I294"/>
    <mergeCell ref="F290:I290"/>
    <mergeCell ref="L290:M290"/>
    <mergeCell ref="N290:Q290"/>
    <mergeCell ref="F291:I291"/>
    <mergeCell ref="F252:I252"/>
    <mergeCell ref="F253:I253"/>
    <mergeCell ref="F254:I254"/>
    <mergeCell ref="F249:I249"/>
    <mergeCell ref="L249:M249"/>
    <mergeCell ref="N249:Q249"/>
    <mergeCell ref="F834:I834"/>
    <mergeCell ref="F847:I847"/>
    <mergeCell ref="N98:Q98"/>
    <mergeCell ref="N250:Q250"/>
    <mergeCell ref="F251:I251"/>
    <mergeCell ref="L251:M251"/>
    <mergeCell ref="N251:Q251"/>
    <mergeCell ref="L253:M253"/>
    <mergeCell ref="N253:Q253"/>
    <mergeCell ref="L254:M254"/>
    <mergeCell ref="N254:Q254"/>
    <mergeCell ref="F255:I255"/>
    <mergeCell ref="F256:I256"/>
    <mergeCell ref="L256:M256"/>
    <mergeCell ref="F248:I248"/>
    <mergeCell ref="L248:M248"/>
    <mergeCell ref="N248:Q248"/>
    <mergeCell ref="F232:I232"/>
    <mergeCell ref="N260:Q260"/>
    <mergeCell ref="F261:I261"/>
    <mergeCell ref="F262:I262"/>
    <mergeCell ref="L262:M262"/>
    <mergeCell ref="L282:M282"/>
    <mergeCell ref="N282:Q282"/>
    <mergeCell ref="F260:I260"/>
    <mergeCell ref="L260:M260"/>
    <mergeCell ref="F919:I919"/>
    <mergeCell ref="F922:I922"/>
    <mergeCell ref="F921:I921"/>
    <mergeCell ref="F283:I283"/>
    <mergeCell ref="L283:M283"/>
    <mergeCell ref="N283:Q283"/>
    <mergeCell ref="F284:I284"/>
    <mergeCell ref="L284:M284"/>
    <mergeCell ref="N284:Q284"/>
    <mergeCell ref="F285:I285"/>
    <mergeCell ref="L285:M285"/>
    <mergeCell ref="N285:Q285"/>
    <mergeCell ref="N286:Q286"/>
    <mergeCell ref="F287:I287"/>
    <mergeCell ref="L287:M287"/>
    <mergeCell ref="N287:Q287"/>
    <mergeCell ref="F288:I288"/>
    <mergeCell ref="N294:Q294"/>
    <mergeCell ref="F295:I295"/>
    <mergeCell ref="F296:I296"/>
    <mergeCell ref="L296:M296"/>
    <mergeCell ref="N296:Q296"/>
    <mergeCell ref="F297:I297"/>
    <mergeCell ref="L297:M297"/>
    <mergeCell ref="N297:Q297"/>
    <mergeCell ref="F289:I289"/>
    <mergeCell ref="L289:M289"/>
    <mergeCell ref="N289:Q289"/>
    <mergeCell ref="N99:Q99"/>
    <mergeCell ref="N271:Q271"/>
    <mergeCell ref="F272:I272"/>
    <mergeCell ref="L272:M272"/>
    <mergeCell ref="N272:Q272"/>
    <mergeCell ref="F273:I273"/>
    <mergeCell ref="F274:I274"/>
    <mergeCell ref="L274:M274"/>
    <mergeCell ref="N274:Q274"/>
    <mergeCell ref="F275:I275"/>
    <mergeCell ref="L275:M275"/>
    <mergeCell ref="N275:Q275"/>
    <mergeCell ref="F276:I276"/>
    <mergeCell ref="F277:I277"/>
    <mergeCell ref="L277:M277"/>
    <mergeCell ref="N277:Q277"/>
    <mergeCell ref="F278:I278"/>
    <mergeCell ref="L278:M278"/>
    <mergeCell ref="N278:Q278"/>
    <mergeCell ref="N262:Q262"/>
    <mergeCell ref="F266:I266"/>
    <mergeCell ref="L259:M259"/>
    <mergeCell ref="N259:Q259"/>
    <mergeCell ref="F237:I237"/>
    <mergeCell ref="F238:I238"/>
    <mergeCell ref="L238:M238"/>
    <mergeCell ref="N238:Q238"/>
    <mergeCell ref="E235:I235"/>
    <mergeCell ref="L235:M235"/>
    <mergeCell ref="N235:Q235"/>
    <mergeCell ref="F236:I236"/>
    <mergeCell ref="L236:M236"/>
    <mergeCell ref="F292:I292"/>
    <mergeCell ref="L292:M292"/>
    <mergeCell ref="N292:Q292"/>
    <mergeCell ref="F993:I993"/>
    <mergeCell ref="N102:Q102"/>
    <mergeCell ref="F997:I997"/>
    <mergeCell ref="F998:I998"/>
    <mergeCell ref="F301:I301"/>
    <mergeCell ref="F302:I302"/>
    <mergeCell ref="F188:I188"/>
    <mergeCell ref="L188:M188"/>
    <mergeCell ref="N188:Q188"/>
    <mergeCell ref="F189:I189"/>
    <mergeCell ref="F190:I190"/>
    <mergeCell ref="L190:M190"/>
    <mergeCell ref="N190:Q190"/>
    <mergeCell ref="F191:I191"/>
    <mergeCell ref="F192:I192"/>
    <mergeCell ref="L192:M192"/>
    <mergeCell ref="N192:Q192"/>
    <mergeCell ref="F193:I193"/>
    <mergeCell ref="F194:I194"/>
    <mergeCell ref="L194:M194"/>
    <mergeCell ref="F933:I933"/>
    <mergeCell ref="F279:I279"/>
    <mergeCell ref="L279:M279"/>
    <mergeCell ref="N279:Q279"/>
    <mergeCell ref="F280:I280"/>
    <mergeCell ref="F281:I281"/>
    <mergeCell ref="L281:M281"/>
    <mergeCell ref="N281:Q281"/>
    <mergeCell ref="F282:I282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B231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P5"/>
    </sheetView>
  </sheetViews>
  <sheetFormatPr defaultColWidth="9.33203125" defaultRowHeight="11.25" outlineLevelRow="1" outlineLevelCol="1"/>
  <cols>
    <col min="1" max="1" width="8.33203125" style="236" customWidth="1"/>
    <col min="2" max="2" width="1.6640625" style="236" customWidth="1"/>
    <col min="3" max="3" width="4.1640625" style="236" customWidth="1"/>
    <col min="4" max="4" width="4.33203125" style="236" customWidth="1"/>
    <col min="5" max="5" width="22.33203125" style="236" customWidth="1"/>
    <col min="6" max="6" width="13.83203125" style="236" customWidth="1"/>
    <col min="7" max="7" width="11.1640625" style="236" customWidth="1"/>
    <col min="8" max="8" width="12.5" style="236" customWidth="1"/>
    <col min="9" max="9" width="34.33203125" style="236" customWidth="1"/>
    <col min="10" max="10" width="8" style="69" customWidth="1"/>
    <col min="11" max="11" width="15.5" style="236" customWidth="1"/>
    <col min="12" max="12" width="12" style="236" customWidth="1"/>
    <col min="13" max="13" width="7.5" style="236" customWidth="1"/>
    <col min="14" max="14" width="6" style="236" customWidth="1"/>
    <col min="15" max="15" width="2" style="236" customWidth="1"/>
    <col min="16" max="16" width="12.5" style="236" customWidth="1"/>
    <col min="17" max="17" width="4.1640625" style="236" customWidth="1"/>
    <col min="18" max="18" width="1.6640625" style="236" customWidth="1"/>
    <col min="19" max="19" width="2" style="236" customWidth="1"/>
    <col min="20" max="20" width="25.33203125" style="42" hidden="1" customWidth="1" outlineLevel="1"/>
    <col min="21" max="21" width="9.33203125" style="236" collapsed="1"/>
    <col min="22" max="16384" width="9.33203125" style="236"/>
  </cols>
  <sheetData>
    <row r="1" spans="2:18">
      <c r="B1" s="233"/>
      <c r="C1" s="234"/>
      <c r="D1" s="234"/>
      <c r="E1" s="234"/>
      <c r="F1" s="234"/>
      <c r="G1" s="234"/>
      <c r="H1" s="234"/>
      <c r="I1" s="234"/>
      <c r="J1" s="46"/>
      <c r="K1" s="234"/>
      <c r="L1" s="234"/>
      <c r="M1" s="234"/>
      <c r="N1" s="234"/>
      <c r="O1" s="234"/>
      <c r="P1" s="234"/>
      <c r="Q1" s="234"/>
      <c r="R1" s="235"/>
    </row>
    <row r="2" spans="2:18" ht="20.25">
      <c r="B2" s="237"/>
      <c r="C2" s="697" t="s">
        <v>38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238"/>
    </row>
    <row r="3" spans="2:18">
      <c r="B3" s="237"/>
      <c r="J3" s="47"/>
      <c r="R3" s="238"/>
    </row>
    <row r="4" spans="2:18" ht="12">
      <c r="B4" s="237"/>
      <c r="D4" s="239" t="s">
        <v>3</v>
      </c>
      <c r="F4" s="721" t="str">
        <f>Rekapitulace!K4</f>
        <v>Stavební úpravy, vestavba a přístavba stávajícího objektu</v>
      </c>
      <c r="G4" s="722"/>
      <c r="H4" s="722"/>
      <c r="I4" s="722"/>
      <c r="J4" s="722"/>
      <c r="K4" s="722"/>
      <c r="L4" s="722"/>
      <c r="M4" s="722"/>
      <c r="N4" s="722"/>
      <c r="O4" s="722"/>
      <c r="P4" s="722"/>
      <c r="R4" s="238"/>
    </row>
    <row r="5" spans="2:18" ht="15.75">
      <c r="B5" s="237"/>
      <c r="D5" s="241" t="s">
        <v>39</v>
      </c>
      <c r="F5" s="691" t="s">
        <v>464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R5" s="238"/>
    </row>
    <row r="6" spans="2:18" ht="12">
      <c r="B6" s="237"/>
      <c r="D6" s="239" t="s">
        <v>4</v>
      </c>
      <c r="F6" s="240" t="s">
        <v>0</v>
      </c>
      <c r="J6" s="47"/>
      <c r="M6" s="239" t="s">
        <v>5</v>
      </c>
      <c r="O6" s="240" t="s">
        <v>0</v>
      </c>
      <c r="R6" s="238"/>
    </row>
    <row r="7" spans="2:18" ht="12">
      <c r="B7" s="237"/>
      <c r="D7" s="239" t="s">
        <v>6</v>
      </c>
      <c r="F7" s="240" t="str">
        <f>Rekapitulace!I82</f>
        <v>Mírové náměstí 23/12, Bílina - p.č. 124, 125/1, 125/2, 125/3, k.ú. Bílina (604208)</v>
      </c>
      <c r="J7" s="47"/>
      <c r="M7" s="239" t="s">
        <v>7</v>
      </c>
      <c r="O7" s="712">
        <f>Rekapitulace!AN6</f>
        <v>0</v>
      </c>
      <c r="P7" s="712"/>
      <c r="R7" s="238"/>
    </row>
    <row r="8" spans="2:18">
      <c r="B8" s="237"/>
      <c r="J8" s="47"/>
      <c r="R8" s="238"/>
    </row>
    <row r="9" spans="2:18" ht="12">
      <c r="B9" s="237"/>
      <c r="D9" s="239" t="s">
        <v>8</v>
      </c>
      <c r="F9" s="236" t="str">
        <f>Rekapitulace!K8</f>
        <v>město Bílina</v>
      </c>
      <c r="J9" s="47"/>
      <c r="M9" s="239" t="s">
        <v>9</v>
      </c>
      <c r="O9" s="692" t="s">
        <v>0</v>
      </c>
      <c r="P9" s="692"/>
      <c r="R9" s="238"/>
    </row>
    <row r="10" spans="2:18" ht="12">
      <c r="B10" s="237"/>
      <c r="E10" s="240"/>
      <c r="J10" s="47"/>
      <c r="M10" s="239" t="s">
        <v>10</v>
      </c>
      <c r="O10" s="692" t="s">
        <v>0</v>
      </c>
      <c r="P10" s="692"/>
      <c r="R10" s="238"/>
    </row>
    <row r="11" spans="2:18">
      <c r="B11" s="237"/>
      <c r="J11" s="47"/>
      <c r="R11" s="238"/>
    </row>
    <row r="12" spans="2:18" ht="12">
      <c r="B12" s="237"/>
      <c r="D12" s="239" t="s">
        <v>11</v>
      </c>
      <c r="F12" s="736">
        <f>Rekapitulace!K11</f>
        <v>0</v>
      </c>
      <c r="G12" s="736"/>
      <c r="H12" s="736"/>
      <c r="I12" s="736"/>
      <c r="J12" s="47"/>
      <c r="M12" s="239" t="s">
        <v>9</v>
      </c>
      <c r="O12" s="692" t="str">
        <f>IF(Rekapitulace!AN11="","",Rekapitulace!AN11)</f>
        <v/>
      </c>
      <c r="P12" s="692"/>
      <c r="R12" s="238"/>
    </row>
    <row r="13" spans="2:18" ht="12">
      <c r="B13" s="237"/>
      <c r="E13" s="240" t="str">
        <f>IF(Rekapitulace!E12="","",Rekapitulace!E12)</f>
        <v xml:space="preserve"> </v>
      </c>
      <c r="J13" s="47"/>
      <c r="M13" s="239" t="s">
        <v>10</v>
      </c>
      <c r="O13" s="692" t="str">
        <f>IF(Rekapitulace!AN12="","",Rekapitulace!AN12)</f>
        <v/>
      </c>
      <c r="P13" s="692"/>
      <c r="R13" s="238"/>
    </row>
    <row r="14" spans="2:18">
      <c r="B14" s="237"/>
      <c r="J14" s="47"/>
      <c r="R14" s="238"/>
    </row>
    <row r="15" spans="2:18" ht="12">
      <c r="B15" s="237"/>
      <c r="D15" s="239" t="s">
        <v>13</v>
      </c>
      <c r="J15" s="47"/>
      <c r="M15" s="239" t="s">
        <v>9</v>
      </c>
      <c r="O15" s="692" t="s">
        <v>0</v>
      </c>
      <c r="P15" s="692"/>
      <c r="R15" s="238"/>
    </row>
    <row r="16" spans="2:18" ht="12">
      <c r="B16" s="237"/>
      <c r="E16" s="240" t="str">
        <f>Rekapitulace!E15</f>
        <v>Ing. arch. Bořek Peška</v>
      </c>
      <c r="J16" s="47"/>
      <c r="M16" s="239" t="s">
        <v>10</v>
      </c>
      <c r="O16" s="692" t="s">
        <v>0</v>
      </c>
      <c r="P16" s="692"/>
      <c r="R16" s="238"/>
    </row>
    <row r="17" spans="2:20">
      <c r="B17" s="237"/>
      <c r="J17" s="47"/>
      <c r="R17" s="238"/>
    </row>
    <row r="18" spans="2:20" ht="12">
      <c r="B18" s="237"/>
      <c r="D18" s="239" t="s">
        <v>14</v>
      </c>
      <c r="J18" s="47"/>
      <c r="M18" s="239" t="s">
        <v>9</v>
      </c>
      <c r="O18" s="692" t="s">
        <v>0</v>
      </c>
      <c r="P18" s="692"/>
      <c r="R18" s="238"/>
    </row>
    <row r="19" spans="2:20" ht="12">
      <c r="B19" s="237"/>
      <c r="E19" s="240" t="str">
        <f>Rekapitulace!E18</f>
        <v>Jakub Kulhavý</v>
      </c>
      <c r="J19" s="47"/>
      <c r="M19" s="239" t="s">
        <v>10</v>
      </c>
      <c r="O19" s="692" t="s">
        <v>0</v>
      </c>
      <c r="P19" s="692"/>
      <c r="R19" s="238"/>
    </row>
    <row r="20" spans="2:20">
      <c r="B20" s="237"/>
      <c r="J20" s="47"/>
      <c r="R20" s="238"/>
    </row>
    <row r="21" spans="2:20" ht="12">
      <c r="B21" s="237"/>
      <c r="D21" s="239" t="s">
        <v>186</v>
      </c>
      <c r="J21" s="47"/>
      <c r="M21" s="239"/>
      <c r="O21" s="692" t="s">
        <v>0</v>
      </c>
      <c r="P21" s="692"/>
      <c r="R21" s="238"/>
    </row>
    <row r="22" spans="2:20" ht="12">
      <c r="B22" s="237"/>
      <c r="E22" s="692" t="str">
        <f>Rekapitulace!E21</f>
        <v>projektové dokumentace ve stupni DPS z 04/2023</v>
      </c>
      <c r="F22" s="692"/>
      <c r="G22" s="692"/>
      <c r="H22" s="692"/>
      <c r="I22" s="692"/>
      <c r="J22" s="692"/>
      <c r="K22" s="692"/>
      <c r="L22" s="692"/>
      <c r="M22" s="692"/>
      <c r="N22" s="692"/>
      <c r="O22" s="692"/>
      <c r="P22" s="692"/>
      <c r="R22" s="238"/>
    </row>
    <row r="23" spans="2:20">
      <c r="B23" s="237"/>
      <c r="J23" s="47"/>
      <c r="R23" s="238"/>
    </row>
    <row r="24" spans="2:20" ht="12">
      <c r="B24" s="237"/>
      <c r="D24" s="239" t="s">
        <v>94</v>
      </c>
      <c r="J24" s="47"/>
      <c r="R24" s="238"/>
    </row>
    <row r="25" spans="2:20" s="308" customFormat="1" ht="12">
      <c r="B25" s="307"/>
      <c r="D25" s="737"/>
      <c r="E25" s="737"/>
      <c r="F25" s="309"/>
      <c r="G25" s="738"/>
      <c r="H25" s="738"/>
      <c r="I25" s="738"/>
      <c r="J25" s="738"/>
      <c r="K25" s="738"/>
      <c r="L25" s="738"/>
      <c r="M25" s="738"/>
      <c r="N25" s="738"/>
      <c r="O25" s="738"/>
      <c r="P25" s="738"/>
      <c r="R25" s="310"/>
      <c r="T25" s="188"/>
    </row>
    <row r="26" spans="2:20" s="308" customFormat="1" ht="12">
      <c r="B26" s="307"/>
      <c r="D26" s="736"/>
      <c r="E26" s="736"/>
      <c r="F26" s="312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R26" s="310"/>
      <c r="T26" s="45"/>
    </row>
    <row r="27" spans="2:20">
      <c r="B27" s="237"/>
      <c r="J27" s="47"/>
      <c r="R27" s="238"/>
    </row>
    <row r="28" spans="2:20">
      <c r="B28" s="237"/>
      <c r="D28" s="266"/>
      <c r="E28" s="266"/>
      <c r="F28" s="266"/>
      <c r="G28" s="266"/>
      <c r="H28" s="266"/>
      <c r="I28" s="266"/>
      <c r="J28" s="48"/>
      <c r="K28" s="266"/>
      <c r="L28" s="266"/>
      <c r="M28" s="266"/>
      <c r="N28" s="266"/>
      <c r="O28" s="266"/>
      <c r="P28" s="266"/>
      <c r="R28" s="238"/>
    </row>
    <row r="29" spans="2:20" ht="12.75">
      <c r="B29" s="237"/>
      <c r="D29" s="313" t="str">
        <f>C86</f>
        <v>2) Náklady z rozpočtu</v>
      </c>
      <c r="J29" s="47"/>
      <c r="M29" s="670">
        <f>N86</f>
        <v>0</v>
      </c>
      <c r="N29" s="670"/>
      <c r="O29" s="670"/>
      <c r="P29" s="670"/>
      <c r="R29" s="238"/>
    </row>
    <row r="30" spans="2:20">
      <c r="B30" s="237"/>
      <c r="J30" s="47"/>
      <c r="R30" s="238"/>
    </row>
    <row r="31" spans="2:20" ht="12.75">
      <c r="B31" s="237"/>
      <c r="D31" s="314" t="s">
        <v>16</v>
      </c>
      <c r="J31" s="47"/>
      <c r="M31" s="735">
        <f>ROUND(M29,2)</f>
        <v>0</v>
      </c>
      <c r="N31" s="671"/>
      <c r="O31" s="671"/>
      <c r="P31" s="671"/>
      <c r="R31" s="238"/>
    </row>
    <row r="32" spans="2:20">
      <c r="B32" s="237"/>
      <c r="D32" s="266"/>
      <c r="E32" s="266"/>
      <c r="F32" s="266"/>
      <c r="G32" s="266"/>
      <c r="H32" s="266"/>
      <c r="I32" s="266"/>
      <c r="J32" s="48"/>
      <c r="K32" s="266"/>
      <c r="L32" s="266"/>
      <c r="M32" s="266"/>
      <c r="N32" s="266"/>
      <c r="O32" s="266"/>
      <c r="P32" s="266"/>
      <c r="R32" s="238"/>
    </row>
    <row r="33" spans="2:18">
      <c r="B33" s="237"/>
      <c r="D33" s="257" t="s">
        <v>17</v>
      </c>
      <c r="E33" s="257" t="s">
        <v>18</v>
      </c>
      <c r="F33" s="49">
        <v>0.21</v>
      </c>
      <c r="G33" s="315" t="s">
        <v>19</v>
      </c>
      <c r="H33" s="688">
        <f>ROUND(M31, 2)</f>
        <v>0</v>
      </c>
      <c r="I33" s="671"/>
      <c r="J33" s="671"/>
      <c r="M33" s="741">
        <f>ROUND(H33*F33, 2)</f>
        <v>0</v>
      </c>
      <c r="N33" s="671"/>
      <c r="O33" s="671"/>
      <c r="P33" s="671"/>
      <c r="R33" s="238"/>
    </row>
    <row r="34" spans="2:18">
      <c r="B34" s="237"/>
      <c r="E34" s="257" t="s">
        <v>20</v>
      </c>
      <c r="F34" s="49">
        <v>0.15</v>
      </c>
      <c r="G34" s="315" t="s">
        <v>19</v>
      </c>
      <c r="H34" s="688">
        <v>0</v>
      </c>
      <c r="I34" s="671"/>
      <c r="J34" s="671"/>
      <c r="M34" s="741">
        <f>ROUND(H34*F34, 2)</f>
        <v>0</v>
      </c>
      <c r="N34" s="671"/>
      <c r="O34" s="671"/>
      <c r="P34" s="671"/>
      <c r="R34" s="238"/>
    </row>
    <row r="35" spans="2:18">
      <c r="B35" s="237"/>
      <c r="J35" s="47"/>
      <c r="R35" s="238"/>
    </row>
    <row r="36" spans="2:18" ht="15.75">
      <c r="B36" s="237"/>
      <c r="C36" s="297"/>
      <c r="D36" s="316" t="s">
        <v>24</v>
      </c>
      <c r="E36" s="283"/>
      <c r="F36" s="283"/>
      <c r="G36" s="317" t="s">
        <v>25</v>
      </c>
      <c r="H36" s="318" t="s">
        <v>26</v>
      </c>
      <c r="I36" s="283"/>
      <c r="J36" s="50"/>
      <c r="K36" s="283"/>
      <c r="L36" s="739">
        <f>SUM(M31:M34)</f>
        <v>0</v>
      </c>
      <c r="M36" s="739"/>
      <c r="N36" s="739"/>
      <c r="O36" s="739"/>
      <c r="P36" s="740"/>
      <c r="Q36" s="297"/>
      <c r="R36" s="238"/>
    </row>
    <row r="37" spans="2:18">
      <c r="B37" s="237"/>
      <c r="J37" s="47"/>
      <c r="R37" s="238"/>
    </row>
    <row r="38" spans="2:18">
      <c r="B38" s="237"/>
      <c r="J38" s="47"/>
      <c r="R38" s="238"/>
    </row>
    <row r="39" spans="2:18">
      <c r="B39" s="237"/>
      <c r="J39" s="47"/>
      <c r="R39" s="238"/>
    </row>
    <row r="40" spans="2:18">
      <c r="B40" s="237"/>
      <c r="J40" s="47"/>
      <c r="R40" s="238"/>
    </row>
    <row r="41" spans="2:18">
      <c r="B41" s="237"/>
      <c r="J41" s="47"/>
      <c r="R41" s="238"/>
    </row>
    <row r="42" spans="2:18">
      <c r="B42" s="237"/>
      <c r="J42" s="47"/>
      <c r="R42" s="238"/>
    </row>
    <row r="43" spans="2:18">
      <c r="B43" s="237"/>
      <c r="J43" s="47"/>
      <c r="R43" s="238"/>
    </row>
    <row r="44" spans="2:18">
      <c r="B44" s="237"/>
      <c r="J44" s="47"/>
      <c r="R44" s="238"/>
    </row>
    <row r="45" spans="2:18">
      <c r="B45" s="237"/>
      <c r="J45" s="47"/>
      <c r="R45" s="238"/>
    </row>
    <row r="46" spans="2:18">
      <c r="B46" s="237"/>
      <c r="J46" s="47"/>
      <c r="R46" s="238"/>
    </row>
    <row r="47" spans="2:18">
      <c r="B47" s="237"/>
      <c r="J47" s="47"/>
      <c r="R47" s="238"/>
    </row>
    <row r="48" spans="2:18" ht="12.75">
      <c r="B48" s="237"/>
      <c r="D48" s="265" t="s">
        <v>27</v>
      </c>
      <c r="E48" s="266"/>
      <c r="F48" s="266"/>
      <c r="G48" s="266"/>
      <c r="H48" s="267"/>
      <c r="J48" s="51" t="s">
        <v>28</v>
      </c>
      <c r="K48" s="266"/>
      <c r="L48" s="266"/>
      <c r="M48" s="266"/>
      <c r="N48" s="266"/>
      <c r="O48" s="266"/>
      <c r="P48" s="267"/>
      <c r="R48" s="238"/>
    </row>
    <row r="49" spans="2:18">
      <c r="B49" s="237"/>
      <c r="D49" s="268"/>
      <c r="H49" s="269"/>
      <c r="J49" s="52"/>
      <c r="P49" s="269"/>
      <c r="R49" s="238"/>
    </row>
    <row r="50" spans="2:18">
      <c r="B50" s="237"/>
      <c r="D50" s="268"/>
      <c r="H50" s="269"/>
      <c r="J50" s="52"/>
      <c r="P50" s="269"/>
      <c r="R50" s="238"/>
    </row>
    <row r="51" spans="2:18">
      <c r="B51" s="237"/>
      <c r="D51" s="268"/>
      <c r="H51" s="269"/>
      <c r="J51" s="52"/>
      <c r="P51" s="269"/>
      <c r="R51" s="238"/>
    </row>
    <row r="52" spans="2:18">
      <c r="B52" s="237"/>
      <c r="D52" s="268"/>
      <c r="H52" s="269"/>
      <c r="J52" s="52"/>
      <c r="P52" s="269"/>
      <c r="R52" s="238"/>
    </row>
    <row r="53" spans="2:18">
      <c r="B53" s="237"/>
      <c r="D53" s="268"/>
      <c r="H53" s="269"/>
      <c r="J53" s="52"/>
      <c r="P53" s="269"/>
      <c r="R53" s="238"/>
    </row>
    <row r="54" spans="2:18">
      <c r="B54" s="237"/>
      <c r="D54" s="268"/>
      <c r="H54" s="269"/>
      <c r="J54" s="52"/>
      <c r="P54" s="269"/>
      <c r="R54" s="238"/>
    </row>
    <row r="55" spans="2:18">
      <c r="B55" s="237"/>
      <c r="D55" s="268"/>
      <c r="H55" s="269"/>
      <c r="J55" s="52"/>
      <c r="P55" s="269"/>
      <c r="R55" s="238"/>
    </row>
    <row r="56" spans="2:18">
      <c r="B56" s="237"/>
      <c r="D56" s="268"/>
      <c r="H56" s="269"/>
      <c r="J56" s="52"/>
      <c r="P56" s="269"/>
      <c r="R56" s="238"/>
    </row>
    <row r="57" spans="2:18" ht="12.75">
      <c r="B57" s="237"/>
      <c r="D57" s="270" t="s">
        <v>29</v>
      </c>
      <c r="E57" s="271"/>
      <c r="F57" s="271"/>
      <c r="G57" s="272" t="s">
        <v>30</v>
      </c>
      <c r="H57" s="273"/>
      <c r="J57" s="53" t="s">
        <v>29</v>
      </c>
      <c r="K57" s="271"/>
      <c r="L57" s="271"/>
      <c r="M57" s="271"/>
      <c r="N57" s="272" t="s">
        <v>30</v>
      </c>
      <c r="O57" s="271"/>
      <c r="P57" s="273"/>
      <c r="R57" s="238"/>
    </row>
    <row r="58" spans="2:18">
      <c r="B58" s="237"/>
      <c r="J58" s="47"/>
      <c r="R58" s="238"/>
    </row>
    <row r="59" spans="2:18" ht="12.75">
      <c r="B59" s="237"/>
      <c r="D59" s="265" t="s">
        <v>31</v>
      </c>
      <c r="E59" s="266"/>
      <c r="F59" s="266"/>
      <c r="G59" s="266"/>
      <c r="H59" s="267"/>
      <c r="J59" s="51" t="s">
        <v>32</v>
      </c>
      <c r="K59" s="266"/>
      <c r="L59" s="266"/>
      <c r="M59" s="266"/>
      <c r="N59" s="266"/>
      <c r="O59" s="266"/>
      <c r="P59" s="267"/>
      <c r="R59" s="238"/>
    </row>
    <row r="60" spans="2:18">
      <c r="B60" s="237"/>
      <c r="D60" s="268"/>
      <c r="H60" s="269"/>
      <c r="J60" s="52"/>
      <c r="P60" s="269"/>
      <c r="R60" s="238"/>
    </row>
    <row r="61" spans="2:18">
      <c r="B61" s="237"/>
      <c r="D61" s="268"/>
      <c r="H61" s="269"/>
      <c r="J61" s="52"/>
      <c r="P61" s="269"/>
      <c r="R61" s="238"/>
    </row>
    <row r="62" spans="2:18">
      <c r="B62" s="237"/>
      <c r="D62" s="268"/>
      <c r="H62" s="269"/>
      <c r="J62" s="52"/>
      <c r="P62" s="269"/>
      <c r="R62" s="238"/>
    </row>
    <row r="63" spans="2:18">
      <c r="B63" s="237"/>
      <c r="D63" s="268"/>
      <c r="H63" s="269"/>
      <c r="J63" s="52"/>
      <c r="P63" s="269"/>
      <c r="R63" s="238"/>
    </row>
    <row r="64" spans="2:18">
      <c r="B64" s="237"/>
      <c r="D64" s="268"/>
      <c r="H64" s="269"/>
      <c r="J64" s="52"/>
      <c r="P64" s="269"/>
      <c r="R64" s="238"/>
    </row>
    <row r="65" spans="2:18">
      <c r="B65" s="237"/>
      <c r="D65" s="268"/>
      <c r="H65" s="269"/>
      <c r="J65" s="52"/>
      <c r="P65" s="269"/>
      <c r="R65" s="238"/>
    </row>
    <row r="66" spans="2:18">
      <c r="B66" s="237"/>
      <c r="D66" s="268"/>
      <c r="H66" s="269"/>
      <c r="J66" s="52"/>
      <c r="P66" s="269"/>
      <c r="R66" s="238"/>
    </row>
    <row r="67" spans="2:18">
      <c r="B67" s="237"/>
      <c r="D67" s="268"/>
      <c r="H67" s="269"/>
      <c r="J67" s="52"/>
      <c r="P67" s="269"/>
      <c r="R67" s="238"/>
    </row>
    <row r="68" spans="2:18" ht="12.75">
      <c r="B68" s="237"/>
      <c r="D68" s="270" t="s">
        <v>29</v>
      </c>
      <c r="E68" s="271"/>
      <c r="F68" s="271"/>
      <c r="G68" s="272" t="s">
        <v>30</v>
      </c>
      <c r="H68" s="273"/>
      <c r="J68" s="53" t="s">
        <v>29</v>
      </c>
      <c r="K68" s="271"/>
      <c r="L68" s="271"/>
      <c r="M68" s="271"/>
      <c r="N68" s="272" t="s">
        <v>30</v>
      </c>
      <c r="O68" s="271"/>
      <c r="P68" s="273"/>
      <c r="R68" s="238"/>
    </row>
    <row r="69" spans="2:18">
      <c r="B69" s="274"/>
      <c r="C69" s="275"/>
      <c r="D69" s="275"/>
      <c r="E69" s="275"/>
      <c r="F69" s="275"/>
      <c r="G69" s="275"/>
      <c r="H69" s="275"/>
      <c r="I69" s="275"/>
      <c r="J69" s="54"/>
      <c r="K69" s="275"/>
      <c r="L69" s="275"/>
      <c r="M69" s="275"/>
      <c r="N69" s="275"/>
      <c r="O69" s="275"/>
      <c r="P69" s="275"/>
      <c r="Q69" s="275"/>
      <c r="R69" s="276"/>
    </row>
    <row r="73" spans="2:18">
      <c r="B73" s="233"/>
      <c r="C73" s="234"/>
      <c r="D73" s="234"/>
      <c r="E73" s="234"/>
      <c r="F73" s="234"/>
      <c r="G73" s="234"/>
      <c r="H73" s="234"/>
      <c r="I73" s="234"/>
      <c r="J73" s="46"/>
      <c r="K73" s="234"/>
      <c r="L73" s="234"/>
      <c r="M73" s="234"/>
      <c r="N73" s="234"/>
      <c r="O73" s="234"/>
      <c r="P73" s="234"/>
      <c r="Q73" s="234"/>
      <c r="R73" s="235"/>
    </row>
    <row r="74" spans="2:18" ht="20.25">
      <c r="B74" s="237"/>
      <c r="C74" s="697" t="s">
        <v>40</v>
      </c>
      <c r="D74" s="698"/>
      <c r="E74" s="698"/>
      <c r="F74" s="698"/>
      <c r="G74" s="698"/>
      <c r="H74" s="698"/>
      <c r="I74" s="698"/>
      <c r="J74" s="698"/>
      <c r="K74" s="698"/>
      <c r="L74" s="698"/>
      <c r="M74" s="698"/>
      <c r="N74" s="698"/>
      <c r="O74" s="698"/>
      <c r="P74" s="698"/>
      <c r="Q74" s="698"/>
      <c r="R74" s="238"/>
    </row>
    <row r="75" spans="2:18">
      <c r="B75" s="237"/>
      <c r="J75" s="47"/>
      <c r="R75" s="238"/>
    </row>
    <row r="76" spans="2:18" ht="12">
      <c r="B76" s="237"/>
      <c r="C76" s="239" t="s">
        <v>3</v>
      </c>
      <c r="F76" s="721" t="str">
        <f>F4</f>
        <v>Stavební úpravy, vestavba a přístavba stávajícího objektu</v>
      </c>
      <c r="G76" s="722"/>
      <c r="H76" s="722"/>
      <c r="I76" s="722"/>
      <c r="J76" s="722"/>
      <c r="K76" s="722"/>
      <c r="L76" s="722"/>
      <c r="M76" s="722"/>
      <c r="N76" s="722"/>
      <c r="O76" s="722"/>
      <c r="P76" s="722"/>
      <c r="R76" s="238"/>
    </row>
    <row r="77" spans="2:18" ht="15.75">
      <c r="B77" s="237"/>
      <c r="C77" s="241" t="s">
        <v>39</v>
      </c>
      <c r="F77" s="691" t="str">
        <f>F5</f>
        <v>Venkovní objekty, plochy a oplocení</v>
      </c>
      <c r="G77" s="671"/>
      <c r="H77" s="671"/>
      <c r="I77" s="671"/>
      <c r="J77" s="671"/>
      <c r="K77" s="671"/>
      <c r="L77" s="671"/>
      <c r="M77" s="671"/>
      <c r="N77" s="671"/>
      <c r="O77" s="671"/>
      <c r="P77" s="671"/>
      <c r="R77" s="238"/>
    </row>
    <row r="78" spans="2:18">
      <c r="B78" s="237"/>
      <c r="J78" s="47"/>
      <c r="R78" s="238"/>
    </row>
    <row r="79" spans="2:18" ht="12">
      <c r="B79" s="237"/>
      <c r="C79" s="239" t="s">
        <v>6</v>
      </c>
      <c r="F79" s="240" t="str">
        <f>F7</f>
        <v>Mírové náměstí 23/12, Bílina - p.č. 124, 125/1, 125/2, 125/3, k.ú. Bílina (604208)</v>
      </c>
      <c r="J79" s="47"/>
      <c r="K79" s="239" t="s">
        <v>7</v>
      </c>
      <c r="M79" s="712">
        <f>IF(O7="","",O7)</f>
        <v>0</v>
      </c>
      <c r="N79" s="712"/>
      <c r="O79" s="712"/>
      <c r="P79" s="712"/>
      <c r="R79" s="238"/>
    </row>
    <row r="80" spans="2:18">
      <c r="B80" s="237"/>
      <c r="J80" s="47"/>
      <c r="R80" s="238"/>
    </row>
    <row r="81" spans="2:20" ht="12">
      <c r="B81" s="237"/>
      <c r="C81" s="239" t="s">
        <v>8</v>
      </c>
      <c r="F81" s="240" t="str">
        <f>F9</f>
        <v>město Bílina</v>
      </c>
      <c r="J81" s="47"/>
      <c r="K81" s="239" t="s">
        <v>13</v>
      </c>
      <c r="M81" s="692" t="str">
        <f>E16</f>
        <v>Ing. arch. Bořek Peška</v>
      </c>
      <c r="N81" s="692"/>
      <c r="O81" s="692"/>
      <c r="P81" s="692"/>
      <c r="Q81" s="692"/>
      <c r="R81" s="238"/>
    </row>
    <row r="82" spans="2:20" ht="12">
      <c r="B82" s="237"/>
      <c r="C82" s="239" t="s">
        <v>11</v>
      </c>
      <c r="F82" s="240">
        <f>F12</f>
        <v>0</v>
      </c>
      <c r="J82" s="47"/>
      <c r="K82" s="239" t="s">
        <v>14</v>
      </c>
      <c r="M82" s="692" t="str">
        <f>E19</f>
        <v>Jakub Kulhavý</v>
      </c>
      <c r="N82" s="692"/>
      <c r="O82" s="692"/>
      <c r="P82" s="692"/>
      <c r="Q82" s="692"/>
      <c r="R82" s="238"/>
    </row>
    <row r="83" spans="2:20">
      <c r="B83" s="237"/>
      <c r="J83" s="47"/>
      <c r="R83" s="238"/>
    </row>
    <row r="84" spans="2:20" ht="12">
      <c r="B84" s="237"/>
      <c r="C84" s="742" t="s">
        <v>41</v>
      </c>
      <c r="D84" s="743"/>
      <c r="E84" s="743"/>
      <c r="F84" s="743"/>
      <c r="G84" s="743"/>
      <c r="H84" s="297"/>
      <c r="I84" s="297"/>
      <c r="J84" s="55"/>
      <c r="K84" s="297"/>
      <c r="L84" s="297"/>
      <c r="M84" s="297"/>
      <c r="N84" s="742" t="s">
        <v>42</v>
      </c>
      <c r="O84" s="743"/>
      <c r="P84" s="743"/>
      <c r="Q84" s="743"/>
      <c r="R84" s="238"/>
    </row>
    <row r="85" spans="2:20">
      <c r="B85" s="237"/>
      <c r="J85" s="47"/>
      <c r="R85" s="238"/>
    </row>
    <row r="86" spans="2:20" ht="15.75">
      <c r="B86" s="237"/>
      <c r="C86" s="436" t="str">
        <f>C112</f>
        <v>2) Náklady z rozpočtu</v>
      </c>
      <c r="J86" s="47"/>
      <c r="N86" s="681">
        <f>N87</f>
        <v>0</v>
      </c>
      <c r="O86" s="744"/>
      <c r="P86" s="744"/>
      <c r="Q86" s="744"/>
      <c r="R86" s="238"/>
      <c r="T86" s="56">
        <f>SUM(N86:Q91)/3</f>
        <v>0</v>
      </c>
    </row>
    <row r="87" spans="2:20" s="322" customFormat="1" ht="15">
      <c r="B87" s="321"/>
      <c r="D87" s="323" t="str">
        <f>D113</f>
        <v>Zpevněné a nezpevněné plochy</v>
      </c>
      <c r="J87" s="57"/>
      <c r="N87" s="730">
        <f>SUM(N88:Q91)</f>
        <v>0</v>
      </c>
      <c r="O87" s="731"/>
      <c r="P87" s="731"/>
      <c r="Q87" s="731"/>
      <c r="R87" s="324"/>
      <c r="T87" s="56">
        <f>SUM(N87:Q91)/2</f>
        <v>0</v>
      </c>
    </row>
    <row r="88" spans="2:20" s="302" customFormat="1" ht="12.75">
      <c r="B88" s="327"/>
      <c r="D88" s="328" t="str">
        <f>D114</f>
        <v xml:space="preserve">    1 - Stavební práce a dodávky</v>
      </c>
      <c r="J88" s="58"/>
      <c r="N88" s="732">
        <f>N114</f>
        <v>0</v>
      </c>
      <c r="O88" s="733"/>
      <c r="P88" s="733"/>
      <c r="Q88" s="733"/>
      <c r="R88" s="329"/>
      <c r="T88" s="43"/>
    </row>
    <row r="89" spans="2:20" s="302" customFormat="1" ht="12.75">
      <c r="B89" s="327"/>
      <c r="D89" s="328" t="str">
        <f>D172</f>
        <v xml:space="preserve">    5 - Komunikace a venkovní plochy</v>
      </c>
      <c r="J89" s="58"/>
      <c r="N89" s="732">
        <f>N172</f>
        <v>0</v>
      </c>
      <c r="O89" s="733"/>
      <c r="P89" s="733"/>
      <c r="Q89" s="733"/>
      <c r="R89" s="329"/>
      <c r="T89" s="43"/>
    </row>
    <row r="90" spans="2:20" s="302" customFormat="1" ht="12.75">
      <c r="B90" s="327"/>
      <c r="D90" s="328" t="str">
        <f>D217</f>
        <v xml:space="preserve">    9 - Ostatní konstrukce a práce - drobné objekty a oplocení</v>
      </c>
      <c r="J90" s="58"/>
      <c r="N90" s="732">
        <f>N217</f>
        <v>0</v>
      </c>
      <c r="O90" s="733"/>
      <c r="P90" s="733"/>
      <c r="Q90" s="733"/>
      <c r="R90" s="329"/>
      <c r="T90" s="43"/>
    </row>
    <row r="91" spans="2:20" s="302" customFormat="1" ht="12.75">
      <c r="B91" s="327"/>
      <c r="D91" s="328" t="str">
        <f>D226</f>
        <v xml:space="preserve">    998 - Přesuny hmot pro HSV</v>
      </c>
      <c r="J91" s="58"/>
      <c r="N91" s="732">
        <f>N226</f>
        <v>0</v>
      </c>
      <c r="O91" s="733"/>
      <c r="P91" s="733"/>
      <c r="Q91" s="733"/>
      <c r="R91" s="329"/>
      <c r="T91" s="43"/>
    </row>
    <row r="92" spans="2:20">
      <c r="B92" s="237"/>
      <c r="J92" s="47"/>
      <c r="R92" s="238"/>
    </row>
    <row r="93" spans="2:20" ht="15.75">
      <c r="B93" s="237"/>
      <c r="C93" s="296" t="s">
        <v>95</v>
      </c>
      <c r="D93" s="297"/>
      <c r="E93" s="297"/>
      <c r="F93" s="297"/>
      <c r="G93" s="297"/>
      <c r="H93" s="297"/>
      <c r="I93" s="297"/>
      <c r="J93" s="55"/>
      <c r="K93" s="297"/>
      <c r="L93" s="669">
        <f>ROUND(N86,2)</f>
        <v>0</v>
      </c>
      <c r="M93" s="669"/>
      <c r="N93" s="669"/>
      <c r="O93" s="669"/>
      <c r="P93" s="669"/>
      <c r="Q93" s="669"/>
      <c r="R93" s="238"/>
    </row>
    <row r="94" spans="2:20">
      <c r="B94" s="274"/>
      <c r="C94" s="275"/>
      <c r="D94" s="275"/>
      <c r="E94" s="275"/>
      <c r="F94" s="275"/>
      <c r="G94" s="275"/>
      <c r="H94" s="275"/>
      <c r="I94" s="275"/>
      <c r="J94" s="54"/>
      <c r="K94" s="275"/>
      <c r="L94" s="275"/>
      <c r="M94" s="275"/>
      <c r="N94" s="275"/>
      <c r="O94" s="275"/>
      <c r="P94" s="275"/>
      <c r="Q94" s="275"/>
      <c r="R94" s="276"/>
    </row>
    <row r="98" spans="2:20">
      <c r="B98" s="233"/>
      <c r="C98" s="234"/>
      <c r="D98" s="234"/>
      <c r="E98" s="234"/>
      <c r="F98" s="234"/>
      <c r="G98" s="234"/>
      <c r="H98" s="234"/>
      <c r="I98" s="234"/>
      <c r="J98" s="46"/>
      <c r="K98" s="234"/>
      <c r="L98" s="234"/>
      <c r="M98" s="234"/>
      <c r="N98" s="234"/>
      <c r="O98" s="234"/>
      <c r="P98" s="234"/>
      <c r="Q98" s="234"/>
      <c r="R98" s="235"/>
    </row>
    <row r="99" spans="2:20" ht="20.25">
      <c r="B99" s="237"/>
      <c r="C99" s="697" t="s">
        <v>55</v>
      </c>
      <c r="D99" s="671"/>
      <c r="E99" s="671"/>
      <c r="F99" s="671"/>
      <c r="G99" s="671"/>
      <c r="H99" s="671"/>
      <c r="I99" s="671"/>
      <c r="J99" s="671"/>
      <c r="K99" s="671"/>
      <c r="L99" s="671"/>
      <c r="M99" s="671"/>
      <c r="N99" s="671"/>
      <c r="O99" s="671"/>
      <c r="P99" s="671"/>
      <c r="Q99" s="671"/>
      <c r="R99" s="238"/>
    </row>
    <row r="100" spans="2:20" ht="2.25" customHeight="1">
      <c r="B100" s="237"/>
      <c r="J100" s="47"/>
      <c r="R100" s="238"/>
    </row>
    <row r="101" spans="2:20" ht="12">
      <c r="B101" s="237"/>
      <c r="C101" s="239" t="s">
        <v>3</v>
      </c>
      <c r="F101" s="721" t="str">
        <f>F4</f>
        <v>Stavební úpravy, vestavba a přístavba stávajícího objektu</v>
      </c>
      <c r="G101" s="722"/>
      <c r="H101" s="722"/>
      <c r="I101" s="722"/>
      <c r="J101" s="722"/>
      <c r="K101" s="722"/>
      <c r="L101" s="722"/>
      <c r="M101" s="722"/>
      <c r="N101" s="722"/>
      <c r="O101" s="722"/>
      <c r="P101" s="722"/>
      <c r="R101" s="238"/>
    </row>
    <row r="102" spans="2:20" ht="15.75">
      <c r="B102" s="237"/>
      <c r="C102" s="241" t="s">
        <v>39</v>
      </c>
      <c r="F102" s="691" t="str">
        <f>F5</f>
        <v>Venkovní objekty, plochy a oplocení</v>
      </c>
      <c r="G102" s="671"/>
      <c r="H102" s="671"/>
      <c r="I102" s="671"/>
      <c r="J102" s="671"/>
      <c r="K102" s="671"/>
      <c r="L102" s="671"/>
      <c r="M102" s="671"/>
      <c r="N102" s="671"/>
      <c r="O102" s="671"/>
      <c r="P102" s="671"/>
      <c r="R102" s="238"/>
    </row>
    <row r="103" spans="2:20">
      <c r="B103" s="237"/>
      <c r="J103" s="47"/>
      <c r="R103" s="238"/>
    </row>
    <row r="104" spans="2:20" ht="12">
      <c r="B104" s="237"/>
      <c r="C104" s="239" t="s">
        <v>6</v>
      </c>
      <c r="F104" s="240" t="str">
        <f>F7</f>
        <v>Mírové náměstí 23/12, Bílina - p.č. 124, 125/1, 125/2, 125/3, k.ú. Bílina (604208)</v>
      </c>
      <c r="J104" s="47"/>
      <c r="K104" s="239" t="s">
        <v>7</v>
      </c>
      <c r="M104" s="712">
        <f>IF(O7="","",O7)</f>
        <v>0</v>
      </c>
      <c r="N104" s="712"/>
      <c r="O104" s="712"/>
      <c r="P104" s="712"/>
      <c r="R104" s="238"/>
    </row>
    <row r="105" spans="2:20">
      <c r="B105" s="237"/>
      <c r="J105" s="47"/>
      <c r="R105" s="238"/>
    </row>
    <row r="106" spans="2:20" ht="12">
      <c r="B106" s="237"/>
      <c r="C106" s="239" t="s">
        <v>8</v>
      </c>
      <c r="F106" s="240" t="str">
        <f>F81</f>
        <v>město Bílina</v>
      </c>
      <c r="J106" s="47"/>
      <c r="K106" s="239" t="s">
        <v>13</v>
      </c>
      <c r="M106" s="692" t="str">
        <f>E16</f>
        <v>Ing. arch. Bořek Peška</v>
      </c>
      <c r="N106" s="692"/>
      <c r="O106" s="692"/>
      <c r="P106" s="692"/>
      <c r="Q106" s="692"/>
      <c r="R106" s="238"/>
    </row>
    <row r="107" spans="2:20" ht="12">
      <c r="B107" s="237"/>
      <c r="C107" s="239" t="s">
        <v>11</v>
      </c>
      <c r="F107" s="240">
        <f>F82</f>
        <v>0</v>
      </c>
      <c r="J107" s="47"/>
      <c r="K107" s="239" t="s">
        <v>14</v>
      </c>
      <c r="M107" s="692" t="str">
        <f>E19</f>
        <v>Jakub Kulhavý</v>
      </c>
      <c r="N107" s="692"/>
      <c r="O107" s="692"/>
      <c r="P107" s="692"/>
      <c r="Q107" s="692"/>
      <c r="R107" s="238"/>
    </row>
    <row r="108" spans="2:20" ht="12">
      <c r="B108" s="237"/>
      <c r="C108" s="239"/>
      <c r="F108" s="721"/>
      <c r="G108" s="722"/>
      <c r="H108" s="722"/>
      <c r="I108" s="722"/>
      <c r="J108" s="722"/>
      <c r="K108" s="722"/>
      <c r="L108" s="722"/>
      <c r="M108" s="722"/>
      <c r="N108" s="722"/>
      <c r="O108" s="722"/>
      <c r="P108" s="722"/>
      <c r="R108" s="238"/>
    </row>
    <row r="109" spans="2:20" ht="28.5" customHeight="1">
      <c r="B109" s="237"/>
      <c r="C109" s="239" t="s">
        <v>106</v>
      </c>
      <c r="F109" s="690" t="s">
        <v>2047</v>
      </c>
      <c r="G109" s="690"/>
      <c r="H109" s="690"/>
      <c r="I109" s="690"/>
      <c r="J109" s="690"/>
      <c r="K109" s="690"/>
      <c r="L109" s="690"/>
      <c r="M109" s="690"/>
      <c r="N109" s="690"/>
      <c r="O109" s="690"/>
      <c r="P109" s="690"/>
      <c r="R109" s="238"/>
    </row>
    <row r="110" spans="2:20" ht="3.75" customHeight="1">
      <c r="B110" s="237"/>
      <c r="J110" s="47"/>
      <c r="R110" s="238"/>
    </row>
    <row r="111" spans="2:20" s="338" customFormat="1" ht="12">
      <c r="B111" s="334"/>
      <c r="C111" s="335" t="s">
        <v>56</v>
      </c>
      <c r="D111" s="336" t="s">
        <v>57</v>
      </c>
      <c r="E111" s="336" t="s">
        <v>34</v>
      </c>
      <c r="F111" s="723" t="s">
        <v>58</v>
      </c>
      <c r="G111" s="723"/>
      <c r="H111" s="723"/>
      <c r="I111" s="723"/>
      <c r="J111" s="59" t="s">
        <v>59</v>
      </c>
      <c r="K111" s="336" t="s">
        <v>60</v>
      </c>
      <c r="L111" s="724" t="s">
        <v>61</v>
      </c>
      <c r="M111" s="724"/>
      <c r="N111" s="723" t="s">
        <v>42</v>
      </c>
      <c r="O111" s="723"/>
      <c r="P111" s="723"/>
      <c r="Q111" s="725"/>
      <c r="R111" s="337"/>
      <c r="T111" s="44"/>
    </row>
    <row r="112" spans="2:20" ht="15.75">
      <c r="B112" s="237"/>
      <c r="C112" s="285" t="s">
        <v>2453</v>
      </c>
      <c r="J112" s="47"/>
      <c r="N112" s="746">
        <f>N113</f>
        <v>0</v>
      </c>
      <c r="O112" s="747"/>
      <c r="P112" s="747"/>
      <c r="Q112" s="747"/>
      <c r="R112" s="238"/>
      <c r="T112" s="42">
        <f>SUM(N112:Q228)/4</f>
        <v>0</v>
      </c>
    </row>
    <row r="113" spans="2:25" s="341" customFormat="1" ht="15">
      <c r="B113" s="340"/>
      <c r="D113" s="323" t="s">
        <v>206</v>
      </c>
      <c r="E113" s="323"/>
      <c r="F113" s="323"/>
      <c r="G113" s="323"/>
      <c r="H113" s="323"/>
      <c r="I113" s="323"/>
      <c r="J113" s="60"/>
      <c r="K113" s="323"/>
      <c r="L113" s="323"/>
      <c r="M113" s="323"/>
      <c r="N113" s="730">
        <f>N114+N172+N217+N226</f>
        <v>0</v>
      </c>
      <c r="O113" s="730"/>
      <c r="P113" s="730"/>
      <c r="Q113" s="730"/>
      <c r="R113" s="342"/>
      <c r="T113" s="45">
        <f>SUM(N113:Q227)/3</f>
        <v>0</v>
      </c>
    </row>
    <row r="114" spans="2:25" s="341" customFormat="1" ht="12.75">
      <c r="B114" s="340"/>
      <c r="C114" s="344"/>
      <c r="D114" s="344" t="s">
        <v>1231</v>
      </c>
      <c r="E114" s="344"/>
      <c r="F114" s="344"/>
      <c r="G114" s="344"/>
      <c r="H114" s="344"/>
      <c r="I114" s="344"/>
      <c r="J114" s="61"/>
      <c r="K114" s="344"/>
      <c r="L114" s="72"/>
      <c r="M114" s="72"/>
      <c r="N114" s="734">
        <f>SUM(N115:Q171)</f>
        <v>0</v>
      </c>
      <c r="O114" s="734"/>
      <c r="P114" s="734"/>
      <c r="Q114" s="734"/>
      <c r="R114" s="342"/>
      <c r="T114" s="62">
        <f>SUM(N114:Q171)/2</f>
        <v>0</v>
      </c>
      <c r="U114" s="369"/>
      <c r="V114" s="369"/>
      <c r="W114" s="369"/>
      <c r="X114" s="369"/>
      <c r="Y114" s="369"/>
    </row>
    <row r="115" spans="2:25" ht="27" customHeight="1" outlineLevel="1">
      <c r="B115" s="237"/>
      <c r="C115" s="345"/>
      <c r="D115" s="345" t="s">
        <v>62</v>
      </c>
      <c r="E115" s="346">
        <v>132212131</v>
      </c>
      <c r="F115" s="719" t="s">
        <v>858</v>
      </c>
      <c r="G115" s="719"/>
      <c r="H115" s="719"/>
      <c r="I115" s="719"/>
      <c r="J115" s="63" t="s">
        <v>64</v>
      </c>
      <c r="K115" s="347">
        <f>SUM(K116:K117)</f>
        <v>7.3761999999999999</v>
      </c>
      <c r="L115" s="726"/>
      <c r="M115" s="726"/>
      <c r="N115" s="720">
        <f>ROUND(L115*K115,2)</f>
        <v>0</v>
      </c>
      <c r="O115" s="720"/>
      <c r="P115" s="720"/>
      <c r="Q115" s="720"/>
      <c r="R115" s="238"/>
      <c r="T115" s="45"/>
      <c r="U115" s="248"/>
    </row>
    <row r="116" spans="2:25" s="248" customFormat="1" ht="22.5" outlineLevel="1">
      <c r="B116" s="247"/>
      <c r="E116" s="349" t="s">
        <v>1198</v>
      </c>
      <c r="F116" s="717" t="s">
        <v>1201</v>
      </c>
      <c r="G116" s="718">
        <f>(0.73+0.4*0.6)*(1.45*2+3.2)</f>
        <v>5.9169999999999998</v>
      </c>
      <c r="H116" s="718">
        <f>(0.73+0.4*0.6)*(1.45*2+3.2)</f>
        <v>5.9169999999999998</v>
      </c>
      <c r="I116" s="718">
        <f>(0.73+0.4*0.6)*(1.45*2+3.2)</f>
        <v>5.9169999999999998</v>
      </c>
      <c r="J116" s="64"/>
      <c r="K116" s="350">
        <f>(0.73+0.4*0.6)*(1.45*2+3.2)</f>
        <v>5.9169999999999998</v>
      </c>
      <c r="L116" s="196"/>
      <c r="M116" s="196"/>
      <c r="R116" s="249"/>
      <c r="T116" s="45"/>
    </row>
    <row r="117" spans="2:25" s="248" customFormat="1" ht="22.5" outlineLevel="1">
      <c r="B117" s="247"/>
      <c r="E117" s="349" t="s">
        <v>1200</v>
      </c>
      <c r="F117" s="717" t="s">
        <v>1204</v>
      </c>
      <c r="G117" s="718">
        <f>(1.36+1.68)*0.6*0.8</f>
        <v>1.4592000000000001</v>
      </c>
      <c r="H117" s="718">
        <f>(1.36+1.68)*0.6*0.8</f>
        <v>1.4592000000000001</v>
      </c>
      <c r="I117" s="718">
        <f>(1.36+1.68)*0.6*0.8</f>
        <v>1.4592000000000001</v>
      </c>
      <c r="J117" s="64"/>
      <c r="K117" s="350">
        <f>(1.36+1.68)*0.6*0.8</f>
        <v>1.4592000000000001</v>
      </c>
      <c r="L117" s="196"/>
      <c r="M117" s="196"/>
      <c r="R117" s="249"/>
      <c r="T117" s="45"/>
    </row>
    <row r="118" spans="2:25" ht="27" customHeight="1" outlineLevel="1">
      <c r="B118" s="237"/>
      <c r="C118" s="345"/>
      <c r="D118" s="345" t="s">
        <v>62</v>
      </c>
      <c r="E118" s="346">
        <v>162751117</v>
      </c>
      <c r="F118" s="719" t="s">
        <v>189</v>
      </c>
      <c r="G118" s="719"/>
      <c r="H118" s="719"/>
      <c r="I118" s="719"/>
      <c r="J118" s="63" t="s">
        <v>64</v>
      </c>
      <c r="K118" s="347">
        <f>SUM(K119:K119)</f>
        <v>5.4651999999999994</v>
      </c>
      <c r="L118" s="726"/>
      <c r="M118" s="726"/>
      <c r="N118" s="720">
        <f>ROUND(L118*K118,2)</f>
        <v>0</v>
      </c>
      <c r="O118" s="720"/>
      <c r="P118" s="720"/>
      <c r="Q118" s="720"/>
      <c r="R118" s="238"/>
      <c r="T118" s="45"/>
      <c r="U118" s="248"/>
    </row>
    <row r="119" spans="2:25" s="248" customFormat="1" ht="22.5" outlineLevel="1">
      <c r="B119" s="247"/>
      <c r="E119" s="349" t="s">
        <v>204</v>
      </c>
      <c r="F119" s="717" t="s">
        <v>187</v>
      </c>
      <c r="G119" s="718"/>
      <c r="H119" s="718"/>
      <c r="I119" s="718"/>
      <c r="J119" s="64"/>
      <c r="K119" s="350">
        <f>K127</f>
        <v>5.4651999999999994</v>
      </c>
      <c r="L119" s="196"/>
      <c r="M119" s="196"/>
      <c r="R119" s="249"/>
      <c r="T119" s="45"/>
    </row>
    <row r="120" spans="2:25" ht="27" customHeight="1" outlineLevel="1">
      <c r="B120" s="237"/>
      <c r="C120" s="345"/>
      <c r="D120" s="345" t="s">
        <v>62</v>
      </c>
      <c r="E120" s="346">
        <v>162751119</v>
      </c>
      <c r="F120" s="719" t="s">
        <v>195</v>
      </c>
      <c r="G120" s="719"/>
      <c r="H120" s="719"/>
      <c r="I120" s="719"/>
      <c r="J120" s="63" t="s">
        <v>64</v>
      </c>
      <c r="K120" s="347">
        <f>SUM(K121:K121)</f>
        <v>163.95599999999999</v>
      </c>
      <c r="L120" s="726"/>
      <c r="M120" s="726"/>
      <c r="N120" s="720">
        <f>ROUND(L120*K120,2)</f>
        <v>0</v>
      </c>
      <c r="O120" s="720"/>
      <c r="P120" s="720"/>
      <c r="Q120" s="720"/>
      <c r="R120" s="238"/>
      <c r="T120" s="45"/>
      <c r="U120" s="248"/>
    </row>
    <row r="121" spans="2:25" s="248" customFormat="1" ht="22.5" outlineLevel="1">
      <c r="B121" s="247"/>
      <c r="E121" s="349" t="s">
        <v>190</v>
      </c>
      <c r="F121" s="717" t="s">
        <v>865</v>
      </c>
      <c r="G121" s="718"/>
      <c r="H121" s="718"/>
      <c r="I121" s="718"/>
      <c r="J121" s="64">
        <v>30</v>
      </c>
      <c r="K121" s="350">
        <f>K118*J121</f>
        <v>163.95599999999999</v>
      </c>
      <c r="L121" s="196"/>
      <c r="M121" s="196"/>
      <c r="R121" s="249"/>
      <c r="T121" s="45"/>
    </row>
    <row r="122" spans="2:25" outlineLevel="1">
      <c r="B122" s="237"/>
      <c r="C122" s="345"/>
      <c r="D122" s="345" t="s">
        <v>62</v>
      </c>
      <c r="E122" s="346">
        <v>167151111</v>
      </c>
      <c r="F122" s="719" t="s">
        <v>194</v>
      </c>
      <c r="G122" s="719"/>
      <c r="H122" s="719"/>
      <c r="I122" s="719"/>
      <c r="J122" s="63" t="s">
        <v>64</v>
      </c>
      <c r="K122" s="347">
        <f>SUM(K123:K123)</f>
        <v>5.4651999999999994</v>
      </c>
      <c r="L122" s="726"/>
      <c r="M122" s="726"/>
      <c r="N122" s="720">
        <f>ROUND(L122*K122,2)</f>
        <v>0</v>
      </c>
      <c r="O122" s="720"/>
      <c r="P122" s="720"/>
      <c r="Q122" s="720"/>
      <c r="R122" s="238"/>
      <c r="T122" s="45"/>
      <c r="U122" s="248"/>
    </row>
    <row r="123" spans="2:25" s="248" customFormat="1" ht="22.5" outlineLevel="1">
      <c r="B123" s="247"/>
      <c r="E123" s="349" t="s">
        <v>188</v>
      </c>
      <c r="F123" s="717" t="s">
        <v>237</v>
      </c>
      <c r="G123" s="718"/>
      <c r="H123" s="718"/>
      <c r="I123" s="718"/>
      <c r="J123" s="64"/>
      <c r="K123" s="350">
        <f>K118</f>
        <v>5.4651999999999994</v>
      </c>
      <c r="L123" s="196"/>
      <c r="M123" s="196"/>
      <c r="R123" s="249"/>
      <c r="T123" s="45"/>
    </row>
    <row r="124" spans="2:25" outlineLevel="1">
      <c r="B124" s="237"/>
      <c r="C124" s="345"/>
      <c r="D124" s="345" t="s">
        <v>62</v>
      </c>
      <c r="E124" s="346">
        <v>171251201</v>
      </c>
      <c r="F124" s="719" t="s">
        <v>109</v>
      </c>
      <c r="G124" s="719"/>
      <c r="H124" s="719"/>
      <c r="I124" s="719"/>
      <c r="J124" s="63" t="s">
        <v>64</v>
      </c>
      <c r="K124" s="347">
        <f>K122</f>
        <v>5.4651999999999994</v>
      </c>
      <c r="L124" s="726"/>
      <c r="M124" s="726"/>
      <c r="N124" s="720">
        <f>ROUND(L124*K124,2)</f>
        <v>0</v>
      </c>
      <c r="O124" s="720"/>
      <c r="P124" s="720"/>
      <c r="Q124" s="720"/>
      <c r="R124" s="238"/>
      <c r="T124" s="45"/>
      <c r="U124" s="248"/>
    </row>
    <row r="125" spans="2:25" ht="27" customHeight="1" outlineLevel="1">
      <c r="B125" s="237"/>
      <c r="C125" s="345"/>
      <c r="D125" s="345" t="s">
        <v>62</v>
      </c>
      <c r="E125" s="346">
        <v>171201231</v>
      </c>
      <c r="F125" s="719" t="s">
        <v>193</v>
      </c>
      <c r="G125" s="719"/>
      <c r="H125" s="719"/>
      <c r="I125" s="719"/>
      <c r="J125" s="63" t="s">
        <v>66</v>
      </c>
      <c r="K125" s="347">
        <f>SUM(K126:K126)</f>
        <v>8.7443200000000001</v>
      </c>
      <c r="L125" s="726"/>
      <c r="M125" s="726"/>
      <c r="N125" s="720">
        <f>ROUND(L125*K125,2)</f>
        <v>0</v>
      </c>
      <c r="O125" s="720"/>
      <c r="P125" s="720"/>
      <c r="Q125" s="720"/>
      <c r="R125" s="238"/>
      <c r="T125" s="45"/>
      <c r="U125" s="248"/>
    </row>
    <row r="126" spans="2:25" s="248" customFormat="1" ht="22.5" outlineLevel="1">
      <c r="B126" s="247"/>
      <c r="E126" s="349" t="s">
        <v>191</v>
      </c>
      <c r="F126" s="717" t="s">
        <v>192</v>
      </c>
      <c r="G126" s="718"/>
      <c r="H126" s="718"/>
      <c r="I126" s="718"/>
      <c r="J126" s="64">
        <v>1.6</v>
      </c>
      <c r="K126" s="350">
        <f>K118*J126</f>
        <v>8.7443200000000001</v>
      </c>
      <c r="L126" s="196"/>
      <c r="M126" s="196"/>
      <c r="R126" s="249"/>
      <c r="T126" s="45"/>
    </row>
    <row r="127" spans="2:25" outlineLevel="1">
      <c r="B127" s="237"/>
      <c r="C127" s="345"/>
      <c r="D127" s="345" t="s">
        <v>62</v>
      </c>
      <c r="E127" s="346" t="s">
        <v>108</v>
      </c>
      <c r="F127" s="719" t="s">
        <v>97</v>
      </c>
      <c r="G127" s="719"/>
      <c r="H127" s="719"/>
      <c r="I127" s="719"/>
      <c r="J127" s="63" t="s">
        <v>64</v>
      </c>
      <c r="K127" s="347">
        <f>SUM(K128:K129)</f>
        <v>5.4651999999999994</v>
      </c>
      <c r="L127" s="726"/>
      <c r="M127" s="726"/>
      <c r="N127" s="720">
        <f>ROUND(L127*K127,2)</f>
        <v>0</v>
      </c>
      <c r="O127" s="720"/>
      <c r="P127" s="720"/>
      <c r="Q127" s="720"/>
      <c r="R127" s="238"/>
      <c r="T127" s="45"/>
      <c r="U127" s="248"/>
    </row>
    <row r="128" spans="2:25" s="248" customFormat="1" outlineLevel="1">
      <c r="B128" s="247"/>
      <c r="E128" s="349" t="s">
        <v>861</v>
      </c>
      <c r="F128" s="717" t="s">
        <v>187</v>
      </c>
      <c r="G128" s="718" t="e">
        <f>#REF!-(12.2+24.1+4.285)*0.023</f>
        <v>#REF!</v>
      </c>
      <c r="H128" s="718" t="e">
        <f>#REF!-(12.2+24.1+4.285)*0.023</f>
        <v>#REF!</v>
      </c>
      <c r="I128" s="718" t="e">
        <f>#REF!-(12.2+24.1+4.285)*0.023</f>
        <v>#REF!</v>
      </c>
      <c r="J128" s="64"/>
      <c r="K128" s="350">
        <f>K115</f>
        <v>7.3761999999999999</v>
      </c>
      <c r="L128" s="196"/>
      <c r="M128" s="196"/>
      <c r="R128" s="249"/>
      <c r="T128" s="45"/>
    </row>
    <row r="129" spans="2:21" s="248" customFormat="1" outlineLevel="1">
      <c r="B129" s="247"/>
      <c r="E129" s="349" t="s">
        <v>862</v>
      </c>
      <c r="F129" s="717" t="s">
        <v>864</v>
      </c>
      <c r="G129" s="718">
        <f>((2*1+13.755*(0.6))*(1.41+0.15)+(2.92)*(2.8)*(1.71+0.15))*-1</f>
        <v>-31.202039999999997</v>
      </c>
      <c r="H129" s="718">
        <f>((2*1+13.755*(0.6))*(1.41+0.15)+(2.92)*(2.8)*(1.71+0.15))*-1</f>
        <v>-31.202039999999997</v>
      </c>
      <c r="I129" s="718">
        <f>((2*1+13.755*(0.6))*(1.41+0.15)+(2.92)*(2.8)*(1.71+0.15))*-1</f>
        <v>-31.202039999999997</v>
      </c>
      <c r="J129" s="64"/>
      <c r="K129" s="350">
        <f>(1.05*2+2.8)*(0.2*0.75+0.4*0.6)*-1</f>
        <v>-1.9110000000000003</v>
      </c>
      <c r="L129" s="196"/>
      <c r="M129" s="196"/>
      <c r="R129" s="249"/>
      <c r="T129" s="45"/>
    </row>
    <row r="130" spans="2:21" ht="27" customHeight="1" outlineLevel="1">
      <c r="B130" s="237"/>
      <c r="C130" s="345"/>
      <c r="D130" s="345" t="s">
        <v>62</v>
      </c>
      <c r="E130" s="346">
        <v>271532212</v>
      </c>
      <c r="F130" s="719" t="s">
        <v>869</v>
      </c>
      <c r="G130" s="719"/>
      <c r="H130" s="719"/>
      <c r="I130" s="719"/>
      <c r="J130" s="63" t="s">
        <v>64</v>
      </c>
      <c r="K130" s="347">
        <f>SUM(K131:K132)</f>
        <v>1.0968</v>
      </c>
      <c r="L130" s="726"/>
      <c r="M130" s="726"/>
      <c r="N130" s="720">
        <f>ROUND(L130*K130,2)</f>
        <v>0</v>
      </c>
      <c r="O130" s="720"/>
      <c r="P130" s="720"/>
      <c r="Q130" s="720"/>
      <c r="R130" s="238"/>
      <c r="T130" s="45"/>
      <c r="U130" s="248"/>
    </row>
    <row r="131" spans="2:21" s="248" customFormat="1" ht="22.5" outlineLevel="1">
      <c r="B131" s="247"/>
      <c r="E131" s="349" t="s">
        <v>1198</v>
      </c>
      <c r="F131" s="717" t="s">
        <v>1202</v>
      </c>
      <c r="G131" s="718">
        <f>(0.6*0.2)*(1.45*2+3.2)</f>
        <v>0.73199999999999998</v>
      </c>
      <c r="H131" s="718">
        <f>(0.6*0.2)*(1.45*2+3.2)</f>
        <v>0.73199999999999998</v>
      </c>
      <c r="I131" s="718">
        <f>(0.6*0.2)*(1.45*2+3.2)</f>
        <v>0.73199999999999998</v>
      </c>
      <c r="J131" s="64"/>
      <c r="K131" s="350">
        <f>(0.6*0.2)*(1.45*2+3.2)</f>
        <v>0.73199999999999998</v>
      </c>
      <c r="L131" s="196"/>
      <c r="M131" s="196"/>
      <c r="R131" s="249"/>
      <c r="T131" s="45"/>
    </row>
    <row r="132" spans="2:21" s="248" customFormat="1" ht="22.5" outlineLevel="1">
      <c r="B132" s="247"/>
      <c r="E132" s="349" t="s">
        <v>1200</v>
      </c>
      <c r="F132" s="717" t="s">
        <v>1203</v>
      </c>
      <c r="G132" s="718">
        <f>(1.36+1.68)*0.6*0.2</f>
        <v>0.36480000000000001</v>
      </c>
      <c r="H132" s="718">
        <f>(1.36+1.68)*0.6*0.2</f>
        <v>0.36480000000000001</v>
      </c>
      <c r="I132" s="718">
        <f>(1.36+1.68)*0.6*0.2</f>
        <v>0.36480000000000001</v>
      </c>
      <c r="J132" s="64"/>
      <c r="K132" s="350">
        <f>(1.36+1.68)*0.6*0.2</f>
        <v>0.36480000000000001</v>
      </c>
      <c r="L132" s="196"/>
      <c r="M132" s="196"/>
      <c r="R132" s="249"/>
      <c r="T132" s="45"/>
    </row>
    <row r="133" spans="2:21" outlineLevel="1">
      <c r="B133" s="237"/>
      <c r="C133" s="345"/>
      <c r="D133" s="345" t="s">
        <v>62</v>
      </c>
      <c r="E133" s="346">
        <v>274313811</v>
      </c>
      <c r="F133" s="719" t="s">
        <v>872</v>
      </c>
      <c r="G133" s="719"/>
      <c r="H133" s="719"/>
      <c r="I133" s="719"/>
      <c r="J133" s="63" t="s">
        <v>64</v>
      </c>
      <c r="K133" s="347">
        <f>SUM(K134:K135)</f>
        <v>1.8263999999999998</v>
      </c>
      <c r="L133" s="726"/>
      <c r="M133" s="726"/>
      <c r="N133" s="720">
        <f>ROUND(L133*K133,2)</f>
        <v>0</v>
      </c>
      <c r="O133" s="720"/>
      <c r="P133" s="720"/>
      <c r="Q133" s="720"/>
      <c r="R133" s="238"/>
      <c r="T133" s="45"/>
      <c r="U133" s="248"/>
    </row>
    <row r="134" spans="2:21" s="248" customFormat="1" ht="22.5" outlineLevel="1">
      <c r="B134" s="247"/>
      <c r="E134" s="349" t="s">
        <v>1198</v>
      </c>
      <c r="F134" s="717" t="s">
        <v>1202</v>
      </c>
      <c r="G134" s="718">
        <f>(0.6*0.2)*(1.45*2+3.2)</f>
        <v>0.73199999999999998</v>
      </c>
      <c r="H134" s="718">
        <f>(0.6*0.2)*(1.45*2+3.2)</f>
        <v>0.73199999999999998</v>
      </c>
      <c r="I134" s="718">
        <f>(0.6*0.2)*(1.45*2+3.2)</f>
        <v>0.73199999999999998</v>
      </c>
      <c r="J134" s="64"/>
      <c r="K134" s="350">
        <f>(0.6*0.2)*(1.45*2+3.2)</f>
        <v>0.73199999999999998</v>
      </c>
      <c r="L134" s="196"/>
      <c r="M134" s="196"/>
      <c r="R134" s="249"/>
      <c r="T134" s="45"/>
    </row>
    <row r="135" spans="2:21" s="248" customFormat="1" ht="22.5" outlineLevel="1">
      <c r="B135" s="247"/>
      <c r="E135" s="349" t="s">
        <v>1200</v>
      </c>
      <c r="F135" s="717" t="s">
        <v>1205</v>
      </c>
      <c r="G135" s="718">
        <f>(1.36+1.68)*0.6*0.2</f>
        <v>0.36480000000000001</v>
      </c>
      <c r="H135" s="718">
        <f>(1.36+1.68)*0.6*0.2</f>
        <v>0.36480000000000001</v>
      </c>
      <c r="I135" s="718">
        <f>(1.36+1.68)*0.6*0.2</f>
        <v>0.36480000000000001</v>
      </c>
      <c r="J135" s="64"/>
      <c r="K135" s="350">
        <f>(1.36+1.68)*0.6*0.6</f>
        <v>1.0943999999999998</v>
      </c>
      <c r="L135" s="196"/>
      <c r="M135" s="196"/>
      <c r="R135" s="249"/>
      <c r="T135" s="45"/>
    </row>
    <row r="136" spans="2:21" ht="27" customHeight="1" outlineLevel="1">
      <c r="B136" s="237"/>
      <c r="C136" s="345"/>
      <c r="D136" s="345" t="s">
        <v>62</v>
      </c>
      <c r="E136" s="346">
        <v>279113142</v>
      </c>
      <c r="F136" s="719" t="s">
        <v>1206</v>
      </c>
      <c r="G136" s="719"/>
      <c r="H136" s="719"/>
      <c r="I136" s="719"/>
      <c r="J136" s="63" t="s">
        <v>63</v>
      </c>
      <c r="K136" s="347">
        <f>SUM(K137:K137)</f>
        <v>11.025</v>
      </c>
      <c r="L136" s="726"/>
      <c r="M136" s="726"/>
      <c r="N136" s="720">
        <f>ROUND(L136*K136,2)</f>
        <v>0</v>
      </c>
      <c r="O136" s="720"/>
      <c r="P136" s="720"/>
      <c r="Q136" s="720"/>
      <c r="R136" s="238"/>
      <c r="T136" s="45"/>
      <c r="U136" s="248"/>
    </row>
    <row r="137" spans="2:21" s="248" customFormat="1" outlineLevel="1">
      <c r="B137" s="247"/>
      <c r="E137" s="349" t="s">
        <v>1207</v>
      </c>
      <c r="F137" s="717" t="s">
        <v>1208</v>
      </c>
      <c r="G137" s="718">
        <f>(1.05*2+2.8)*2.25</f>
        <v>11.025</v>
      </c>
      <c r="H137" s="718">
        <f>(1.05*2+2.8)*2.25</f>
        <v>11.025</v>
      </c>
      <c r="I137" s="718">
        <f>(1.05*2+2.8)*2.25</f>
        <v>11.025</v>
      </c>
      <c r="J137" s="64"/>
      <c r="K137" s="350">
        <f>(1.05*2+2.8)*2.25</f>
        <v>11.025</v>
      </c>
      <c r="L137" s="196"/>
      <c r="M137" s="196"/>
      <c r="R137" s="249"/>
      <c r="T137" s="45"/>
    </row>
    <row r="138" spans="2:21" outlineLevel="1">
      <c r="B138" s="237"/>
      <c r="C138" s="345"/>
      <c r="D138" s="345" t="s">
        <v>62</v>
      </c>
      <c r="E138" s="346">
        <v>279361821</v>
      </c>
      <c r="F138" s="719" t="s">
        <v>900</v>
      </c>
      <c r="G138" s="719"/>
      <c r="H138" s="719"/>
      <c r="I138" s="719"/>
      <c r="J138" s="63" t="s">
        <v>66</v>
      </c>
      <c r="K138" s="347">
        <f>SUM(K139:K139)</f>
        <v>0.55125000000000002</v>
      </c>
      <c r="L138" s="726"/>
      <c r="M138" s="726"/>
      <c r="N138" s="720">
        <f>ROUND(L138*K138,2)</f>
        <v>0</v>
      </c>
      <c r="O138" s="720"/>
      <c r="P138" s="720"/>
      <c r="Q138" s="720"/>
      <c r="R138" s="238"/>
      <c r="T138" s="45"/>
      <c r="U138" s="248"/>
    </row>
    <row r="139" spans="2:21" s="248" customFormat="1" outlineLevel="1">
      <c r="B139" s="247"/>
      <c r="E139" s="349" t="s">
        <v>902</v>
      </c>
      <c r="F139" s="717" t="s">
        <v>187</v>
      </c>
      <c r="G139" s="718"/>
      <c r="H139" s="718"/>
      <c r="I139" s="718"/>
      <c r="J139" s="64">
        <v>0.05</v>
      </c>
      <c r="K139" s="350">
        <f>K136*J139</f>
        <v>0.55125000000000002</v>
      </c>
      <c r="L139" s="196"/>
      <c r="M139" s="196"/>
      <c r="R139" s="249"/>
      <c r="T139" s="45"/>
    </row>
    <row r="140" spans="2:21" outlineLevel="1">
      <c r="B140" s="237"/>
      <c r="C140" s="345"/>
      <c r="D140" s="345" t="s">
        <v>62</v>
      </c>
      <c r="E140" s="346">
        <v>411321515</v>
      </c>
      <c r="F140" s="719" t="s">
        <v>953</v>
      </c>
      <c r="G140" s="719"/>
      <c r="H140" s="719"/>
      <c r="I140" s="719"/>
      <c r="J140" s="63" t="s">
        <v>64</v>
      </c>
      <c r="K140" s="347">
        <f>SUM(K141:K141)</f>
        <v>0.441</v>
      </c>
      <c r="L140" s="726"/>
      <c r="M140" s="726"/>
      <c r="N140" s="720">
        <f>ROUND(L140*K140,2)</f>
        <v>0</v>
      </c>
      <c r="O140" s="720"/>
      <c r="P140" s="720"/>
      <c r="Q140" s="720"/>
      <c r="R140" s="238"/>
      <c r="T140" s="45"/>
      <c r="U140" s="248"/>
    </row>
    <row r="141" spans="2:21" s="248" customFormat="1" outlineLevel="1">
      <c r="B141" s="247"/>
      <c r="E141" s="349" t="s">
        <v>1209</v>
      </c>
      <c r="F141" s="717" t="s">
        <v>1210</v>
      </c>
      <c r="G141" s="718" t="e">
        <f t="shared" ref="G141:I143" si="0">1.05*2.8*F141</f>
        <v>#VALUE!</v>
      </c>
      <c r="H141" s="718" t="e">
        <f t="shared" si="0"/>
        <v>#VALUE!</v>
      </c>
      <c r="I141" s="718" t="e">
        <f t="shared" si="0"/>
        <v>#VALUE!</v>
      </c>
      <c r="J141" s="64">
        <v>0.15</v>
      </c>
      <c r="K141" s="350">
        <f>1.05*2.8*J141</f>
        <v>0.441</v>
      </c>
      <c r="L141" s="196"/>
      <c r="M141" s="196"/>
      <c r="R141" s="249"/>
      <c r="T141" s="45"/>
    </row>
    <row r="142" spans="2:21" outlineLevel="1">
      <c r="B142" s="237"/>
      <c r="C142" s="345"/>
      <c r="D142" s="345" t="s">
        <v>62</v>
      </c>
      <c r="E142" s="346">
        <v>411351011</v>
      </c>
      <c r="F142" s="719" t="s">
        <v>960</v>
      </c>
      <c r="G142" s="719"/>
      <c r="H142" s="719"/>
      <c r="I142" s="719"/>
      <c r="J142" s="63" t="s">
        <v>63</v>
      </c>
      <c r="K142" s="347">
        <f>SUM(K143:K143)</f>
        <v>2.94</v>
      </c>
      <c r="L142" s="726"/>
      <c r="M142" s="726"/>
      <c r="N142" s="720">
        <f>ROUND(L142*K142,2)</f>
        <v>0</v>
      </c>
      <c r="O142" s="720"/>
      <c r="P142" s="720"/>
      <c r="Q142" s="720"/>
      <c r="R142" s="238"/>
      <c r="T142" s="45"/>
      <c r="U142" s="248"/>
    </row>
    <row r="143" spans="2:21" s="248" customFormat="1" outlineLevel="1">
      <c r="B143" s="247"/>
      <c r="E143" s="349" t="s">
        <v>1209</v>
      </c>
      <c r="F143" s="717" t="s">
        <v>1211</v>
      </c>
      <c r="G143" s="718" t="e">
        <f t="shared" si="0"/>
        <v>#VALUE!</v>
      </c>
      <c r="H143" s="718" t="e">
        <f t="shared" si="0"/>
        <v>#VALUE!</v>
      </c>
      <c r="I143" s="718" t="e">
        <f t="shared" si="0"/>
        <v>#VALUE!</v>
      </c>
      <c r="J143" s="64"/>
      <c r="K143" s="350">
        <f>1.05*2.8</f>
        <v>2.94</v>
      </c>
      <c r="L143" s="196"/>
      <c r="M143" s="196"/>
      <c r="R143" s="249"/>
      <c r="T143" s="45"/>
    </row>
    <row r="144" spans="2:21" outlineLevel="1">
      <c r="B144" s="237"/>
      <c r="C144" s="345"/>
      <c r="D144" s="345" t="s">
        <v>62</v>
      </c>
      <c r="E144" s="346" t="s">
        <v>963</v>
      </c>
      <c r="F144" s="719" t="s">
        <v>964</v>
      </c>
      <c r="G144" s="719"/>
      <c r="H144" s="719"/>
      <c r="I144" s="719"/>
      <c r="J144" s="63" t="s">
        <v>63</v>
      </c>
      <c r="K144" s="347">
        <f>K142</f>
        <v>2.94</v>
      </c>
      <c r="L144" s="726"/>
      <c r="M144" s="726"/>
      <c r="N144" s="720">
        <f>ROUND(L144*K144,2)</f>
        <v>0</v>
      </c>
      <c r="O144" s="720"/>
      <c r="P144" s="720"/>
      <c r="Q144" s="720"/>
      <c r="R144" s="238"/>
      <c r="T144" s="45"/>
      <c r="U144" s="248"/>
    </row>
    <row r="145" spans="2:21" outlineLevel="1">
      <c r="B145" s="237"/>
      <c r="C145" s="345"/>
      <c r="D145" s="345" t="s">
        <v>62</v>
      </c>
      <c r="E145" s="346">
        <v>411354311</v>
      </c>
      <c r="F145" s="719" t="s">
        <v>965</v>
      </c>
      <c r="G145" s="719"/>
      <c r="H145" s="719"/>
      <c r="I145" s="719"/>
      <c r="J145" s="63" t="s">
        <v>63</v>
      </c>
      <c r="K145" s="347">
        <f>K142</f>
        <v>2.94</v>
      </c>
      <c r="L145" s="726"/>
      <c r="M145" s="726"/>
      <c r="N145" s="720">
        <f>ROUND(L145*K145,2)</f>
        <v>0</v>
      </c>
      <c r="O145" s="720"/>
      <c r="P145" s="720"/>
      <c r="Q145" s="720"/>
      <c r="R145" s="238"/>
      <c r="T145" s="45"/>
      <c r="U145" s="248"/>
    </row>
    <row r="146" spans="2:21" outlineLevel="1">
      <c r="B146" s="237"/>
      <c r="C146" s="345"/>
      <c r="D146" s="345" t="s">
        <v>62</v>
      </c>
      <c r="E146" s="346" t="s">
        <v>966</v>
      </c>
      <c r="F146" s="719" t="s">
        <v>967</v>
      </c>
      <c r="G146" s="719"/>
      <c r="H146" s="719"/>
      <c r="I146" s="719"/>
      <c r="J146" s="63" t="s">
        <v>63</v>
      </c>
      <c r="K146" s="347">
        <f>K142</f>
        <v>2.94</v>
      </c>
      <c r="L146" s="726"/>
      <c r="M146" s="726"/>
      <c r="N146" s="720">
        <f>ROUND(L146*K146,2)</f>
        <v>0</v>
      </c>
      <c r="O146" s="720"/>
      <c r="P146" s="720"/>
      <c r="Q146" s="720"/>
      <c r="R146" s="238"/>
      <c r="T146" s="45"/>
      <c r="U146" s="248"/>
    </row>
    <row r="147" spans="2:21" outlineLevel="1">
      <c r="B147" s="237"/>
      <c r="C147" s="345"/>
      <c r="D147" s="345" t="s">
        <v>62</v>
      </c>
      <c r="E147" s="346">
        <v>411361821</v>
      </c>
      <c r="F147" s="719" t="s">
        <v>976</v>
      </c>
      <c r="G147" s="719"/>
      <c r="H147" s="719"/>
      <c r="I147" s="719"/>
      <c r="J147" s="63" t="s">
        <v>66</v>
      </c>
      <c r="K147" s="347">
        <f>SUM(K148:K148)</f>
        <v>8.8200000000000001E-2</v>
      </c>
      <c r="L147" s="726"/>
      <c r="M147" s="726"/>
      <c r="N147" s="720">
        <f>ROUND(L147*K147,2)</f>
        <v>0</v>
      </c>
      <c r="O147" s="720"/>
      <c r="P147" s="720"/>
      <c r="Q147" s="720"/>
      <c r="R147" s="238"/>
      <c r="T147" s="45"/>
      <c r="U147" s="248"/>
    </row>
    <row r="148" spans="2:21" s="248" customFormat="1" outlineLevel="1">
      <c r="B148" s="247"/>
      <c r="E148" s="349" t="s">
        <v>439</v>
      </c>
      <c r="F148" s="717" t="s">
        <v>187</v>
      </c>
      <c r="G148" s="718"/>
      <c r="H148" s="718"/>
      <c r="I148" s="718"/>
      <c r="J148" s="64">
        <v>0.2</v>
      </c>
      <c r="K148" s="350">
        <f>K140*J148</f>
        <v>8.8200000000000001E-2</v>
      </c>
      <c r="L148" s="196"/>
      <c r="M148" s="196"/>
      <c r="R148" s="249"/>
      <c r="T148" s="45"/>
    </row>
    <row r="149" spans="2:21" outlineLevel="1">
      <c r="B149" s="237"/>
      <c r="C149" s="345"/>
      <c r="D149" s="345" t="s">
        <v>62</v>
      </c>
      <c r="E149" s="346">
        <v>622321121</v>
      </c>
      <c r="F149" s="719" t="s">
        <v>1213</v>
      </c>
      <c r="G149" s="719"/>
      <c r="H149" s="719"/>
      <c r="I149" s="719"/>
      <c r="J149" s="63" t="s">
        <v>63</v>
      </c>
      <c r="K149" s="347">
        <f>SUM(K150:K150)</f>
        <v>16.366</v>
      </c>
      <c r="L149" s="726"/>
      <c r="M149" s="726"/>
      <c r="N149" s="720">
        <f>ROUND(L149*K149,2)</f>
        <v>0</v>
      </c>
      <c r="O149" s="720"/>
      <c r="P149" s="720"/>
      <c r="Q149" s="720"/>
      <c r="R149" s="238"/>
      <c r="T149" s="45"/>
      <c r="U149" s="248"/>
    </row>
    <row r="150" spans="2:21" s="248" customFormat="1" outlineLevel="1">
      <c r="B150" s="247"/>
      <c r="E150" s="349" t="s">
        <v>1212</v>
      </c>
      <c r="F150" s="717" t="s">
        <v>239</v>
      </c>
      <c r="G150" s="718"/>
      <c r="H150" s="718"/>
      <c r="I150" s="718"/>
      <c r="J150" s="64"/>
      <c r="K150" s="350">
        <f>(1.05*2+2.8)*2*1.67</f>
        <v>16.366</v>
      </c>
      <c r="L150" s="196"/>
      <c r="M150" s="196"/>
      <c r="R150" s="249"/>
      <c r="T150" s="45"/>
    </row>
    <row r="151" spans="2:21" outlineLevel="1">
      <c r="B151" s="237"/>
      <c r="C151" s="345"/>
      <c r="D151" s="345" t="s">
        <v>62</v>
      </c>
      <c r="E151" s="346" t="s">
        <v>1059</v>
      </c>
      <c r="F151" s="719" t="s">
        <v>1060</v>
      </c>
      <c r="G151" s="719"/>
      <c r="H151" s="719"/>
      <c r="I151" s="719"/>
      <c r="J151" s="63" t="s">
        <v>63</v>
      </c>
      <c r="K151" s="347">
        <f>K149</f>
        <v>16.366</v>
      </c>
      <c r="L151" s="726"/>
      <c r="M151" s="726"/>
      <c r="N151" s="720">
        <f>ROUND(L151*K151,2)</f>
        <v>0</v>
      </c>
      <c r="O151" s="720"/>
      <c r="P151" s="720"/>
      <c r="Q151" s="720"/>
      <c r="R151" s="238"/>
      <c r="T151" s="45"/>
      <c r="U151" s="248"/>
    </row>
    <row r="152" spans="2:21" outlineLevel="1">
      <c r="B152" s="237"/>
      <c r="C152" s="345"/>
      <c r="D152" s="345" t="s">
        <v>62</v>
      </c>
      <c r="E152" s="346">
        <v>622381002</v>
      </c>
      <c r="F152" s="719" t="s">
        <v>1061</v>
      </c>
      <c r="G152" s="719"/>
      <c r="H152" s="719"/>
      <c r="I152" s="719"/>
      <c r="J152" s="63" t="s">
        <v>63</v>
      </c>
      <c r="K152" s="347">
        <f>K151</f>
        <v>16.366</v>
      </c>
      <c r="L152" s="726"/>
      <c r="M152" s="726"/>
      <c r="N152" s="720">
        <f>ROUND(L152*K152,2)</f>
        <v>0</v>
      </c>
      <c r="O152" s="720"/>
      <c r="P152" s="720"/>
      <c r="Q152" s="720"/>
      <c r="R152" s="238"/>
      <c r="T152" s="45"/>
      <c r="U152" s="248"/>
    </row>
    <row r="153" spans="2:21" outlineLevel="1">
      <c r="B153" s="237"/>
      <c r="C153" s="345"/>
      <c r="D153" s="345" t="s">
        <v>62</v>
      </c>
      <c r="E153" s="346">
        <v>711111001</v>
      </c>
      <c r="F153" s="719" t="s">
        <v>76</v>
      </c>
      <c r="G153" s="719"/>
      <c r="H153" s="719"/>
      <c r="I153" s="719"/>
      <c r="J153" s="63" t="s">
        <v>63</v>
      </c>
      <c r="K153" s="347">
        <f>SUM(K154:K154)</f>
        <v>2.94</v>
      </c>
      <c r="L153" s="726"/>
      <c r="M153" s="726"/>
      <c r="N153" s="720">
        <f>ROUND(L153*K153,2)</f>
        <v>0</v>
      </c>
      <c r="O153" s="720"/>
      <c r="P153" s="720"/>
      <c r="Q153" s="720"/>
      <c r="R153" s="238"/>
      <c r="T153" s="45"/>
      <c r="U153" s="248"/>
    </row>
    <row r="154" spans="2:21" s="248" customFormat="1" ht="11.25" customHeight="1" outlineLevel="1">
      <c r="B154" s="247"/>
      <c r="E154" s="349" t="s">
        <v>478</v>
      </c>
      <c r="F154" s="717" t="s">
        <v>1211</v>
      </c>
      <c r="G154" s="718" t="e">
        <f>1.05*2.8*F154</f>
        <v>#VALUE!</v>
      </c>
      <c r="H154" s="718" t="e">
        <f>1.05*2.8*G154</f>
        <v>#VALUE!</v>
      </c>
      <c r="I154" s="718" t="e">
        <f>1.05*2.8*H154</f>
        <v>#VALUE!</v>
      </c>
      <c r="J154" s="64"/>
      <c r="K154" s="350">
        <f>1.05*2.8</f>
        <v>2.94</v>
      </c>
      <c r="L154" s="196"/>
      <c r="M154" s="196"/>
      <c r="R154" s="249"/>
      <c r="T154" s="45"/>
    </row>
    <row r="155" spans="2:21" outlineLevel="1">
      <c r="B155" s="237"/>
      <c r="C155" s="383"/>
      <c r="D155" s="383" t="s">
        <v>65</v>
      </c>
      <c r="E155" s="384" t="s">
        <v>77</v>
      </c>
      <c r="F155" s="751" t="s">
        <v>78</v>
      </c>
      <c r="G155" s="751"/>
      <c r="H155" s="751"/>
      <c r="I155" s="751"/>
      <c r="J155" s="65" t="s">
        <v>66</v>
      </c>
      <c r="K155" s="385">
        <f>(K153)*0.0003</f>
        <v>8.8199999999999986E-4</v>
      </c>
      <c r="L155" s="726"/>
      <c r="M155" s="726"/>
      <c r="N155" s="752">
        <f>ROUND(L155*K155,2)</f>
        <v>0</v>
      </c>
      <c r="O155" s="720"/>
      <c r="P155" s="720"/>
      <c r="Q155" s="720"/>
      <c r="R155" s="238"/>
      <c r="T155" s="45"/>
      <c r="U155" s="248"/>
    </row>
    <row r="156" spans="2:21" ht="27" customHeight="1" outlineLevel="1">
      <c r="B156" s="237"/>
      <c r="C156" s="345"/>
      <c r="D156" s="345" t="s">
        <v>62</v>
      </c>
      <c r="E156" s="346">
        <v>711113111</v>
      </c>
      <c r="F156" s="719" t="s">
        <v>1214</v>
      </c>
      <c r="G156" s="719"/>
      <c r="H156" s="719"/>
      <c r="I156" s="719"/>
      <c r="J156" s="63" t="s">
        <v>63</v>
      </c>
      <c r="K156" s="347">
        <f>K153</f>
        <v>2.94</v>
      </c>
      <c r="L156" s="726"/>
      <c r="M156" s="726"/>
      <c r="N156" s="720">
        <f>ROUND(L156*K156,2)</f>
        <v>0</v>
      </c>
      <c r="O156" s="720"/>
      <c r="P156" s="720"/>
      <c r="Q156" s="720"/>
      <c r="R156" s="238"/>
      <c r="T156" s="45"/>
    </row>
    <row r="157" spans="2:21" outlineLevel="1">
      <c r="B157" s="237"/>
      <c r="C157" s="345"/>
      <c r="D157" s="345" t="s">
        <v>62</v>
      </c>
      <c r="E157" s="346">
        <v>713141311</v>
      </c>
      <c r="F157" s="719" t="s">
        <v>423</v>
      </c>
      <c r="G157" s="719"/>
      <c r="H157" s="719"/>
      <c r="I157" s="719"/>
      <c r="J157" s="63" t="s">
        <v>63</v>
      </c>
      <c r="K157" s="347">
        <f>SUM(K158:K158)</f>
        <v>2.94</v>
      </c>
      <c r="L157" s="726"/>
      <c r="M157" s="726"/>
      <c r="N157" s="720">
        <f>ROUND(L157*K157,2)</f>
        <v>0</v>
      </c>
      <c r="O157" s="720"/>
      <c r="P157" s="720"/>
      <c r="Q157" s="720"/>
      <c r="R157" s="238"/>
      <c r="T157" s="45"/>
      <c r="U157" s="248"/>
    </row>
    <row r="158" spans="2:21" s="248" customFormat="1" ht="11.25" customHeight="1" outlineLevel="1">
      <c r="B158" s="247"/>
      <c r="E158" s="349" t="s">
        <v>478</v>
      </c>
      <c r="F158" s="717" t="s">
        <v>1211</v>
      </c>
      <c r="G158" s="718" t="e">
        <f t="shared" ref="G158:I160" si="1">1.05*2.8*F158</f>
        <v>#VALUE!</v>
      </c>
      <c r="H158" s="718" t="e">
        <f t="shared" si="1"/>
        <v>#VALUE!</v>
      </c>
      <c r="I158" s="718" t="e">
        <f t="shared" si="1"/>
        <v>#VALUE!</v>
      </c>
      <c r="J158" s="64"/>
      <c r="K158" s="350">
        <f>1.05*2.8</f>
        <v>2.94</v>
      </c>
      <c r="L158" s="196"/>
      <c r="M158" s="196"/>
      <c r="R158" s="249"/>
      <c r="T158" s="45"/>
    </row>
    <row r="159" spans="2:21" outlineLevel="1">
      <c r="B159" s="237"/>
      <c r="C159" s="383"/>
      <c r="D159" s="383" t="s">
        <v>65</v>
      </c>
      <c r="E159" s="384" t="s">
        <v>424</v>
      </c>
      <c r="F159" s="751" t="s">
        <v>425</v>
      </c>
      <c r="G159" s="751"/>
      <c r="H159" s="751"/>
      <c r="I159" s="751"/>
      <c r="J159" s="65" t="s">
        <v>64</v>
      </c>
      <c r="K159" s="385">
        <f>SUM(K160:K160)</f>
        <v>0.10804500000000002</v>
      </c>
      <c r="L159" s="726"/>
      <c r="M159" s="726"/>
      <c r="N159" s="752">
        <f>ROUND(L159*K159,2)</f>
        <v>0</v>
      </c>
      <c r="O159" s="720"/>
      <c r="P159" s="720"/>
      <c r="Q159" s="720"/>
      <c r="R159" s="238"/>
      <c r="T159" s="45"/>
      <c r="U159" s="248"/>
    </row>
    <row r="160" spans="2:21" s="248" customFormat="1" ht="11.25" customHeight="1" outlineLevel="1">
      <c r="B160" s="247"/>
      <c r="E160" s="349" t="s">
        <v>478</v>
      </c>
      <c r="F160" s="717" t="s">
        <v>1211</v>
      </c>
      <c r="G160" s="718" t="e">
        <f t="shared" si="1"/>
        <v>#VALUE!</v>
      </c>
      <c r="H160" s="718" t="e">
        <f t="shared" si="1"/>
        <v>#VALUE!</v>
      </c>
      <c r="I160" s="718" t="e">
        <f t="shared" si="1"/>
        <v>#VALUE!</v>
      </c>
      <c r="J160" s="64">
        <f>(0.02+0.05)/2</f>
        <v>3.5000000000000003E-2</v>
      </c>
      <c r="K160" s="350">
        <f>1.05*2.8*J160*1.05</f>
        <v>0.10804500000000002</v>
      </c>
      <c r="L160" s="196"/>
      <c r="M160" s="196"/>
      <c r="R160" s="249"/>
      <c r="T160" s="45"/>
    </row>
    <row r="161" spans="2:28" outlineLevel="1">
      <c r="B161" s="237"/>
      <c r="C161" s="345"/>
      <c r="D161" s="345" t="s">
        <v>62</v>
      </c>
      <c r="E161" s="346">
        <v>712392171</v>
      </c>
      <c r="F161" s="719" t="s">
        <v>426</v>
      </c>
      <c r="G161" s="719"/>
      <c r="H161" s="719"/>
      <c r="I161" s="719"/>
      <c r="J161" s="63" t="s">
        <v>63</v>
      </c>
      <c r="K161" s="347">
        <f>SUM(K162:K162)</f>
        <v>2.94</v>
      </c>
      <c r="L161" s="726"/>
      <c r="M161" s="726"/>
      <c r="N161" s="720">
        <f>ROUND(L161*K161,2)</f>
        <v>0</v>
      </c>
      <c r="O161" s="720"/>
      <c r="P161" s="720"/>
      <c r="Q161" s="720"/>
      <c r="R161" s="238"/>
      <c r="T161" s="45"/>
      <c r="U161" s="248"/>
    </row>
    <row r="162" spans="2:28" s="248" customFormat="1" ht="11.25" customHeight="1" outlineLevel="1">
      <c r="B162" s="247"/>
      <c r="E162" s="349" t="s">
        <v>478</v>
      </c>
      <c r="F162" s="717" t="s">
        <v>1211</v>
      </c>
      <c r="G162" s="718" t="e">
        <f>1.05*2.8*F162</f>
        <v>#VALUE!</v>
      </c>
      <c r="H162" s="718" t="e">
        <f>1.05*2.8*G162</f>
        <v>#VALUE!</v>
      </c>
      <c r="I162" s="718" t="e">
        <f>1.05*2.8*H162</f>
        <v>#VALUE!</v>
      </c>
      <c r="J162" s="64"/>
      <c r="K162" s="350">
        <f>1.05*2.8</f>
        <v>2.94</v>
      </c>
      <c r="L162" s="196"/>
      <c r="M162" s="196"/>
      <c r="R162" s="249"/>
      <c r="T162" s="45"/>
    </row>
    <row r="163" spans="2:28" ht="27" customHeight="1" outlineLevel="1">
      <c r="B163" s="237"/>
      <c r="C163" s="345"/>
      <c r="D163" s="345" t="s">
        <v>62</v>
      </c>
      <c r="E163" s="346">
        <v>712363001</v>
      </c>
      <c r="F163" s="719" t="s">
        <v>242</v>
      </c>
      <c r="G163" s="719"/>
      <c r="H163" s="719"/>
      <c r="I163" s="719"/>
      <c r="J163" s="63" t="s">
        <v>63</v>
      </c>
      <c r="K163" s="347">
        <f>SUM(K164:K164)</f>
        <v>2.94</v>
      </c>
      <c r="L163" s="726"/>
      <c r="M163" s="726"/>
      <c r="N163" s="720">
        <f>ROUND(L163*K163,2)</f>
        <v>0</v>
      </c>
      <c r="O163" s="720"/>
      <c r="P163" s="720"/>
      <c r="Q163" s="720"/>
      <c r="R163" s="238"/>
      <c r="T163" s="45"/>
      <c r="U163" s="248"/>
    </row>
    <row r="164" spans="2:28" s="248" customFormat="1" outlineLevel="1">
      <c r="B164" s="247"/>
      <c r="E164" s="349"/>
      <c r="F164" s="717" t="s">
        <v>187</v>
      </c>
      <c r="G164" s="718">
        <f>1.865*7.425</f>
        <v>13.847624999999999</v>
      </c>
      <c r="H164" s="718">
        <f>1.865*7.425</f>
        <v>13.847624999999999</v>
      </c>
      <c r="I164" s="718">
        <f>1.865*7.425</f>
        <v>13.847624999999999</v>
      </c>
      <c r="J164" s="64"/>
      <c r="K164" s="350">
        <f>K161</f>
        <v>2.94</v>
      </c>
      <c r="L164" s="196"/>
      <c r="M164" s="196"/>
      <c r="R164" s="249"/>
      <c r="T164" s="45"/>
    </row>
    <row r="165" spans="2:28" ht="27" customHeight="1" outlineLevel="1">
      <c r="B165" s="237"/>
      <c r="C165" s="345"/>
      <c r="D165" s="345" t="s">
        <v>62</v>
      </c>
      <c r="E165" s="346">
        <v>712363352</v>
      </c>
      <c r="F165" s="719" t="s">
        <v>245</v>
      </c>
      <c r="G165" s="719"/>
      <c r="H165" s="719"/>
      <c r="I165" s="719"/>
      <c r="J165" s="63" t="s">
        <v>68</v>
      </c>
      <c r="K165" s="347">
        <f>SUM(K166:K166)</f>
        <v>7.6999999999999993</v>
      </c>
      <c r="L165" s="726"/>
      <c r="M165" s="726"/>
      <c r="N165" s="720">
        <f>ROUND(L165*K165,2)</f>
        <v>0</v>
      </c>
      <c r="O165" s="720"/>
      <c r="P165" s="720"/>
      <c r="Q165" s="720"/>
      <c r="R165" s="238"/>
      <c r="T165" s="45"/>
      <c r="U165" s="248"/>
    </row>
    <row r="166" spans="2:28" s="248" customFormat="1" outlineLevel="1">
      <c r="B166" s="247"/>
      <c r="E166" s="349"/>
      <c r="F166" s="717"/>
      <c r="G166" s="718"/>
      <c r="H166" s="718"/>
      <c r="I166" s="718"/>
      <c r="J166" s="64"/>
      <c r="K166" s="350">
        <f>(2.8+1.05)*2</f>
        <v>7.6999999999999993</v>
      </c>
      <c r="L166" s="196"/>
      <c r="M166" s="196"/>
      <c r="R166" s="249"/>
      <c r="T166" s="45"/>
    </row>
    <row r="167" spans="2:28" outlineLevel="1">
      <c r="B167" s="237"/>
      <c r="C167" s="383"/>
      <c r="D167" s="383" t="s">
        <v>65</v>
      </c>
      <c r="E167" s="384">
        <v>55344006</v>
      </c>
      <c r="F167" s="751" t="s">
        <v>247</v>
      </c>
      <c r="G167" s="751"/>
      <c r="H167" s="751"/>
      <c r="I167" s="751"/>
      <c r="J167" s="65" t="s">
        <v>68</v>
      </c>
      <c r="K167" s="385">
        <f>K165*1.1</f>
        <v>8.4700000000000006</v>
      </c>
      <c r="L167" s="726"/>
      <c r="M167" s="726"/>
      <c r="N167" s="752">
        <f>ROUND(L167*K167,2)</f>
        <v>0</v>
      </c>
      <c r="O167" s="720"/>
      <c r="P167" s="720"/>
      <c r="Q167" s="720"/>
      <c r="R167" s="238"/>
      <c r="T167" s="45"/>
      <c r="U167" s="248"/>
    </row>
    <row r="168" spans="2:28" outlineLevel="1">
      <c r="B168" s="237"/>
      <c r="C168" s="345"/>
      <c r="D168" s="345" t="s">
        <v>62</v>
      </c>
      <c r="E168" s="346">
        <v>712391382</v>
      </c>
      <c r="F168" s="719" t="s">
        <v>427</v>
      </c>
      <c r="G168" s="719"/>
      <c r="H168" s="719"/>
      <c r="I168" s="719"/>
      <c r="J168" s="63" t="s">
        <v>63</v>
      </c>
      <c r="K168" s="347">
        <f>SUM(K169:K169)</f>
        <v>2.94</v>
      </c>
      <c r="L168" s="726"/>
      <c r="M168" s="726"/>
      <c r="N168" s="720">
        <f>ROUND(L168*K168,2)</f>
        <v>0</v>
      </c>
      <c r="O168" s="720"/>
      <c r="P168" s="720"/>
      <c r="Q168" s="720"/>
      <c r="R168" s="238"/>
      <c r="T168" s="45"/>
      <c r="U168" s="248"/>
    </row>
    <row r="169" spans="2:28" s="248" customFormat="1" ht="11.25" customHeight="1" outlineLevel="1">
      <c r="B169" s="247"/>
      <c r="E169" s="349" t="s">
        <v>478</v>
      </c>
      <c r="F169" s="717" t="s">
        <v>1211</v>
      </c>
      <c r="G169" s="718" t="e">
        <f>1.05*2.8*F169</f>
        <v>#VALUE!</v>
      </c>
      <c r="H169" s="718" t="e">
        <f>1.05*2.8*G169</f>
        <v>#VALUE!</v>
      </c>
      <c r="I169" s="718" t="e">
        <f>1.05*2.8*H169</f>
        <v>#VALUE!</v>
      </c>
      <c r="J169" s="64"/>
      <c r="K169" s="350">
        <f>1.05*2.8</f>
        <v>2.94</v>
      </c>
      <c r="L169" s="196"/>
      <c r="M169" s="196"/>
      <c r="R169" s="249"/>
      <c r="T169" s="45"/>
    </row>
    <row r="170" spans="2:28" outlineLevel="1">
      <c r="B170" s="237"/>
      <c r="C170" s="383"/>
      <c r="D170" s="383" t="s">
        <v>65</v>
      </c>
      <c r="E170" s="384">
        <v>58337401</v>
      </c>
      <c r="F170" s="751" t="s">
        <v>428</v>
      </c>
      <c r="G170" s="751"/>
      <c r="H170" s="751"/>
      <c r="I170" s="751"/>
      <c r="J170" s="65" t="s">
        <v>66</v>
      </c>
      <c r="K170" s="385">
        <f>SUM(K171)</f>
        <v>0.1764</v>
      </c>
      <c r="L170" s="726"/>
      <c r="M170" s="726"/>
      <c r="N170" s="752">
        <f>ROUND(L170*K170,2)</f>
        <v>0</v>
      </c>
      <c r="O170" s="720"/>
      <c r="P170" s="720"/>
      <c r="Q170" s="720"/>
      <c r="R170" s="238"/>
      <c r="T170" s="45"/>
      <c r="U170" s="248"/>
    </row>
    <row r="171" spans="2:28" s="248" customFormat="1" outlineLevel="1">
      <c r="B171" s="247"/>
      <c r="E171" s="349" t="s">
        <v>478</v>
      </c>
      <c r="F171" s="717" t="s">
        <v>463</v>
      </c>
      <c r="G171" s="718">
        <f>G168*0.05*2</f>
        <v>0</v>
      </c>
      <c r="H171" s="718">
        <f>H168*0.05*2</f>
        <v>0</v>
      </c>
      <c r="I171" s="718">
        <f>I168*0.05*2</f>
        <v>0</v>
      </c>
      <c r="J171" s="64">
        <v>0.03</v>
      </c>
      <c r="K171" s="350">
        <f>K168*J171*2</f>
        <v>0.1764</v>
      </c>
      <c r="L171" s="196"/>
      <c r="M171" s="196"/>
      <c r="R171" s="249"/>
      <c r="T171" s="45"/>
    </row>
    <row r="172" spans="2:28" s="341" customFormat="1" ht="12.75">
      <c r="B172" s="340"/>
      <c r="C172" s="344"/>
      <c r="D172" s="344" t="s">
        <v>252</v>
      </c>
      <c r="E172" s="344"/>
      <c r="F172" s="344"/>
      <c r="G172" s="344"/>
      <c r="H172" s="344"/>
      <c r="I172" s="344"/>
      <c r="J172" s="61"/>
      <c r="K172" s="344"/>
      <c r="L172" s="72"/>
      <c r="M172" s="72"/>
      <c r="N172" s="734">
        <f>SUM(N173:Q216)</f>
        <v>0</v>
      </c>
      <c r="O172" s="734"/>
      <c r="P172" s="734"/>
      <c r="Q172" s="734"/>
      <c r="R172" s="342"/>
      <c r="T172" s="62">
        <f>SUM(N172:Q216)/2</f>
        <v>0</v>
      </c>
      <c r="U172" s="369"/>
      <c r="V172" s="369"/>
      <c r="W172" s="369"/>
      <c r="X172" s="369"/>
      <c r="Y172" s="369"/>
    </row>
    <row r="173" spans="2:28" outlineLevel="1">
      <c r="B173" s="237"/>
      <c r="C173" s="345"/>
      <c r="D173" s="345"/>
      <c r="E173" s="346"/>
      <c r="F173" s="719"/>
      <c r="G173" s="719"/>
      <c r="H173" s="719"/>
      <c r="I173" s="719"/>
      <c r="J173" s="63"/>
      <c r="K173" s="347"/>
      <c r="L173" s="766"/>
      <c r="M173" s="766"/>
      <c r="N173" s="720"/>
      <c r="O173" s="720"/>
      <c r="P173" s="720"/>
      <c r="Q173" s="720"/>
      <c r="R173" s="238"/>
      <c r="T173" s="78"/>
    </row>
    <row r="174" spans="2:28" s="374" customFormat="1" outlineLevel="1">
      <c r="B174" s="370"/>
      <c r="C174" s="371"/>
      <c r="D174" s="371" t="s">
        <v>1215</v>
      </c>
      <c r="E174" s="753" t="s">
        <v>1216</v>
      </c>
      <c r="F174" s="754"/>
      <c r="G174" s="754"/>
      <c r="H174" s="754"/>
      <c r="I174" s="755"/>
      <c r="J174" s="145"/>
      <c r="K174" s="372">
        <v>80.400000000000006</v>
      </c>
      <c r="L174" s="756"/>
      <c r="M174" s="756"/>
      <c r="N174" s="757"/>
      <c r="O174" s="757"/>
      <c r="P174" s="757"/>
      <c r="Q174" s="757"/>
      <c r="R174" s="373"/>
      <c r="T174" s="144"/>
      <c r="U174" s="375"/>
      <c r="V174" s="375"/>
      <c r="W174" s="375"/>
      <c r="X174" s="375"/>
      <c r="Y174" s="375"/>
      <c r="Z174" s="375"/>
      <c r="AA174" s="375"/>
      <c r="AB174" s="375"/>
    </row>
    <row r="175" spans="2:28" ht="11.25" customHeight="1" outlineLevel="1">
      <c r="B175" s="237"/>
      <c r="C175" s="345"/>
      <c r="D175" s="345" t="s">
        <v>62</v>
      </c>
      <c r="E175" s="346">
        <v>564851011</v>
      </c>
      <c r="F175" s="719" t="s">
        <v>205</v>
      </c>
      <c r="G175" s="719"/>
      <c r="H175" s="719"/>
      <c r="I175" s="719"/>
      <c r="J175" s="63" t="s">
        <v>63</v>
      </c>
      <c r="K175" s="347">
        <f>SUM(K176:K176)</f>
        <v>80.400000000000006</v>
      </c>
      <c r="L175" s="726"/>
      <c r="M175" s="726"/>
      <c r="N175" s="720">
        <f>ROUND(L175*K175,2)</f>
        <v>0</v>
      </c>
      <c r="O175" s="720"/>
      <c r="P175" s="720"/>
      <c r="Q175" s="720"/>
      <c r="R175" s="238"/>
      <c r="T175" s="45"/>
    </row>
    <row r="176" spans="2:28" s="248" customFormat="1" outlineLevel="1">
      <c r="B176" s="247"/>
      <c r="E176" s="349" t="s">
        <v>465</v>
      </c>
      <c r="F176" s="717" t="s">
        <v>187</v>
      </c>
      <c r="G176" s="718">
        <f t="shared" ref="G176:I178" si="2">45.23</f>
        <v>45.23</v>
      </c>
      <c r="H176" s="718">
        <f t="shared" si="2"/>
        <v>45.23</v>
      </c>
      <c r="I176" s="718">
        <f t="shared" si="2"/>
        <v>45.23</v>
      </c>
      <c r="J176" s="64"/>
      <c r="K176" s="350">
        <f>K174</f>
        <v>80.400000000000006</v>
      </c>
      <c r="L176" s="196"/>
      <c r="M176" s="196"/>
      <c r="R176" s="249"/>
      <c r="T176" s="45"/>
    </row>
    <row r="177" spans="2:28" outlineLevel="1">
      <c r="B177" s="237"/>
      <c r="C177" s="345"/>
      <c r="D177" s="345" t="s">
        <v>62</v>
      </c>
      <c r="E177" s="346">
        <v>591411111</v>
      </c>
      <c r="F177" s="719" t="s">
        <v>677</v>
      </c>
      <c r="G177" s="719"/>
      <c r="H177" s="719"/>
      <c r="I177" s="719"/>
      <c r="J177" s="63" t="s">
        <v>63</v>
      </c>
      <c r="K177" s="347">
        <f>SUM(K178:K178)</f>
        <v>80.400000000000006</v>
      </c>
      <c r="L177" s="726"/>
      <c r="M177" s="726"/>
      <c r="N177" s="720">
        <f>ROUND(L177*K177,2)</f>
        <v>0</v>
      </c>
      <c r="O177" s="720"/>
      <c r="P177" s="720"/>
      <c r="Q177" s="720"/>
      <c r="R177" s="238"/>
      <c r="T177" s="45"/>
      <c r="U177" s="248"/>
      <c r="V177" s="248"/>
      <c r="W177" s="248"/>
      <c r="X177" s="248"/>
      <c r="Y177" s="248"/>
      <c r="Z177" s="248"/>
      <c r="AA177" s="248"/>
      <c r="AB177" s="248"/>
    </row>
    <row r="178" spans="2:28" s="248" customFormat="1" outlineLevel="1">
      <c r="B178" s="247"/>
      <c r="E178" s="349" t="s">
        <v>465</v>
      </c>
      <c r="F178" s="717" t="s">
        <v>187</v>
      </c>
      <c r="G178" s="718">
        <f t="shared" si="2"/>
        <v>45.23</v>
      </c>
      <c r="H178" s="718">
        <f t="shared" si="2"/>
        <v>45.23</v>
      </c>
      <c r="I178" s="718">
        <f t="shared" si="2"/>
        <v>45.23</v>
      </c>
      <c r="J178" s="64"/>
      <c r="K178" s="350">
        <f>K174</f>
        <v>80.400000000000006</v>
      </c>
      <c r="L178" s="196"/>
      <c r="M178" s="196"/>
      <c r="R178" s="249"/>
      <c r="T178" s="45"/>
    </row>
    <row r="179" spans="2:28" outlineLevel="1">
      <c r="B179" s="237"/>
      <c r="C179" s="383"/>
      <c r="D179" s="383" t="s">
        <v>65</v>
      </c>
      <c r="E179" s="384">
        <v>58381007</v>
      </c>
      <c r="F179" s="751" t="s">
        <v>1219</v>
      </c>
      <c r="G179" s="751"/>
      <c r="H179" s="751"/>
      <c r="I179" s="751"/>
      <c r="J179" s="65" t="s">
        <v>63</v>
      </c>
      <c r="K179" s="385">
        <f>K177*1.1</f>
        <v>88.440000000000012</v>
      </c>
      <c r="L179" s="726"/>
      <c r="M179" s="726"/>
      <c r="N179" s="752">
        <f>ROUND(L179*K179,2)</f>
        <v>0</v>
      </c>
      <c r="O179" s="720"/>
      <c r="P179" s="720"/>
      <c r="Q179" s="720"/>
      <c r="R179" s="238"/>
      <c r="T179" s="45"/>
      <c r="U179" s="248"/>
    </row>
    <row r="180" spans="2:28" s="374" customFormat="1" outlineLevel="1">
      <c r="B180" s="370"/>
      <c r="C180" s="371"/>
      <c r="D180" s="371" t="s">
        <v>1217</v>
      </c>
      <c r="E180" s="753" t="s">
        <v>1223</v>
      </c>
      <c r="F180" s="754"/>
      <c r="G180" s="754"/>
      <c r="H180" s="754"/>
      <c r="I180" s="755"/>
      <c r="J180" s="145"/>
      <c r="K180" s="372">
        <v>97</v>
      </c>
      <c r="L180" s="756"/>
      <c r="M180" s="756"/>
      <c r="N180" s="757"/>
      <c r="O180" s="757"/>
      <c r="P180" s="757"/>
      <c r="Q180" s="757"/>
      <c r="R180" s="373"/>
      <c r="T180" s="144"/>
      <c r="U180" s="375"/>
      <c r="V180" s="375"/>
      <c r="W180" s="375"/>
      <c r="X180" s="375"/>
      <c r="Y180" s="375"/>
      <c r="Z180" s="375"/>
      <c r="AA180" s="375"/>
      <c r="AB180" s="375"/>
    </row>
    <row r="181" spans="2:28" ht="11.25" customHeight="1" outlineLevel="1">
      <c r="B181" s="237"/>
      <c r="C181" s="345"/>
      <c r="D181" s="345" t="s">
        <v>62</v>
      </c>
      <c r="E181" s="346">
        <v>564851011</v>
      </c>
      <c r="F181" s="719" t="s">
        <v>205</v>
      </c>
      <c r="G181" s="719"/>
      <c r="H181" s="719"/>
      <c r="I181" s="719"/>
      <c r="J181" s="63" t="s">
        <v>63</v>
      </c>
      <c r="K181" s="347">
        <f>SUM(K182:K182)</f>
        <v>97</v>
      </c>
      <c r="L181" s="726"/>
      <c r="M181" s="726"/>
      <c r="N181" s="720">
        <f>ROUND(L181*K181,2)</f>
        <v>0</v>
      </c>
      <c r="O181" s="720"/>
      <c r="P181" s="720"/>
      <c r="Q181" s="720"/>
      <c r="R181" s="238"/>
      <c r="T181" s="45"/>
    </row>
    <row r="182" spans="2:28" s="248" customFormat="1" outlineLevel="1">
      <c r="B182" s="247"/>
      <c r="E182" s="349" t="s">
        <v>1225</v>
      </c>
      <c r="F182" s="717" t="s">
        <v>187</v>
      </c>
      <c r="G182" s="718">
        <f>45.23</f>
        <v>45.23</v>
      </c>
      <c r="H182" s="718">
        <f>45.23</f>
        <v>45.23</v>
      </c>
      <c r="I182" s="718">
        <f>45.23</f>
        <v>45.23</v>
      </c>
      <c r="J182" s="64"/>
      <c r="K182" s="350">
        <f>K180</f>
        <v>97</v>
      </c>
      <c r="L182" s="196"/>
      <c r="M182" s="196"/>
      <c r="R182" s="249"/>
      <c r="T182" s="45"/>
    </row>
    <row r="183" spans="2:28" outlineLevel="1">
      <c r="B183" s="237"/>
      <c r="C183" s="345"/>
      <c r="D183" s="345" t="s">
        <v>62</v>
      </c>
      <c r="E183" s="346">
        <v>564742111</v>
      </c>
      <c r="F183" s="719" t="s">
        <v>1226</v>
      </c>
      <c r="G183" s="719"/>
      <c r="H183" s="719"/>
      <c r="I183" s="719"/>
      <c r="J183" s="63" t="s">
        <v>63</v>
      </c>
      <c r="K183" s="347">
        <f>SUM(K184:K184)</f>
        <v>97</v>
      </c>
      <c r="L183" s="726"/>
      <c r="M183" s="726"/>
      <c r="N183" s="720">
        <f>ROUND(L183*K183,2)</f>
        <v>0</v>
      </c>
      <c r="O183" s="720"/>
      <c r="P183" s="720"/>
      <c r="Q183" s="720"/>
      <c r="R183" s="238"/>
      <c r="T183" s="45"/>
      <c r="U183" s="248"/>
      <c r="V183" s="248"/>
      <c r="W183" s="248"/>
      <c r="X183" s="248"/>
      <c r="Y183" s="248"/>
      <c r="Z183" s="248"/>
      <c r="AA183" s="248"/>
      <c r="AB183" s="248"/>
    </row>
    <row r="184" spans="2:28" s="248" customFormat="1" outlineLevel="1">
      <c r="B184" s="247"/>
      <c r="E184" s="349" t="s">
        <v>465</v>
      </c>
      <c r="F184" s="717" t="s">
        <v>187</v>
      </c>
      <c r="G184" s="718">
        <f>45.23</f>
        <v>45.23</v>
      </c>
      <c r="H184" s="718">
        <f>45.23</f>
        <v>45.23</v>
      </c>
      <c r="I184" s="718">
        <f>45.23</f>
        <v>45.23</v>
      </c>
      <c r="J184" s="64"/>
      <c r="K184" s="350">
        <f>K180</f>
        <v>97</v>
      </c>
      <c r="L184" s="196"/>
      <c r="M184" s="196"/>
      <c r="R184" s="249"/>
      <c r="T184" s="45"/>
    </row>
    <row r="185" spans="2:28" outlineLevel="1">
      <c r="B185" s="237"/>
      <c r="C185" s="345"/>
      <c r="D185" s="345" t="s">
        <v>62</v>
      </c>
      <c r="E185" s="346">
        <v>571907117</v>
      </c>
      <c r="F185" s="719" t="s">
        <v>1227</v>
      </c>
      <c r="G185" s="719"/>
      <c r="H185" s="719"/>
      <c r="I185" s="719"/>
      <c r="J185" s="63" t="s">
        <v>63</v>
      </c>
      <c r="K185" s="347">
        <f>K180</f>
        <v>97</v>
      </c>
      <c r="L185" s="726"/>
      <c r="M185" s="726"/>
      <c r="N185" s="720">
        <f>ROUND(L185*K185,2)</f>
        <v>0</v>
      </c>
      <c r="O185" s="720"/>
      <c r="P185" s="720"/>
      <c r="Q185" s="720"/>
      <c r="R185" s="238"/>
      <c r="T185" s="45"/>
      <c r="U185" s="248"/>
      <c r="V185" s="248"/>
      <c r="W185" s="248"/>
      <c r="X185" s="248"/>
      <c r="Y185" s="248"/>
      <c r="Z185" s="248"/>
      <c r="AA185" s="248"/>
      <c r="AB185" s="248"/>
    </row>
    <row r="186" spans="2:28" s="374" customFormat="1" outlineLevel="1">
      <c r="B186" s="370"/>
      <c r="C186" s="371"/>
      <c r="D186" s="371" t="s">
        <v>1218</v>
      </c>
      <c r="E186" s="753" t="s">
        <v>1222</v>
      </c>
      <c r="F186" s="754"/>
      <c r="G186" s="754"/>
      <c r="H186" s="754"/>
      <c r="I186" s="755"/>
      <c r="J186" s="145"/>
      <c r="K186" s="372">
        <v>32.299999999999997</v>
      </c>
      <c r="L186" s="756"/>
      <c r="M186" s="756"/>
      <c r="N186" s="757"/>
      <c r="O186" s="757"/>
      <c r="P186" s="757"/>
      <c r="Q186" s="757"/>
      <c r="R186" s="373"/>
      <c r="T186" s="144"/>
      <c r="U186" s="375"/>
      <c r="V186" s="375"/>
      <c r="W186" s="375"/>
      <c r="X186" s="375"/>
      <c r="Y186" s="375"/>
      <c r="Z186" s="375"/>
      <c r="AA186" s="375"/>
      <c r="AB186" s="375"/>
    </row>
    <row r="187" spans="2:28" ht="11.25" customHeight="1" outlineLevel="1">
      <c r="B187" s="237"/>
      <c r="C187" s="345"/>
      <c r="D187" s="345" t="s">
        <v>62</v>
      </c>
      <c r="E187" s="346">
        <v>564861011</v>
      </c>
      <c r="F187" s="719" t="s">
        <v>1221</v>
      </c>
      <c r="G187" s="719"/>
      <c r="H187" s="719"/>
      <c r="I187" s="719"/>
      <c r="J187" s="63" t="s">
        <v>63</v>
      </c>
      <c r="K187" s="347">
        <f>SUM(K188:K188)</f>
        <v>32.299999999999997</v>
      </c>
      <c r="L187" s="726"/>
      <c r="M187" s="726"/>
      <c r="N187" s="720">
        <f>ROUND(L187*K187,2)</f>
        <v>0</v>
      </c>
      <c r="O187" s="720"/>
      <c r="P187" s="720"/>
      <c r="Q187" s="720"/>
      <c r="R187" s="238"/>
      <c r="T187" s="45"/>
    </row>
    <row r="188" spans="2:28" s="248" customFormat="1" outlineLevel="1">
      <c r="B188" s="247"/>
      <c r="E188" s="349" t="s">
        <v>1220</v>
      </c>
      <c r="F188" s="717" t="s">
        <v>187</v>
      </c>
      <c r="G188" s="718">
        <f>45.23</f>
        <v>45.23</v>
      </c>
      <c r="H188" s="718">
        <f>45.23</f>
        <v>45.23</v>
      </c>
      <c r="I188" s="718">
        <f>45.23</f>
        <v>45.23</v>
      </c>
      <c r="J188" s="64"/>
      <c r="K188" s="350">
        <f>K186</f>
        <v>32.299999999999997</v>
      </c>
      <c r="L188" s="196"/>
      <c r="M188" s="196"/>
      <c r="R188" s="249"/>
      <c r="T188" s="45"/>
    </row>
    <row r="189" spans="2:28" outlineLevel="1">
      <c r="B189" s="237"/>
      <c r="C189" s="345"/>
      <c r="D189" s="345" t="s">
        <v>62</v>
      </c>
      <c r="E189" s="346">
        <v>591211111</v>
      </c>
      <c r="F189" s="719" t="s">
        <v>1224</v>
      </c>
      <c r="G189" s="719"/>
      <c r="H189" s="719"/>
      <c r="I189" s="719"/>
      <c r="J189" s="63" t="s">
        <v>63</v>
      </c>
      <c r="K189" s="347">
        <f>SUM(K190:K190)</f>
        <v>32.299999999999997</v>
      </c>
      <c r="L189" s="726"/>
      <c r="M189" s="726"/>
      <c r="N189" s="720">
        <f>ROUND(L189*K189,2)</f>
        <v>0</v>
      </c>
      <c r="O189" s="720"/>
      <c r="P189" s="720"/>
      <c r="Q189" s="720"/>
      <c r="R189" s="238"/>
      <c r="T189" s="45"/>
      <c r="U189" s="248"/>
      <c r="V189" s="248"/>
      <c r="W189" s="248"/>
      <c r="X189" s="248"/>
      <c r="Y189" s="248"/>
      <c r="Z189" s="248"/>
      <c r="AA189" s="248"/>
      <c r="AB189" s="248"/>
    </row>
    <row r="190" spans="2:28" s="248" customFormat="1" outlineLevel="1">
      <c r="B190" s="247"/>
      <c r="E190" s="349" t="s">
        <v>1220</v>
      </c>
      <c r="F190" s="717" t="s">
        <v>187</v>
      </c>
      <c r="G190" s="718">
        <f>45.23</f>
        <v>45.23</v>
      </c>
      <c r="H190" s="718">
        <f>45.23</f>
        <v>45.23</v>
      </c>
      <c r="I190" s="718">
        <f>45.23</f>
        <v>45.23</v>
      </c>
      <c r="J190" s="64"/>
      <c r="K190" s="350">
        <f>K186</f>
        <v>32.299999999999997</v>
      </c>
      <c r="L190" s="196"/>
      <c r="M190" s="196"/>
      <c r="R190" s="249"/>
      <c r="T190" s="45"/>
    </row>
    <row r="191" spans="2:28" ht="11.25" customHeight="1" outlineLevel="1">
      <c r="B191" s="237"/>
      <c r="C191" s="383"/>
      <c r="D191" s="383" t="s">
        <v>65</v>
      </c>
      <c r="E191" s="384">
        <v>58381007</v>
      </c>
      <c r="F191" s="751" t="s">
        <v>1219</v>
      </c>
      <c r="G191" s="751"/>
      <c r="H191" s="751"/>
      <c r="I191" s="751"/>
      <c r="J191" s="65" t="s">
        <v>63</v>
      </c>
      <c r="K191" s="385">
        <f>K189*1.1</f>
        <v>35.53</v>
      </c>
      <c r="L191" s="726"/>
      <c r="M191" s="726"/>
      <c r="N191" s="752">
        <f>ROUND(L191*K191,2)</f>
        <v>0</v>
      </c>
      <c r="O191" s="720"/>
      <c r="P191" s="720"/>
      <c r="Q191" s="720"/>
      <c r="R191" s="238"/>
      <c r="T191" s="45"/>
      <c r="U191" s="248"/>
    </row>
    <row r="192" spans="2:28" outlineLevel="1">
      <c r="B192" s="237"/>
      <c r="C192" s="345"/>
      <c r="D192" s="345"/>
      <c r="E192" s="346"/>
      <c r="F192" s="719"/>
      <c r="G192" s="719"/>
      <c r="H192" s="719"/>
      <c r="I192" s="719"/>
      <c r="J192" s="63"/>
      <c r="K192" s="347"/>
      <c r="L192" s="766"/>
      <c r="M192" s="766"/>
      <c r="N192" s="720"/>
      <c r="O192" s="720"/>
      <c r="P192" s="720"/>
      <c r="Q192" s="720"/>
      <c r="R192" s="238"/>
      <c r="T192" s="78"/>
    </row>
    <row r="193" spans="2:28" ht="27" customHeight="1" outlineLevel="1">
      <c r="B193" s="237"/>
      <c r="C193" s="345"/>
      <c r="D193" s="345" t="s">
        <v>62</v>
      </c>
      <c r="E193" s="346">
        <v>916231113</v>
      </c>
      <c r="F193" s="719" t="s">
        <v>253</v>
      </c>
      <c r="G193" s="719"/>
      <c r="H193" s="719"/>
      <c r="I193" s="719"/>
      <c r="J193" s="63" t="s">
        <v>68</v>
      </c>
      <c r="K193" s="347">
        <f>SUM(K194:K194)</f>
        <v>69.199999999999989</v>
      </c>
      <c r="L193" s="726"/>
      <c r="M193" s="726"/>
      <c r="N193" s="720">
        <f>ROUND(L193*K193,2)</f>
        <v>0</v>
      </c>
      <c r="O193" s="720"/>
      <c r="P193" s="720"/>
      <c r="Q193" s="720"/>
      <c r="R193" s="238"/>
      <c r="T193" s="45"/>
    </row>
    <row r="194" spans="2:28" s="248" customFormat="1" outlineLevel="1">
      <c r="B194" s="247"/>
      <c r="E194" s="349" t="s">
        <v>1228</v>
      </c>
      <c r="F194" s="717" t="s">
        <v>1229</v>
      </c>
      <c r="G194" s="718">
        <f>14.5+7.8+0.9+13.7+7.4+6.9+14+4</f>
        <v>69.199999999999989</v>
      </c>
      <c r="H194" s="718">
        <f>14.5+7.8+0.9+13.7+7.4+6.9+14+4</f>
        <v>69.199999999999989</v>
      </c>
      <c r="I194" s="718">
        <f>14.5+7.8+0.9+13.7+7.4+6.9+14+4</f>
        <v>69.199999999999989</v>
      </c>
      <c r="J194" s="64"/>
      <c r="K194" s="350">
        <f>14.5+7.8+0.9+13.7+7.4+6.9+14+4</f>
        <v>69.199999999999989</v>
      </c>
      <c r="L194" s="196"/>
      <c r="M194" s="196"/>
      <c r="R194" s="249"/>
      <c r="T194" s="45"/>
    </row>
    <row r="195" spans="2:28" outlineLevel="1">
      <c r="B195" s="237"/>
      <c r="C195" s="383"/>
      <c r="D195" s="383" t="s">
        <v>65</v>
      </c>
      <c r="E195" s="384">
        <v>59217016</v>
      </c>
      <c r="F195" s="751" t="s">
        <v>254</v>
      </c>
      <c r="G195" s="751"/>
      <c r="H195" s="751"/>
      <c r="I195" s="751"/>
      <c r="J195" s="65" t="s">
        <v>68</v>
      </c>
      <c r="K195" s="385">
        <f>(K193)*1.1</f>
        <v>76.11999999999999</v>
      </c>
      <c r="L195" s="726"/>
      <c r="M195" s="726"/>
      <c r="N195" s="752">
        <f>ROUND(L195*K195,2)</f>
        <v>0</v>
      </c>
      <c r="O195" s="720"/>
      <c r="P195" s="720"/>
      <c r="Q195" s="720"/>
      <c r="R195" s="238"/>
      <c r="T195" s="45"/>
      <c r="U195" s="248"/>
    </row>
    <row r="196" spans="2:28" outlineLevel="1">
      <c r="B196" s="237"/>
      <c r="C196" s="345"/>
      <c r="D196" s="345" t="s">
        <v>62</v>
      </c>
      <c r="E196" s="346">
        <v>181311105</v>
      </c>
      <c r="F196" s="719" t="s">
        <v>467</v>
      </c>
      <c r="G196" s="719"/>
      <c r="H196" s="719"/>
      <c r="I196" s="719"/>
      <c r="J196" s="63" t="s">
        <v>63</v>
      </c>
      <c r="K196" s="347">
        <f>SUM(K197)</f>
        <v>50.1</v>
      </c>
      <c r="L196" s="726"/>
      <c r="M196" s="726"/>
      <c r="N196" s="720">
        <f>ROUND(L196*K196,2)</f>
        <v>0</v>
      </c>
      <c r="O196" s="720"/>
      <c r="P196" s="720"/>
      <c r="Q196" s="720"/>
      <c r="R196" s="238"/>
      <c r="T196" s="45"/>
    </row>
    <row r="197" spans="2:28" s="248" customFormat="1" outlineLevel="1">
      <c r="B197" s="247"/>
      <c r="E197" s="349" t="s">
        <v>468</v>
      </c>
      <c r="F197" s="717" t="s">
        <v>1230</v>
      </c>
      <c r="G197" s="718">
        <f>7.3+18.8+24</f>
        <v>50.1</v>
      </c>
      <c r="H197" s="718">
        <f>7.3+18.8+24</f>
        <v>50.1</v>
      </c>
      <c r="I197" s="718">
        <f>7.3+18.8+24</f>
        <v>50.1</v>
      </c>
      <c r="J197" s="64">
        <v>0.3</v>
      </c>
      <c r="K197" s="350">
        <f>7.3+18.8+24</f>
        <v>50.1</v>
      </c>
      <c r="L197" s="196"/>
      <c r="M197" s="196"/>
      <c r="R197" s="249"/>
      <c r="T197" s="45"/>
    </row>
    <row r="198" spans="2:28" ht="27" customHeight="1" outlineLevel="1">
      <c r="B198" s="237"/>
      <c r="C198" s="345"/>
      <c r="D198" s="345" t="s">
        <v>62</v>
      </c>
      <c r="E198" s="346">
        <v>162751117</v>
      </c>
      <c r="F198" s="719" t="s">
        <v>189</v>
      </c>
      <c r="G198" s="719"/>
      <c r="H198" s="719"/>
      <c r="I198" s="719"/>
      <c r="J198" s="63" t="s">
        <v>64</v>
      </c>
      <c r="K198" s="347">
        <f>SUM(K199:K199)</f>
        <v>15.03</v>
      </c>
      <c r="L198" s="726"/>
      <c r="M198" s="726"/>
      <c r="N198" s="720">
        <f>ROUND(L198*K198,2)</f>
        <v>0</v>
      </c>
      <c r="O198" s="720"/>
      <c r="P198" s="720"/>
      <c r="Q198" s="720"/>
      <c r="R198" s="238"/>
      <c r="T198" s="45"/>
      <c r="U198" s="248"/>
      <c r="V198" s="248"/>
      <c r="W198" s="248"/>
      <c r="X198" s="248"/>
      <c r="Y198" s="248"/>
      <c r="Z198" s="248"/>
      <c r="AA198" s="248"/>
      <c r="AB198" s="248"/>
    </row>
    <row r="199" spans="2:28" s="248" customFormat="1" ht="22.5" outlineLevel="1">
      <c r="B199" s="247"/>
      <c r="E199" s="349" t="s">
        <v>469</v>
      </c>
      <c r="F199" s="717" t="s">
        <v>187</v>
      </c>
      <c r="G199" s="718"/>
      <c r="H199" s="718"/>
      <c r="I199" s="718"/>
      <c r="J199" s="64"/>
      <c r="K199" s="350">
        <f>K196*J197</f>
        <v>15.03</v>
      </c>
      <c r="L199" s="196"/>
      <c r="M199" s="196"/>
      <c r="R199" s="249"/>
      <c r="T199" s="45"/>
    </row>
    <row r="200" spans="2:28" ht="27" customHeight="1" outlineLevel="1">
      <c r="B200" s="237"/>
      <c r="C200" s="345"/>
      <c r="D200" s="345" t="s">
        <v>62</v>
      </c>
      <c r="E200" s="346">
        <v>162751119</v>
      </c>
      <c r="F200" s="719" t="s">
        <v>195</v>
      </c>
      <c r="G200" s="719"/>
      <c r="H200" s="719"/>
      <c r="I200" s="719"/>
      <c r="J200" s="63" t="s">
        <v>64</v>
      </c>
      <c r="K200" s="347">
        <f>SUM(K201:K201)</f>
        <v>375.75</v>
      </c>
      <c r="L200" s="726"/>
      <c r="M200" s="726"/>
      <c r="N200" s="720">
        <f>ROUND(L200*K200,2)</f>
        <v>0</v>
      </c>
      <c r="O200" s="720"/>
      <c r="P200" s="720"/>
      <c r="Q200" s="720"/>
      <c r="R200" s="238"/>
      <c r="T200" s="45"/>
      <c r="U200" s="248"/>
      <c r="V200" s="248"/>
      <c r="W200" s="248"/>
      <c r="X200" s="248"/>
      <c r="Y200" s="248"/>
      <c r="Z200" s="248"/>
      <c r="AA200" s="248"/>
      <c r="AB200" s="248"/>
    </row>
    <row r="201" spans="2:28" s="248" customFormat="1" ht="22.5" outlineLevel="1">
      <c r="B201" s="247"/>
      <c r="E201" s="349" t="s">
        <v>190</v>
      </c>
      <c r="F201" s="717" t="s">
        <v>470</v>
      </c>
      <c r="G201" s="718"/>
      <c r="H201" s="718"/>
      <c r="I201" s="718"/>
      <c r="J201" s="64">
        <f>35-10</f>
        <v>25</v>
      </c>
      <c r="K201" s="350">
        <f>K198*J201</f>
        <v>375.75</v>
      </c>
      <c r="L201" s="196"/>
      <c r="M201" s="196"/>
      <c r="R201" s="249"/>
      <c r="T201" s="45"/>
    </row>
    <row r="202" spans="2:28" outlineLevel="1">
      <c r="B202" s="237"/>
      <c r="C202" s="345"/>
      <c r="D202" s="345" t="s">
        <v>62</v>
      </c>
      <c r="E202" s="346">
        <v>167151111</v>
      </c>
      <c r="F202" s="719" t="s">
        <v>194</v>
      </c>
      <c r="G202" s="719"/>
      <c r="H202" s="719"/>
      <c r="I202" s="719"/>
      <c r="J202" s="63" t="s">
        <v>64</v>
      </c>
      <c r="K202" s="347">
        <f>SUM(K203:K203)</f>
        <v>15.03</v>
      </c>
      <c r="L202" s="726"/>
      <c r="M202" s="726"/>
      <c r="N202" s="720">
        <f>ROUND(L202*K202,2)</f>
        <v>0</v>
      </c>
      <c r="O202" s="720"/>
      <c r="P202" s="720"/>
      <c r="Q202" s="720"/>
      <c r="R202" s="238"/>
      <c r="T202" s="45"/>
      <c r="U202" s="248"/>
      <c r="V202" s="248"/>
      <c r="W202" s="248"/>
      <c r="X202" s="248"/>
      <c r="Y202" s="248"/>
      <c r="Z202" s="248"/>
      <c r="AA202" s="248"/>
      <c r="AB202" s="248"/>
    </row>
    <row r="203" spans="2:28" s="248" customFormat="1" ht="22.5" outlineLevel="1">
      <c r="B203" s="247"/>
      <c r="E203" s="349" t="s">
        <v>471</v>
      </c>
      <c r="F203" s="717" t="s">
        <v>237</v>
      </c>
      <c r="G203" s="718"/>
      <c r="H203" s="718"/>
      <c r="I203" s="718"/>
      <c r="J203" s="64"/>
      <c r="K203" s="350">
        <f>K198</f>
        <v>15.03</v>
      </c>
      <c r="L203" s="196"/>
      <c r="M203" s="196"/>
      <c r="R203" s="249"/>
      <c r="T203" s="45"/>
    </row>
    <row r="204" spans="2:28" outlineLevel="1">
      <c r="B204" s="237"/>
      <c r="C204" s="345"/>
      <c r="D204" s="345" t="s">
        <v>62</v>
      </c>
      <c r="E204" s="346">
        <v>171251201</v>
      </c>
      <c r="F204" s="719" t="s">
        <v>109</v>
      </c>
      <c r="G204" s="719"/>
      <c r="H204" s="719"/>
      <c r="I204" s="719"/>
      <c r="J204" s="63" t="s">
        <v>64</v>
      </c>
      <c r="K204" s="347">
        <f>K202</f>
        <v>15.03</v>
      </c>
      <c r="L204" s="726"/>
      <c r="M204" s="726"/>
      <c r="N204" s="720">
        <f>ROUND(L204*K204,2)</f>
        <v>0</v>
      </c>
      <c r="O204" s="720"/>
      <c r="P204" s="720"/>
      <c r="Q204" s="720"/>
      <c r="R204" s="238"/>
      <c r="T204" s="45"/>
      <c r="U204" s="248"/>
      <c r="V204" s="248"/>
      <c r="W204" s="248"/>
      <c r="X204" s="248"/>
      <c r="Y204" s="248"/>
      <c r="Z204" s="248"/>
      <c r="AA204" s="248"/>
      <c r="AB204" s="248"/>
    </row>
    <row r="205" spans="2:28" outlineLevel="1">
      <c r="B205" s="237"/>
      <c r="C205" s="383"/>
      <c r="D205" s="383" t="s">
        <v>65</v>
      </c>
      <c r="E205" s="384">
        <v>10364101</v>
      </c>
      <c r="F205" s="751" t="s">
        <v>472</v>
      </c>
      <c r="G205" s="751"/>
      <c r="H205" s="751"/>
      <c r="I205" s="751"/>
      <c r="J205" s="65" t="s">
        <v>66</v>
      </c>
      <c r="K205" s="385">
        <f>SUM(K206)</f>
        <v>24.048000000000002</v>
      </c>
      <c r="L205" s="726"/>
      <c r="M205" s="726"/>
      <c r="N205" s="752">
        <f>ROUND(L205*K205,2)</f>
        <v>0</v>
      </c>
      <c r="O205" s="720"/>
      <c r="P205" s="720"/>
      <c r="Q205" s="720"/>
      <c r="R205" s="238"/>
      <c r="T205" s="45"/>
      <c r="U205" s="248"/>
    </row>
    <row r="206" spans="2:28" s="248" customFormat="1" outlineLevel="1">
      <c r="B206" s="247"/>
      <c r="E206" s="349" t="s">
        <v>473</v>
      </c>
      <c r="F206" s="717" t="s">
        <v>187</v>
      </c>
      <c r="G206" s="718">
        <f>34.3</f>
        <v>34.299999999999997</v>
      </c>
      <c r="H206" s="718">
        <f>34.3</f>
        <v>34.299999999999997</v>
      </c>
      <c r="I206" s="718">
        <f>34.3</f>
        <v>34.299999999999997</v>
      </c>
      <c r="J206" s="64"/>
      <c r="K206" s="350">
        <f>K204*1.6</f>
        <v>24.048000000000002</v>
      </c>
      <c r="L206" s="196"/>
      <c r="M206" s="196"/>
      <c r="R206" s="249"/>
      <c r="T206" s="45"/>
    </row>
    <row r="207" spans="2:28" outlineLevel="1">
      <c r="B207" s="237"/>
      <c r="C207" s="345"/>
      <c r="D207" s="345" t="s">
        <v>62</v>
      </c>
      <c r="E207" s="346">
        <v>181411141</v>
      </c>
      <c r="F207" s="719" t="s">
        <v>474</v>
      </c>
      <c r="G207" s="719"/>
      <c r="H207" s="719"/>
      <c r="I207" s="719"/>
      <c r="J207" s="63" t="s">
        <v>63</v>
      </c>
      <c r="K207" s="347">
        <f>K196</f>
        <v>50.1</v>
      </c>
      <c r="L207" s="726"/>
      <c r="M207" s="726"/>
      <c r="N207" s="720">
        <f>ROUND(L207*K207,2)</f>
        <v>0</v>
      </c>
      <c r="O207" s="720"/>
      <c r="P207" s="720"/>
      <c r="Q207" s="720"/>
      <c r="R207" s="238"/>
      <c r="T207" s="45"/>
    </row>
    <row r="208" spans="2:28" outlineLevel="1">
      <c r="B208" s="237"/>
      <c r="C208" s="383"/>
      <c r="D208" s="383" t="s">
        <v>65</v>
      </c>
      <c r="E208" s="437" t="s">
        <v>475</v>
      </c>
      <c r="F208" s="751" t="s">
        <v>476</v>
      </c>
      <c r="G208" s="751"/>
      <c r="H208" s="751"/>
      <c r="I208" s="751"/>
      <c r="J208" s="65" t="s">
        <v>412</v>
      </c>
      <c r="K208" s="385">
        <f>K207*0.1</f>
        <v>5.0100000000000007</v>
      </c>
      <c r="L208" s="726"/>
      <c r="M208" s="726"/>
      <c r="N208" s="752">
        <f>ROUND(L208*K208,2)</f>
        <v>0</v>
      </c>
      <c r="O208" s="720"/>
      <c r="P208" s="720"/>
      <c r="Q208" s="720"/>
      <c r="R208" s="238"/>
      <c r="T208" s="45"/>
      <c r="U208" s="248"/>
    </row>
    <row r="209" spans="2:28" s="374" customFormat="1" outlineLevel="1">
      <c r="B209" s="370"/>
      <c r="C209" s="371"/>
      <c r="D209" s="371"/>
      <c r="E209" s="753" t="s">
        <v>1965</v>
      </c>
      <c r="F209" s="754"/>
      <c r="G209" s="754"/>
      <c r="H209" s="754"/>
      <c r="I209" s="755"/>
      <c r="J209" s="145"/>
      <c r="K209" s="372">
        <v>772</v>
      </c>
      <c r="L209" s="756"/>
      <c r="M209" s="756"/>
      <c r="N209" s="757"/>
      <c r="O209" s="757"/>
      <c r="P209" s="757"/>
      <c r="Q209" s="757"/>
      <c r="R209" s="373"/>
      <c r="T209" s="144"/>
      <c r="U209" s="375"/>
      <c r="V209" s="375"/>
      <c r="W209" s="375"/>
      <c r="X209" s="375"/>
      <c r="Y209" s="375"/>
      <c r="Z209" s="375"/>
      <c r="AA209" s="375"/>
      <c r="AB209" s="375"/>
    </row>
    <row r="210" spans="2:28" ht="27" customHeight="1" outlineLevel="1">
      <c r="B210" s="237"/>
      <c r="C210" s="345"/>
      <c r="D210" s="345" t="s">
        <v>62</v>
      </c>
      <c r="E210" s="346">
        <v>111212361</v>
      </c>
      <c r="F210" s="719" t="s">
        <v>1966</v>
      </c>
      <c r="G210" s="719"/>
      <c r="H210" s="719"/>
      <c r="I210" s="719"/>
      <c r="J210" s="63" t="s">
        <v>63</v>
      </c>
      <c r="K210" s="347">
        <f>SUM(K211:K211)</f>
        <v>386</v>
      </c>
      <c r="L210" s="726"/>
      <c r="M210" s="726"/>
      <c r="N210" s="720">
        <f>ROUND(L210*K210,2)</f>
        <v>0</v>
      </c>
      <c r="O210" s="720"/>
      <c r="P210" s="720"/>
      <c r="Q210" s="720"/>
      <c r="R210" s="238"/>
      <c r="T210" s="45"/>
      <c r="U210" s="248"/>
      <c r="V210" s="248"/>
      <c r="W210" s="248"/>
      <c r="X210" s="248"/>
      <c r="Y210" s="248"/>
      <c r="Z210" s="248"/>
      <c r="AA210" s="248"/>
      <c r="AB210" s="248"/>
    </row>
    <row r="211" spans="2:28" s="248" customFormat="1" outlineLevel="1">
      <c r="B211" s="247"/>
      <c r="E211" s="349" t="s">
        <v>1967</v>
      </c>
      <c r="F211" s="717" t="s">
        <v>1973</v>
      </c>
      <c r="G211" s="718">
        <f t="shared" ref="G211:I213" si="3">45.23</f>
        <v>45.23</v>
      </c>
      <c r="H211" s="718">
        <f t="shared" si="3"/>
        <v>45.23</v>
      </c>
      <c r="I211" s="718">
        <f t="shared" si="3"/>
        <v>45.23</v>
      </c>
      <c r="J211" s="64">
        <v>0.5</v>
      </c>
      <c r="K211" s="350">
        <f>K209*J211</f>
        <v>386</v>
      </c>
      <c r="L211" s="196"/>
      <c r="M211" s="196"/>
      <c r="R211" s="249"/>
      <c r="T211" s="45"/>
    </row>
    <row r="212" spans="2:28" outlineLevel="1">
      <c r="B212" s="237"/>
      <c r="C212" s="345"/>
      <c r="D212" s="345" t="s">
        <v>62</v>
      </c>
      <c r="E212" s="346">
        <v>183554144</v>
      </c>
      <c r="F212" s="719" t="s">
        <v>1969</v>
      </c>
      <c r="G212" s="719"/>
      <c r="H212" s="719"/>
      <c r="I212" s="719"/>
      <c r="J212" s="63" t="s">
        <v>66</v>
      </c>
      <c r="K212" s="347">
        <f>SUM(K213:K213)</f>
        <v>7.72</v>
      </c>
      <c r="L212" s="726"/>
      <c r="M212" s="726"/>
      <c r="N212" s="720">
        <f>ROUND(L212*K212,2)</f>
        <v>0</v>
      </c>
      <c r="O212" s="720"/>
      <c r="P212" s="720"/>
      <c r="Q212" s="720"/>
      <c r="R212" s="238"/>
      <c r="T212" s="45"/>
      <c r="U212" s="248"/>
      <c r="V212" s="248"/>
      <c r="W212" s="248"/>
      <c r="X212" s="248"/>
      <c r="Y212" s="248"/>
      <c r="Z212" s="248"/>
      <c r="AA212" s="248"/>
      <c r="AB212" s="248"/>
    </row>
    <row r="213" spans="2:28" s="248" customFormat="1" outlineLevel="1">
      <c r="B213" s="247"/>
      <c r="E213" s="349"/>
      <c r="F213" s="717" t="s">
        <v>1968</v>
      </c>
      <c r="G213" s="718">
        <f t="shared" si="3"/>
        <v>45.23</v>
      </c>
      <c r="H213" s="718">
        <f t="shared" si="3"/>
        <v>45.23</v>
      </c>
      <c r="I213" s="718">
        <f t="shared" si="3"/>
        <v>45.23</v>
      </c>
      <c r="J213" s="64">
        <v>0.01</v>
      </c>
      <c r="K213" s="350">
        <f>K209*J213</f>
        <v>7.72</v>
      </c>
      <c r="L213" s="196"/>
      <c r="M213" s="196"/>
      <c r="R213" s="249"/>
      <c r="T213" s="45"/>
    </row>
    <row r="214" spans="2:28" outlineLevel="1">
      <c r="B214" s="237"/>
      <c r="C214" s="345"/>
      <c r="D214" s="345" t="s">
        <v>62</v>
      </c>
      <c r="E214" s="346" t="s">
        <v>1970</v>
      </c>
      <c r="F214" s="719" t="s">
        <v>1971</v>
      </c>
      <c r="G214" s="719"/>
      <c r="H214" s="719"/>
      <c r="I214" s="719"/>
      <c r="J214" s="63" t="s">
        <v>66</v>
      </c>
      <c r="K214" s="347">
        <f>SUM(K215:K215)</f>
        <v>223.88</v>
      </c>
      <c r="L214" s="726"/>
      <c r="M214" s="726"/>
      <c r="N214" s="720">
        <f>ROUND(L214*K214,2)</f>
        <v>0</v>
      </c>
      <c r="O214" s="720"/>
      <c r="P214" s="720"/>
      <c r="Q214" s="720"/>
      <c r="R214" s="238"/>
      <c r="T214" s="45"/>
      <c r="U214" s="248"/>
      <c r="V214" s="248"/>
      <c r="W214" s="248"/>
      <c r="X214" s="248"/>
      <c r="Y214" s="248"/>
      <c r="Z214" s="248"/>
      <c r="AA214" s="248"/>
      <c r="AB214" s="248"/>
    </row>
    <row r="215" spans="2:28" s="248" customFormat="1" ht="11.25" customHeight="1" outlineLevel="1">
      <c r="B215" s="247"/>
      <c r="E215" s="349"/>
      <c r="F215" s="717" t="s">
        <v>655</v>
      </c>
      <c r="G215" s="718"/>
      <c r="H215" s="718"/>
      <c r="I215" s="718"/>
      <c r="J215" s="64">
        <v>29</v>
      </c>
      <c r="K215" s="350">
        <f>K212*J215</f>
        <v>223.88</v>
      </c>
      <c r="L215" s="196"/>
      <c r="M215" s="196"/>
      <c r="R215" s="249"/>
      <c r="T215" s="45"/>
    </row>
    <row r="216" spans="2:28" outlineLevel="1">
      <c r="B216" s="237"/>
      <c r="C216" s="345"/>
      <c r="D216" s="345" t="s">
        <v>62</v>
      </c>
      <c r="E216" s="346">
        <v>997221658</v>
      </c>
      <c r="F216" s="719" t="s">
        <v>1972</v>
      </c>
      <c r="G216" s="719"/>
      <c r="H216" s="719"/>
      <c r="I216" s="719"/>
      <c r="J216" s="63" t="s">
        <v>66</v>
      </c>
      <c r="K216" s="347">
        <f>K212</f>
        <v>7.72</v>
      </c>
      <c r="L216" s="726"/>
      <c r="M216" s="726"/>
      <c r="N216" s="720">
        <f>ROUND(L216*K216,2)</f>
        <v>0</v>
      </c>
      <c r="O216" s="720"/>
      <c r="P216" s="720"/>
      <c r="Q216" s="720"/>
      <c r="R216" s="238"/>
      <c r="T216" s="45"/>
      <c r="U216" s="248"/>
      <c r="V216" s="248"/>
      <c r="W216" s="248"/>
      <c r="X216" s="248"/>
      <c r="Y216" s="248"/>
      <c r="Z216" s="248"/>
      <c r="AA216" s="248"/>
      <c r="AB216" s="248"/>
    </row>
    <row r="217" spans="2:28" s="341" customFormat="1" ht="12.75">
      <c r="B217" s="340"/>
      <c r="C217" s="344"/>
      <c r="D217" s="344" t="s">
        <v>255</v>
      </c>
      <c r="E217" s="344"/>
      <c r="F217" s="344"/>
      <c r="G217" s="344"/>
      <c r="H217" s="344"/>
      <c r="I217" s="344"/>
      <c r="J217" s="61"/>
      <c r="K217" s="344"/>
      <c r="L217" s="72"/>
      <c r="M217" s="72"/>
      <c r="N217" s="734">
        <f>SUM(N218:Q225)</f>
        <v>0</v>
      </c>
      <c r="O217" s="734"/>
      <c r="P217" s="734"/>
      <c r="Q217" s="734"/>
      <c r="R217" s="342"/>
      <c r="T217" s="45">
        <f>SUM(N217:Q225)/2</f>
        <v>0</v>
      </c>
      <c r="U217" s="248"/>
    </row>
    <row r="218" spans="2:28" outlineLevel="1">
      <c r="B218" s="237"/>
      <c r="C218" s="345"/>
      <c r="D218" s="345" t="s">
        <v>62</v>
      </c>
      <c r="E218" s="346">
        <v>916241113</v>
      </c>
      <c r="F218" s="719" t="s">
        <v>2026</v>
      </c>
      <c r="G218" s="719"/>
      <c r="H218" s="719"/>
      <c r="I218" s="719"/>
      <c r="J218" s="63" t="s">
        <v>68</v>
      </c>
      <c r="K218" s="347">
        <f>SUM(K219:K219)</f>
        <v>3.1</v>
      </c>
      <c r="L218" s="726"/>
      <c r="M218" s="726"/>
      <c r="N218" s="720">
        <f>ROUND(L218*K218,2)</f>
        <v>0</v>
      </c>
      <c r="O218" s="720"/>
      <c r="P218" s="720"/>
      <c r="Q218" s="720"/>
      <c r="R218" s="238"/>
      <c r="T218" s="45"/>
      <c r="U218" s="248"/>
    </row>
    <row r="219" spans="2:28" s="248" customFormat="1" outlineLevel="1">
      <c r="B219" s="247"/>
      <c r="E219" s="349" t="s">
        <v>2027</v>
      </c>
      <c r="F219" s="717"/>
      <c r="G219" s="718"/>
      <c r="H219" s="718"/>
      <c r="I219" s="718"/>
      <c r="J219" s="64"/>
      <c r="K219" s="350">
        <v>3.1</v>
      </c>
      <c r="L219" s="196"/>
      <c r="M219" s="196"/>
      <c r="R219" s="249"/>
      <c r="T219" s="45"/>
    </row>
    <row r="220" spans="2:28" outlineLevel="1">
      <c r="B220" s="237"/>
      <c r="C220" s="383"/>
      <c r="D220" s="383" t="s">
        <v>65</v>
      </c>
      <c r="E220" s="384">
        <v>58380003</v>
      </c>
      <c r="F220" s="751" t="s">
        <v>2028</v>
      </c>
      <c r="G220" s="751"/>
      <c r="H220" s="751"/>
      <c r="I220" s="751"/>
      <c r="J220" s="65" t="s">
        <v>68</v>
      </c>
      <c r="K220" s="385">
        <f>K218</f>
        <v>3.1</v>
      </c>
      <c r="L220" s="726"/>
      <c r="M220" s="726"/>
      <c r="N220" s="752">
        <f>ROUND(L220*K220,2)</f>
        <v>0</v>
      </c>
      <c r="O220" s="720"/>
      <c r="P220" s="720"/>
      <c r="Q220" s="720"/>
      <c r="R220" s="238"/>
      <c r="T220" s="45"/>
      <c r="U220" s="248"/>
    </row>
    <row r="221" spans="2:28" outlineLevel="1">
      <c r="B221" s="237"/>
      <c r="C221" s="345"/>
      <c r="D221" s="345" t="s">
        <v>62</v>
      </c>
      <c r="E221" s="346">
        <v>434313115</v>
      </c>
      <c r="F221" s="719" t="s">
        <v>1232</v>
      </c>
      <c r="G221" s="719"/>
      <c r="H221" s="719"/>
      <c r="I221" s="719"/>
      <c r="J221" s="63" t="s">
        <v>68</v>
      </c>
      <c r="K221" s="347">
        <f>SUM(K222:K222)</f>
        <v>8.5</v>
      </c>
      <c r="L221" s="726"/>
      <c r="M221" s="726"/>
      <c r="N221" s="720">
        <f>ROUND(L221*K221,2)</f>
        <v>0</v>
      </c>
      <c r="O221" s="720"/>
      <c r="P221" s="720"/>
      <c r="Q221" s="720"/>
      <c r="R221" s="238"/>
      <c r="T221" s="45"/>
      <c r="U221" s="248"/>
    </row>
    <row r="222" spans="2:28" s="248" customFormat="1" outlineLevel="1">
      <c r="B222" s="247"/>
      <c r="E222" s="349" t="s">
        <v>1233</v>
      </c>
      <c r="F222" s="717"/>
      <c r="G222" s="718"/>
      <c r="H222" s="718"/>
      <c r="I222" s="718"/>
      <c r="J222" s="64">
        <v>1.7</v>
      </c>
      <c r="K222" s="350">
        <f>5*J222</f>
        <v>8.5</v>
      </c>
      <c r="L222" s="196"/>
      <c r="M222" s="196"/>
      <c r="R222" s="249"/>
      <c r="T222" s="45"/>
    </row>
    <row r="223" spans="2:28" ht="27" customHeight="1" outlineLevel="1">
      <c r="B223" s="237"/>
      <c r="C223" s="345"/>
      <c r="D223" s="345" t="s">
        <v>62</v>
      </c>
      <c r="E223" s="346">
        <v>183101121</v>
      </c>
      <c r="F223" s="719" t="s">
        <v>1234</v>
      </c>
      <c r="G223" s="719"/>
      <c r="H223" s="719"/>
      <c r="I223" s="719"/>
      <c r="J223" s="63" t="s">
        <v>67</v>
      </c>
      <c r="K223" s="347">
        <v>3</v>
      </c>
      <c r="L223" s="726"/>
      <c r="M223" s="726"/>
      <c r="N223" s="720">
        <f>ROUND(L223*K223,2)</f>
        <v>0</v>
      </c>
      <c r="O223" s="720"/>
      <c r="P223" s="720"/>
      <c r="Q223" s="720"/>
      <c r="R223" s="238"/>
      <c r="T223" s="45"/>
      <c r="U223" s="248"/>
      <c r="V223" s="248"/>
      <c r="W223" s="248"/>
      <c r="X223" s="248"/>
      <c r="Y223" s="248"/>
      <c r="Z223" s="248"/>
      <c r="AA223" s="248"/>
      <c r="AB223" s="248"/>
    </row>
    <row r="224" spans="2:28" ht="27" customHeight="1" outlineLevel="1">
      <c r="B224" s="237"/>
      <c r="C224" s="345"/>
      <c r="D224" s="345" t="s">
        <v>62</v>
      </c>
      <c r="E224" s="346">
        <v>184102116</v>
      </c>
      <c r="F224" s="719" t="s">
        <v>1235</v>
      </c>
      <c r="G224" s="719"/>
      <c r="H224" s="719"/>
      <c r="I224" s="719"/>
      <c r="J224" s="63" t="s">
        <v>67</v>
      </c>
      <c r="K224" s="347">
        <f>K223</f>
        <v>3</v>
      </c>
      <c r="L224" s="726"/>
      <c r="M224" s="726"/>
      <c r="N224" s="720">
        <f>ROUND(L224*K224,2)</f>
        <v>0</v>
      </c>
      <c r="O224" s="720"/>
      <c r="P224" s="720"/>
      <c r="Q224" s="720"/>
      <c r="R224" s="238"/>
      <c r="T224" s="45"/>
      <c r="U224" s="248"/>
      <c r="V224" s="248"/>
      <c r="W224" s="248"/>
      <c r="X224" s="248"/>
      <c r="Y224" s="248"/>
      <c r="Z224" s="248"/>
      <c r="AA224" s="248"/>
      <c r="AB224" s="248"/>
    </row>
    <row r="225" spans="2:21" outlineLevel="1">
      <c r="B225" s="237"/>
      <c r="C225" s="383"/>
      <c r="D225" s="383" t="s">
        <v>69</v>
      </c>
      <c r="E225" s="384" t="s">
        <v>1236</v>
      </c>
      <c r="F225" s="751" t="s">
        <v>1237</v>
      </c>
      <c r="G225" s="751"/>
      <c r="H225" s="751"/>
      <c r="I225" s="751"/>
      <c r="J225" s="65" t="s">
        <v>67</v>
      </c>
      <c r="K225" s="385">
        <f>K224</f>
        <v>3</v>
      </c>
      <c r="L225" s="726"/>
      <c r="M225" s="726"/>
      <c r="N225" s="752">
        <f>ROUND(L225*K225,2)</f>
        <v>0</v>
      </c>
      <c r="O225" s="720"/>
      <c r="P225" s="720"/>
      <c r="Q225" s="720"/>
      <c r="R225" s="238"/>
      <c r="T225" s="45"/>
      <c r="U225" s="248"/>
    </row>
    <row r="226" spans="2:21" s="341" customFormat="1" ht="12.75">
      <c r="B226" s="340"/>
      <c r="C226" s="344"/>
      <c r="D226" s="344" t="s">
        <v>75</v>
      </c>
      <c r="E226" s="344"/>
      <c r="F226" s="344"/>
      <c r="G226" s="344"/>
      <c r="H226" s="344"/>
      <c r="I226" s="344"/>
      <c r="J226" s="61"/>
      <c r="K226" s="344"/>
      <c r="L226" s="72"/>
      <c r="M226" s="72"/>
      <c r="N226" s="734">
        <f>SUM(N227)</f>
        <v>0</v>
      </c>
      <c r="O226" s="734"/>
      <c r="P226" s="734"/>
      <c r="Q226" s="734"/>
      <c r="R226" s="342"/>
      <c r="T226" s="45">
        <f>SUM(N226:Q227)/2</f>
        <v>0</v>
      </c>
    </row>
    <row r="227" spans="2:21" ht="11.25" customHeight="1" outlineLevel="1">
      <c r="B227" s="237"/>
      <c r="C227" s="345"/>
      <c r="D227" s="345" t="s">
        <v>69</v>
      </c>
      <c r="E227" s="346" t="s">
        <v>100</v>
      </c>
      <c r="F227" s="719" t="s">
        <v>114</v>
      </c>
      <c r="G227" s="719"/>
      <c r="H227" s="719"/>
      <c r="I227" s="719"/>
      <c r="J227" s="63" t="s">
        <v>70</v>
      </c>
      <c r="K227" s="66">
        <f>N114+N172+N217</f>
        <v>0</v>
      </c>
      <c r="L227" s="759"/>
      <c r="M227" s="759"/>
      <c r="N227" s="720">
        <f>ROUND(L227*K227,2)</f>
        <v>0</v>
      </c>
      <c r="O227" s="720"/>
      <c r="P227" s="720"/>
      <c r="Q227" s="720"/>
      <c r="R227" s="238"/>
      <c r="T227" s="45"/>
    </row>
    <row r="228" spans="2:21">
      <c r="B228" s="274"/>
      <c r="C228" s="275"/>
      <c r="D228" s="275"/>
      <c r="E228" s="275"/>
      <c r="F228" s="275"/>
      <c r="G228" s="275"/>
      <c r="H228" s="275"/>
      <c r="I228" s="275"/>
      <c r="J228" s="67"/>
      <c r="K228" s="275"/>
      <c r="L228" s="275"/>
      <c r="M228" s="275"/>
      <c r="N228" s="275"/>
      <c r="O228" s="275"/>
      <c r="P228" s="275"/>
      <c r="Q228" s="275"/>
      <c r="R228" s="276"/>
      <c r="T228" s="45"/>
    </row>
    <row r="229" spans="2:21">
      <c r="J229" s="68"/>
      <c r="T229" s="45"/>
    </row>
    <row r="230" spans="2:21">
      <c r="J230" s="68"/>
      <c r="T230" s="45"/>
    </row>
    <row r="231" spans="2:21">
      <c r="J231" s="68"/>
      <c r="T231" s="45"/>
    </row>
  </sheetData>
  <sheetProtection algorithmName="SHA-512" hashValue="apjY1bznm3u8QLV76huHzTM45PvUH2TZctxgWA+Rk2CT0WtSs3nnNX5j3/vM83fJF5ClgcK6TilWxa3S/uOdyA==" saltValue="VnWvBsEsm3cexr3XcMPIBA==" spinCount="100000" sheet="1"/>
  <mergeCells count="302">
    <mergeCell ref="C2:Q2"/>
    <mergeCell ref="F4:P4"/>
    <mergeCell ref="F5:P5"/>
    <mergeCell ref="O7:P7"/>
    <mergeCell ref="O9:P9"/>
    <mergeCell ref="O10:P10"/>
    <mergeCell ref="M29:P29"/>
    <mergeCell ref="M31:P31"/>
    <mergeCell ref="H33:J33"/>
    <mergeCell ref="M33:P33"/>
    <mergeCell ref="O19:P19"/>
    <mergeCell ref="O21:P21"/>
    <mergeCell ref="E22:P22"/>
    <mergeCell ref="F12:I12"/>
    <mergeCell ref="O12:P12"/>
    <mergeCell ref="O13:P13"/>
    <mergeCell ref="O15:P15"/>
    <mergeCell ref="O16:P16"/>
    <mergeCell ref="O18:P18"/>
    <mergeCell ref="H34:J34"/>
    <mergeCell ref="M34:P34"/>
    <mergeCell ref="D25:E25"/>
    <mergeCell ref="G25:P25"/>
    <mergeCell ref="D26:E26"/>
    <mergeCell ref="G26:P26"/>
    <mergeCell ref="M82:Q82"/>
    <mergeCell ref="C84:G84"/>
    <mergeCell ref="N84:Q84"/>
    <mergeCell ref="F111:I111"/>
    <mergeCell ref="N86:Q86"/>
    <mergeCell ref="N87:Q87"/>
    <mergeCell ref="L36:P36"/>
    <mergeCell ref="C74:Q74"/>
    <mergeCell ref="F76:P76"/>
    <mergeCell ref="F77:P77"/>
    <mergeCell ref="M79:P79"/>
    <mergeCell ref="M81:Q81"/>
    <mergeCell ref="F102:P102"/>
    <mergeCell ref="M104:P104"/>
    <mergeCell ref="M106:Q106"/>
    <mergeCell ref="M107:Q107"/>
    <mergeCell ref="F108:P108"/>
    <mergeCell ref="F109:P109"/>
    <mergeCell ref="N88:Q88"/>
    <mergeCell ref="N90:Q90"/>
    <mergeCell ref="N91:Q91"/>
    <mergeCell ref="L93:Q93"/>
    <mergeCell ref="C99:Q99"/>
    <mergeCell ref="F101:P101"/>
    <mergeCell ref="N89:Q89"/>
    <mergeCell ref="L111:M111"/>
    <mergeCell ref="N111:Q111"/>
    <mergeCell ref="N112:Q112"/>
    <mergeCell ref="N113:Q113"/>
    <mergeCell ref="N185:Q185"/>
    <mergeCell ref="E186:I186"/>
    <mergeCell ref="L186:M186"/>
    <mergeCell ref="N186:Q186"/>
    <mergeCell ref="F203:I203"/>
    <mergeCell ref="L177:M177"/>
    <mergeCell ref="N177:Q177"/>
    <mergeCell ref="F178:I178"/>
    <mergeCell ref="F179:I179"/>
    <mergeCell ref="L179:M179"/>
    <mergeCell ref="N179:Q179"/>
    <mergeCell ref="F196:I196"/>
    <mergeCell ref="L196:M196"/>
    <mergeCell ref="N196:Q196"/>
    <mergeCell ref="F182:I182"/>
    <mergeCell ref="F183:I183"/>
    <mergeCell ref="L183:M183"/>
    <mergeCell ref="N183:Q183"/>
    <mergeCell ref="F184:I184"/>
    <mergeCell ref="F185:I185"/>
    <mergeCell ref="N138:Q138"/>
    <mergeCell ref="F139:I139"/>
    <mergeCell ref="N226:Q226"/>
    <mergeCell ref="F227:I227"/>
    <mergeCell ref="L227:M227"/>
    <mergeCell ref="N227:Q227"/>
    <mergeCell ref="F207:I207"/>
    <mergeCell ref="L207:M207"/>
    <mergeCell ref="N207:Q207"/>
    <mergeCell ref="F208:I208"/>
    <mergeCell ref="L208:M208"/>
    <mergeCell ref="N208:Q208"/>
    <mergeCell ref="F225:I225"/>
    <mergeCell ref="L225:M225"/>
    <mergeCell ref="N225:Q225"/>
    <mergeCell ref="L224:M224"/>
    <mergeCell ref="N224:Q224"/>
    <mergeCell ref="F223:I223"/>
    <mergeCell ref="L223:M223"/>
    <mergeCell ref="N223:Q223"/>
    <mergeCell ref="F224:I224"/>
    <mergeCell ref="N218:Q218"/>
    <mergeCell ref="F219:I219"/>
    <mergeCell ref="F220:I220"/>
    <mergeCell ref="L220:M220"/>
    <mergeCell ref="N220:Q220"/>
    <mergeCell ref="N172:Q172"/>
    <mergeCell ref="F175:I175"/>
    <mergeCell ref="L175:M175"/>
    <mergeCell ref="N175:Q175"/>
    <mergeCell ref="F176:I176"/>
    <mergeCell ref="L142:M142"/>
    <mergeCell ref="N142:Q142"/>
    <mergeCell ref="F143:I143"/>
    <mergeCell ref="F144:I144"/>
    <mergeCell ref="L144:M144"/>
    <mergeCell ref="F146:I146"/>
    <mergeCell ref="L146:M146"/>
    <mergeCell ref="N146:Q146"/>
    <mergeCell ref="N147:Q147"/>
    <mergeCell ref="L149:M149"/>
    <mergeCell ref="N149:Q149"/>
    <mergeCell ref="F148:I148"/>
    <mergeCell ref="F149:I149"/>
    <mergeCell ref="F147:I147"/>
    <mergeCell ref="L147:M147"/>
    <mergeCell ref="F150:I150"/>
    <mergeCell ref="F151:I151"/>
    <mergeCell ref="L151:M151"/>
    <mergeCell ref="N151:Q151"/>
    <mergeCell ref="L193:M193"/>
    <mergeCell ref="N193:Q193"/>
    <mergeCell ref="F187:I187"/>
    <mergeCell ref="L187:M187"/>
    <mergeCell ref="N187:Q187"/>
    <mergeCell ref="F188:I188"/>
    <mergeCell ref="E180:I180"/>
    <mergeCell ref="L180:M180"/>
    <mergeCell ref="N180:Q180"/>
    <mergeCell ref="F181:I181"/>
    <mergeCell ref="L181:M181"/>
    <mergeCell ref="N181:Q181"/>
    <mergeCell ref="F193:I193"/>
    <mergeCell ref="F132:I132"/>
    <mergeCell ref="L133:M133"/>
    <mergeCell ref="F130:I130"/>
    <mergeCell ref="L130:M130"/>
    <mergeCell ref="N130:Q130"/>
    <mergeCell ref="F133:I133"/>
    <mergeCell ref="F131:I131"/>
    <mergeCell ref="L118:M118"/>
    <mergeCell ref="N118:Q118"/>
    <mergeCell ref="F119:I119"/>
    <mergeCell ref="F125:I125"/>
    <mergeCell ref="L125:M125"/>
    <mergeCell ref="N125:Q125"/>
    <mergeCell ref="F126:I126"/>
    <mergeCell ref="F127:I127"/>
    <mergeCell ref="L127:M127"/>
    <mergeCell ref="N127:Q127"/>
    <mergeCell ref="F128:I128"/>
    <mergeCell ref="F129:I129"/>
    <mergeCell ref="N114:Q114"/>
    <mergeCell ref="F121:I121"/>
    <mergeCell ref="F122:I122"/>
    <mergeCell ref="L122:M122"/>
    <mergeCell ref="N122:Q122"/>
    <mergeCell ref="F123:I123"/>
    <mergeCell ref="F124:I124"/>
    <mergeCell ref="L124:M124"/>
    <mergeCell ref="N124:Q124"/>
    <mergeCell ref="F120:I120"/>
    <mergeCell ref="L120:M120"/>
    <mergeCell ref="N120:Q120"/>
    <mergeCell ref="F115:I115"/>
    <mergeCell ref="L115:M115"/>
    <mergeCell ref="N115:Q115"/>
    <mergeCell ref="F116:I116"/>
    <mergeCell ref="F117:I117"/>
    <mergeCell ref="F118:I118"/>
    <mergeCell ref="L140:M140"/>
    <mergeCell ref="N140:Q140"/>
    <mergeCell ref="F141:I141"/>
    <mergeCell ref="F136:I136"/>
    <mergeCell ref="F137:I137"/>
    <mergeCell ref="L145:M145"/>
    <mergeCell ref="N145:Q145"/>
    <mergeCell ref="F145:I145"/>
    <mergeCell ref="N133:Q133"/>
    <mergeCell ref="F142:I142"/>
    <mergeCell ref="N144:Q144"/>
    <mergeCell ref="N136:Q136"/>
    <mergeCell ref="F138:I138"/>
    <mergeCell ref="L138:M138"/>
    <mergeCell ref="F140:I140"/>
    <mergeCell ref="F134:I134"/>
    <mergeCell ref="F135:I135"/>
    <mergeCell ref="L136:M136"/>
    <mergeCell ref="F156:I156"/>
    <mergeCell ref="F155:I155"/>
    <mergeCell ref="L155:M155"/>
    <mergeCell ref="N155:Q155"/>
    <mergeCell ref="L156:M156"/>
    <mergeCell ref="N156:Q156"/>
    <mergeCell ref="F152:I152"/>
    <mergeCell ref="L152:M152"/>
    <mergeCell ref="N152:Q152"/>
    <mergeCell ref="F154:I154"/>
    <mergeCell ref="F153:I153"/>
    <mergeCell ref="L153:M153"/>
    <mergeCell ref="N153:Q153"/>
    <mergeCell ref="F163:I163"/>
    <mergeCell ref="L163:M163"/>
    <mergeCell ref="N163:Q163"/>
    <mergeCell ref="F164:I164"/>
    <mergeCell ref="F161:I161"/>
    <mergeCell ref="L161:M161"/>
    <mergeCell ref="N161:Q161"/>
    <mergeCell ref="F162:I162"/>
    <mergeCell ref="F157:I157"/>
    <mergeCell ref="L157:M157"/>
    <mergeCell ref="N157:Q157"/>
    <mergeCell ref="F158:I158"/>
    <mergeCell ref="F159:I159"/>
    <mergeCell ref="L159:M159"/>
    <mergeCell ref="N159:Q159"/>
    <mergeCell ref="F160:I160"/>
    <mergeCell ref="F168:I168"/>
    <mergeCell ref="L168:M168"/>
    <mergeCell ref="N168:Q168"/>
    <mergeCell ref="F170:I170"/>
    <mergeCell ref="L170:M170"/>
    <mergeCell ref="N170:Q170"/>
    <mergeCell ref="F165:I165"/>
    <mergeCell ref="L165:M165"/>
    <mergeCell ref="N165:Q165"/>
    <mergeCell ref="F166:I166"/>
    <mergeCell ref="F167:I167"/>
    <mergeCell ref="L167:M167"/>
    <mergeCell ref="N167:Q167"/>
    <mergeCell ref="F194:I194"/>
    <mergeCell ref="F195:I195"/>
    <mergeCell ref="L195:M195"/>
    <mergeCell ref="N195:Q195"/>
    <mergeCell ref="F169:I169"/>
    <mergeCell ref="F204:I204"/>
    <mergeCell ref="L204:M204"/>
    <mergeCell ref="N204:Q204"/>
    <mergeCell ref="F199:I199"/>
    <mergeCell ref="F200:I200"/>
    <mergeCell ref="L200:M200"/>
    <mergeCell ref="N200:Q200"/>
    <mergeCell ref="F201:I201"/>
    <mergeCell ref="F202:I202"/>
    <mergeCell ref="L202:M202"/>
    <mergeCell ref="N202:Q202"/>
    <mergeCell ref="F171:I171"/>
    <mergeCell ref="E174:I174"/>
    <mergeCell ref="L174:M174"/>
    <mergeCell ref="N174:Q174"/>
    <mergeCell ref="L185:M185"/>
    <mergeCell ref="F189:I189"/>
    <mergeCell ref="L189:M189"/>
    <mergeCell ref="F173:I173"/>
    <mergeCell ref="L173:M173"/>
    <mergeCell ref="N173:Q173"/>
    <mergeCell ref="N189:Q189"/>
    <mergeCell ref="F190:I190"/>
    <mergeCell ref="F191:I191"/>
    <mergeCell ref="L191:M191"/>
    <mergeCell ref="N191:Q191"/>
    <mergeCell ref="F192:I192"/>
    <mergeCell ref="L192:M192"/>
    <mergeCell ref="N192:Q192"/>
    <mergeCell ref="F177:I177"/>
    <mergeCell ref="F222:I222"/>
    <mergeCell ref="L216:M216"/>
    <mergeCell ref="N216:Q216"/>
    <mergeCell ref="F212:I212"/>
    <mergeCell ref="L212:M212"/>
    <mergeCell ref="N212:Q212"/>
    <mergeCell ref="F213:I213"/>
    <mergeCell ref="E209:I209"/>
    <mergeCell ref="L209:M209"/>
    <mergeCell ref="N209:Q209"/>
    <mergeCell ref="F210:I210"/>
    <mergeCell ref="L210:M210"/>
    <mergeCell ref="N210:Q210"/>
    <mergeCell ref="F211:I211"/>
    <mergeCell ref="F218:I218"/>
    <mergeCell ref="L218:M218"/>
    <mergeCell ref="F214:I214"/>
    <mergeCell ref="L214:M214"/>
    <mergeCell ref="N214:Q214"/>
    <mergeCell ref="F206:I206"/>
    <mergeCell ref="N217:Q217"/>
    <mergeCell ref="F197:I197"/>
    <mergeCell ref="F215:I215"/>
    <mergeCell ref="F216:I216"/>
    <mergeCell ref="F221:I221"/>
    <mergeCell ref="L221:M221"/>
    <mergeCell ref="N221:Q221"/>
    <mergeCell ref="F205:I205"/>
    <mergeCell ref="L205:M205"/>
    <mergeCell ref="N205:Q205"/>
    <mergeCell ref="F198:I198"/>
    <mergeCell ref="L198:M198"/>
    <mergeCell ref="N198:Q198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>&amp;LBD Hübnerové&amp;ROdhad stavebních nákladů</oddHeader>
    <oddFooter>Stránka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Y286"/>
  <sheetViews>
    <sheetView showGridLines="0" view="pageBreakPreview" zoomScaleNormal="85" zoomScaleSheetLayoutView="100" workbookViewId="0">
      <pane ySplit="1" topLeftCell="A2" activePane="bottomLeft" state="frozen"/>
      <selection activeCell="F118" sqref="F118:I118"/>
      <selection pane="bottomLeft" activeCell="F5" sqref="F5:R5"/>
    </sheetView>
  </sheetViews>
  <sheetFormatPr defaultColWidth="9.33203125" defaultRowHeight="11.25" outlineLevelRow="1" outlineLevelCol="1"/>
  <cols>
    <col min="1" max="1" width="8.33203125" style="236" customWidth="1"/>
    <col min="2" max="2" width="1.6640625" style="236" customWidth="1"/>
    <col min="3" max="3" width="4.1640625" style="236" customWidth="1"/>
    <col min="4" max="4" width="4.33203125" style="236" customWidth="1"/>
    <col min="5" max="5" width="22.33203125" style="305" customWidth="1"/>
    <col min="6" max="6" width="13.83203125" style="236" customWidth="1"/>
    <col min="7" max="7" width="11.1640625" style="236" customWidth="1"/>
    <col min="8" max="8" width="12.5" style="236" customWidth="1"/>
    <col min="9" max="9" width="34.33203125" style="236" customWidth="1"/>
    <col min="10" max="10" width="6.5" style="236" customWidth="1"/>
    <col min="11" max="13" width="11.5" style="236" customWidth="1"/>
    <col min="14" max="14" width="12" style="236" customWidth="1"/>
    <col min="15" max="15" width="7.5" style="236" customWidth="1"/>
    <col min="16" max="16" width="6" style="236" customWidth="1"/>
    <col min="17" max="17" width="2" style="236" customWidth="1"/>
    <col min="18" max="18" width="12.5" style="236" customWidth="1"/>
    <col min="19" max="19" width="4.1640625" style="236" customWidth="1"/>
    <col min="20" max="20" width="1.6640625" style="236" customWidth="1"/>
    <col min="21" max="21" width="18.1640625" style="42" hidden="1" customWidth="1" outlineLevel="1"/>
    <col min="22" max="22" width="15.1640625" style="236" hidden="1" customWidth="1" outlineLevel="1"/>
    <col min="23" max="23" width="14.1640625" style="236" hidden="1" customWidth="1" outlineLevel="1"/>
    <col min="24" max="24" width="0" style="236" hidden="1" customWidth="1" outlineLevel="1"/>
    <col min="25" max="25" width="9.33203125" style="236" collapsed="1"/>
    <col min="26" max="16384" width="9.33203125" style="236"/>
  </cols>
  <sheetData>
    <row r="1" spans="2:20">
      <c r="B1" s="233"/>
      <c r="C1" s="234"/>
      <c r="D1" s="234"/>
      <c r="E1" s="438"/>
      <c r="F1" s="234"/>
      <c r="G1" s="234"/>
      <c r="H1" s="234"/>
      <c r="I1" s="234"/>
      <c r="J1" s="234"/>
      <c r="K1" s="234"/>
      <c r="L1" s="234"/>
      <c r="M1" s="234"/>
      <c r="N1" s="234"/>
      <c r="O1" s="234"/>
      <c r="P1" s="234"/>
      <c r="Q1" s="234"/>
      <c r="R1" s="234"/>
      <c r="S1" s="234"/>
      <c r="T1" s="235"/>
    </row>
    <row r="2" spans="2:20" ht="20.25">
      <c r="B2" s="237"/>
      <c r="C2" s="697" t="s">
        <v>38</v>
      </c>
      <c r="D2" s="698"/>
      <c r="E2" s="698"/>
      <c r="F2" s="698"/>
      <c r="G2" s="698"/>
      <c r="H2" s="698"/>
      <c r="I2" s="698"/>
      <c r="J2" s="698"/>
      <c r="K2" s="698"/>
      <c r="L2" s="698"/>
      <c r="M2" s="698"/>
      <c r="N2" s="698"/>
      <c r="O2" s="698"/>
      <c r="P2" s="698"/>
      <c r="Q2" s="698"/>
      <c r="R2" s="698"/>
      <c r="S2" s="698"/>
      <c r="T2" s="238"/>
    </row>
    <row r="3" spans="2:20">
      <c r="B3" s="237"/>
      <c r="T3" s="238"/>
    </row>
    <row r="4" spans="2:20" ht="12">
      <c r="B4" s="237"/>
      <c r="D4" s="239" t="s">
        <v>3</v>
      </c>
      <c r="F4" s="721" t="str">
        <f>Rekapitulace!K4</f>
        <v>Stavební úpravy, vestavba a přístavba stávajícího objektu</v>
      </c>
      <c r="G4" s="722"/>
      <c r="H4" s="722"/>
      <c r="I4" s="722"/>
      <c r="J4" s="722"/>
      <c r="K4" s="722"/>
      <c r="L4" s="722"/>
      <c r="M4" s="722"/>
      <c r="N4" s="722"/>
      <c r="O4" s="722"/>
      <c r="P4" s="722"/>
      <c r="Q4" s="722"/>
      <c r="R4" s="722"/>
      <c r="T4" s="238"/>
    </row>
    <row r="5" spans="2:20" ht="15.75">
      <c r="B5" s="237"/>
      <c r="D5" s="241" t="s">
        <v>39</v>
      </c>
      <c r="F5" s="691" t="s">
        <v>479</v>
      </c>
      <c r="G5" s="671"/>
      <c r="H5" s="671"/>
      <c r="I5" s="671"/>
      <c r="J5" s="671"/>
      <c r="K5" s="671"/>
      <c r="L5" s="671"/>
      <c r="M5" s="671"/>
      <c r="N5" s="671"/>
      <c r="O5" s="671"/>
      <c r="P5" s="671"/>
      <c r="Q5" s="671"/>
      <c r="R5" s="671"/>
      <c r="T5" s="238"/>
    </row>
    <row r="6" spans="2:20" ht="12">
      <c r="B6" s="237"/>
      <c r="D6" s="239" t="s">
        <v>4</v>
      </c>
      <c r="F6" s="240" t="s">
        <v>0</v>
      </c>
      <c r="O6" s="239" t="s">
        <v>5</v>
      </c>
      <c r="Q6" s="240" t="s">
        <v>0</v>
      </c>
      <c r="T6" s="238"/>
    </row>
    <row r="7" spans="2:20" ht="12">
      <c r="B7" s="237"/>
      <c r="D7" s="239" t="s">
        <v>6</v>
      </c>
      <c r="F7" s="240" t="str">
        <f>Rekapitulace!I82</f>
        <v>Mírové náměstí 23/12, Bílina - p.č. 124, 125/1, 125/2, 125/3, k.ú. Bílina (604208)</v>
      </c>
      <c r="O7" s="239" t="s">
        <v>7</v>
      </c>
      <c r="Q7" s="712">
        <f>Rekapitulace!AN6</f>
        <v>0</v>
      </c>
      <c r="R7" s="712"/>
      <c r="T7" s="238"/>
    </row>
    <row r="8" spans="2:20">
      <c r="B8" s="237"/>
      <c r="T8" s="238"/>
    </row>
    <row r="9" spans="2:20" ht="12">
      <c r="B9" s="237"/>
      <c r="D9" s="239" t="s">
        <v>8</v>
      </c>
      <c r="F9" s="236" t="str">
        <f>Rekapitulace!K8</f>
        <v>město Bílina</v>
      </c>
      <c r="O9" s="239" t="s">
        <v>9</v>
      </c>
      <c r="Q9" s="692" t="s">
        <v>0</v>
      </c>
      <c r="R9" s="692"/>
      <c r="T9" s="238"/>
    </row>
    <row r="10" spans="2:20" ht="12">
      <c r="B10" s="237"/>
      <c r="E10" s="242"/>
      <c r="O10" s="239" t="s">
        <v>10</v>
      </c>
      <c r="Q10" s="692" t="s">
        <v>0</v>
      </c>
      <c r="R10" s="692"/>
      <c r="T10" s="238"/>
    </row>
    <row r="11" spans="2:20">
      <c r="B11" s="237"/>
      <c r="T11" s="238"/>
    </row>
    <row r="12" spans="2:20" ht="12">
      <c r="B12" s="237"/>
      <c r="D12" s="239" t="s">
        <v>11</v>
      </c>
      <c r="F12" s="736">
        <f>Rekapitulace!K11</f>
        <v>0</v>
      </c>
      <c r="G12" s="736"/>
      <c r="H12" s="736"/>
      <c r="I12" s="736"/>
      <c r="O12" s="239" t="s">
        <v>9</v>
      </c>
      <c r="Q12" s="692" t="str">
        <f>IF(Rekapitulace!AN11="","",Rekapitulace!AN11)</f>
        <v/>
      </c>
      <c r="R12" s="692"/>
      <c r="T12" s="238"/>
    </row>
    <row r="13" spans="2:20" ht="12">
      <c r="B13" s="237"/>
      <c r="E13" s="242" t="str">
        <f>IF(Rekapitulace!E12="","",Rekapitulace!E12)</f>
        <v xml:space="preserve"> </v>
      </c>
      <c r="O13" s="239" t="s">
        <v>10</v>
      </c>
      <c r="Q13" s="692" t="str">
        <f>IF(Rekapitulace!AN12="","",Rekapitulace!AN12)</f>
        <v/>
      </c>
      <c r="R13" s="692"/>
      <c r="T13" s="238"/>
    </row>
    <row r="14" spans="2:20">
      <c r="B14" s="237"/>
      <c r="T14" s="238"/>
    </row>
    <row r="15" spans="2:20" ht="12">
      <c r="B15" s="237"/>
      <c r="D15" s="239" t="s">
        <v>13</v>
      </c>
      <c r="O15" s="239" t="s">
        <v>9</v>
      </c>
      <c r="Q15" s="692" t="s">
        <v>0</v>
      </c>
      <c r="R15" s="692"/>
      <c r="T15" s="238"/>
    </row>
    <row r="16" spans="2:20" ht="12">
      <c r="B16" s="237"/>
      <c r="E16" s="242" t="str">
        <f>Rekapitulace!E15</f>
        <v>Ing. arch. Bořek Peška</v>
      </c>
      <c r="O16" s="239" t="s">
        <v>10</v>
      </c>
      <c r="Q16" s="692" t="s">
        <v>0</v>
      </c>
      <c r="R16" s="692"/>
      <c r="T16" s="238"/>
    </row>
    <row r="17" spans="2:21">
      <c r="B17" s="237"/>
      <c r="T17" s="238"/>
    </row>
    <row r="18" spans="2:21" ht="12">
      <c r="B18" s="237"/>
      <c r="D18" s="239" t="s">
        <v>14</v>
      </c>
      <c r="O18" s="239" t="s">
        <v>9</v>
      </c>
      <c r="Q18" s="692" t="s">
        <v>0</v>
      </c>
      <c r="R18" s="692"/>
      <c r="T18" s="238"/>
    </row>
    <row r="19" spans="2:21" ht="12">
      <c r="B19" s="237"/>
      <c r="E19" s="242" t="str">
        <f>Rekapitulace!E18</f>
        <v>Jakub Kulhavý</v>
      </c>
      <c r="O19" s="239" t="s">
        <v>10</v>
      </c>
      <c r="Q19" s="692" t="s">
        <v>0</v>
      </c>
      <c r="R19" s="692"/>
      <c r="T19" s="238"/>
    </row>
    <row r="20" spans="2:21">
      <c r="B20" s="237"/>
      <c r="T20" s="238"/>
    </row>
    <row r="21" spans="2:21" ht="12">
      <c r="B21" s="237"/>
      <c r="D21" s="239" t="s">
        <v>186</v>
      </c>
      <c r="O21" s="239"/>
      <c r="Q21" s="692" t="s">
        <v>0</v>
      </c>
      <c r="R21" s="692"/>
      <c r="T21" s="238"/>
    </row>
    <row r="22" spans="2:21" ht="12" customHeight="1">
      <c r="B22" s="237"/>
      <c r="E22" s="706" t="str">
        <f>Rekapitulace!E21</f>
        <v>projektové dokumentace ve stupni DPS z 04/2023</v>
      </c>
      <c r="F22" s="706"/>
      <c r="G22" s="706"/>
      <c r="H22" s="706"/>
      <c r="I22" s="706"/>
      <c r="J22" s="706"/>
      <c r="K22" s="706"/>
      <c r="L22" s="706"/>
      <c r="M22" s="706"/>
      <c r="N22" s="706"/>
      <c r="O22" s="706"/>
      <c r="P22" s="706"/>
      <c r="Q22" s="706"/>
      <c r="R22" s="706"/>
      <c r="T22" s="238"/>
    </row>
    <row r="23" spans="2:21">
      <c r="B23" s="237"/>
      <c r="T23" s="238"/>
    </row>
    <row r="24" spans="2:21" ht="12">
      <c r="B24" s="237"/>
      <c r="D24" s="240" t="s">
        <v>94</v>
      </c>
      <c r="T24" s="238"/>
      <c r="U24" s="203"/>
    </row>
    <row r="25" spans="2:21" ht="12">
      <c r="B25" s="237"/>
      <c r="D25" s="801" t="str">
        <f>Rekapitulace!E24</f>
        <v>REV01</v>
      </c>
      <c r="E25" s="801"/>
      <c r="F25" s="439">
        <f>Rekapitulace!H24</f>
        <v>45104</v>
      </c>
      <c r="G25" s="802" t="str">
        <f>Rekapitulace!K24</f>
        <v>Úprava popisů a položek ve vyznačených listech</v>
      </c>
      <c r="H25" s="802"/>
      <c r="I25" s="802"/>
      <c r="J25" s="802"/>
      <c r="K25" s="802"/>
      <c r="L25" s="802"/>
      <c r="M25" s="802"/>
      <c r="N25" s="802"/>
      <c r="O25" s="802"/>
      <c r="P25" s="802"/>
      <c r="Q25" s="802"/>
      <c r="R25" s="802"/>
      <c r="T25" s="238"/>
      <c r="U25" s="78"/>
    </row>
    <row r="26" spans="2:21" s="308" customFormat="1" ht="12">
      <c r="B26" s="307"/>
      <c r="D26" s="736"/>
      <c r="E26" s="736"/>
      <c r="F26" s="312"/>
      <c r="G26" s="706"/>
      <c r="H26" s="706"/>
      <c r="I26" s="706"/>
      <c r="J26" s="706"/>
      <c r="K26" s="706"/>
      <c r="L26" s="706"/>
      <c r="M26" s="706"/>
      <c r="N26" s="706"/>
      <c r="O26" s="706"/>
      <c r="P26" s="706"/>
      <c r="Q26" s="706"/>
      <c r="R26" s="706"/>
      <c r="T26" s="310"/>
      <c r="U26" s="45"/>
    </row>
    <row r="27" spans="2:21">
      <c r="B27" s="237"/>
      <c r="T27" s="238"/>
    </row>
    <row r="28" spans="2:21">
      <c r="B28" s="237"/>
      <c r="D28" s="266"/>
      <c r="E28" s="440"/>
      <c r="F28" s="266"/>
      <c r="G28" s="266"/>
      <c r="H28" s="266"/>
      <c r="I28" s="266"/>
      <c r="J28" s="266"/>
      <c r="K28" s="266"/>
      <c r="L28" s="266"/>
      <c r="M28" s="266"/>
      <c r="N28" s="266"/>
      <c r="O28" s="266"/>
      <c r="P28" s="266"/>
      <c r="Q28" s="266"/>
      <c r="R28" s="266"/>
      <c r="T28" s="238"/>
    </row>
    <row r="29" spans="2:21" ht="12.75">
      <c r="B29" s="237"/>
      <c r="D29" s="313" t="str">
        <f>C89</f>
        <v>1) Náklady z rozpočtu - prostory Infocentrum a navazující</v>
      </c>
      <c r="O29" s="670">
        <f>P89</f>
        <v>0</v>
      </c>
      <c r="P29" s="670"/>
      <c r="Q29" s="670"/>
      <c r="R29" s="670"/>
      <c r="T29" s="238"/>
    </row>
    <row r="30" spans="2:21" ht="12.75">
      <c r="B30" s="237"/>
      <c r="D30" s="313" t="str">
        <f>C97</f>
        <v>2) Náklady z rozpočtu</v>
      </c>
      <c r="O30" s="670">
        <f>P97</f>
        <v>0</v>
      </c>
      <c r="P30" s="670"/>
      <c r="Q30" s="670"/>
      <c r="R30" s="670"/>
      <c r="T30" s="238"/>
    </row>
    <row r="31" spans="2:21">
      <c r="B31" s="237"/>
      <c r="T31" s="238"/>
    </row>
    <row r="32" spans="2:21" ht="12.75">
      <c r="B32" s="237"/>
      <c r="D32" s="314" t="s">
        <v>16</v>
      </c>
      <c r="O32" s="735">
        <f>ROUND(O29+O30,2)</f>
        <v>0</v>
      </c>
      <c r="P32" s="671"/>
      <c r="Q32" s="671"/>
      <c r="R32" s="671"/>
      <c r="T32" s="238"/>
    </row>
    <row r="33" spans="2:20">
      <c r="B33" s="237"/>
      <c r="D33" s="266"/>
      <c r="E33" s="440"/>
      <c r="F33" s="266"/>
      <c r="G33" s="266"/>
      <c r="H33" s="266"/>
      <c r="I33" s="266"/>
      <c r="J33" s="266"/>
      <c r="K33" s="266"/>
      <c r="L33" s="266"/>
      <c r="M33" s="266"/>
      <c r="N33" s="266"/>
      <c r="O33" s="266"/>
      <c r="P33" s="266"/>
      <c r="Q33" s="266"/>
      <c r="R33" s="266"/>
      <c r="T33" s="238"/>
    </row>
    <row r="34" spans="2:20">
      <c r="B34" s="237"/>
      <c r="D34" s="257" t="s">
        <v>17</v>
      </c>
      <c r="E34" s="441" t="s">
        <v>18</v>
      </c>
      <c r="F34" s="258">
        <v>0.21</v>
      </c>
      <c r="G34" s="315" t="s">
        <v>19</v>
      </c>
      <c r="H34" s="741">
        <f>ROUND(O32, 2)</f>
        <v>0</v>
      </c>
      <c r="I34" s="671"/>
      <c r="J34" s="671"/>
      <c r="O34" s="741">
        <f>ROUND(H34*F34, 2)</f>
        <v>0</v>
      </c>
      <c r="P34" s="671"/>
      <c r="Q34" s="671"/>
      <c r="R34" s="671"/>
      <c r="T34" s="238"/>
    </row>
    <row r="35" spans="2:20">
      <c r="B35" s="237"/>
      <c r="E35" s="441" t="s">
        <v>20</v>
      </c>
      <c r="F35" s="258">
        <v>0.15</v>
      </c>
      <c r="G35" s="315" t="s">
        <v>19</v>
      </c>
      <c r="H35" s="741">
        <v>0</v>
      </c>
      <c r="I35" s="671"/>
      <c r="J35" s="671"/>
      <c r="O35" s="741">
        <f>ROUND(H35*F35, 2)</f>
        <v>0</v>
      </c>
      <c r="P35" s="671"/>
      <c r="Q35" s="671"/>
      <c r="R35" s="671"/>
      <c r="T35" s="238"/>
    </row>
    <row r="36" spans="2:20">
      <c r="B36" s="237"/>
      <c r="T36" s="238"/>
    </row>
    <row r="37" spans="2:20" ht="15.75">
      <c r="B37" s="237"/>
      <c r="C37" s="297"/>
      <c r="D37" s="316" t="s">
        <v>24</v>
      </c>
      <c r="E37" s="442"/>
      <c r="F37" s="283"/>
      <c r="G37" s="317" t="s">
        <v>25</v>
      </c>
      <c r="H37" s="318" t="s">
        <v>26</v>
      </c>
      <c r="I37" s="283"/>
      <c r="J37" s="283"/>
      <c r="K37" s="283"/>
      <c r="L37" s="283"/>
      <c r="M37" s="283"/>
      <c r="N37" s="739">
        <f>SUM(O32:O35)</f>
        <v>0</v>
      </c>
      <c r="O37" s="739"/>
      <c r="P37" s="739"/>
      <c r="Q37" s="739"/>
      <c r="R37" s="740"/>
      <c r="S37" s="297"/>
      <c r="T37" s="238"/>
    </row>
    <row r="38" spans="2:20">
      <c r="B38" s="237"/>
      <c r="T38" s="238"/>
    </row>
    <row r="39" spans="2:20">
      <c r="B39" s="237"/>
      <c r="T39" s="238"/>
    </row>
    <row r="40" spans="2:20">
      <c r="B40" s="237"/>
      <c r="T40" s="238"/>
    </row>
    <row r="41" spans="2:20">
      <c r="B41" s="237"/>
      <c r="T41" s="238"/>
    </row>
    <row r="42" spans="2:20">
      <c r="B42" s="237"/>
      <c r="T42" s="238"/>
    </row>
    <row r="43" spans="2:20">
      <c r="B43" s="237"/>
      <c r="T43" s="238"/>
    </row>
    <row r="44" spans="2:20">
      <c r="B44" s="237"/>
      <c r="T44" s="238"/>
    </row>
    <row r="45" spans="2:20">
      <c r="B45" s="237"/>
      <c r="T45" s="238"/>
    </row>
    <row r="46" spans="2:20">
      <c r="B46" s="237"/>
      <c r="T46" s="238"/>
    </row>
    <row r="47" spans="2:20">
      <c r="B47" s="237"/>
      <c r="T47" s="238"/>
    </row>
    <row r="48" spans="2:20">
      <c r="B48" s="237"/>
      <c r="T48" s="238"/>
    </row>
    <row r="49" spans="2:20" ht="12.75">
      <c r="B49" s="237"/>
      <c r="D49" s="265" t="s">
        <v>27</v>
      </c>
      <c r="E49" s="440"/>
      <c r="F49" s="266"/>
      <c r="G49" s="266"/>
      <c r="H49" s="267"/>
      <c r="J49" s="265" t="s">
        <v>28</v>
      </c>
      <c r="K49" s="266"/>
      <c r="L49" s="266"/>
      <c r="M49" s="266"/>
      <c r="N49" s="266"/>
      <c r="O49" s="266"/>
      <c r="P49" s="266"/>
      <c r="Q49" s="266"/>
      <c r="R49" s="267"/>
      <c r="T49" s="238"/>
    </row>
    <row r="50" spans="2:20">
      <c r="B50" s="237"/>
      <c r="D50" s="268"/>
      <c r="H50" s="269"/>
      <c r="J50" s="268"/>
      <c r="R50" s="269"/>
      <c r="T50" s="238"/>
    </row>
    <row r="51" spans="2:20">
      <c r="B51" s="237"/>
      <c r="D51" s="268"/>
      <c r="H51" s="269"/>
      <c r="J51" s="268"/>
      <c r="R51" s="269"/>
      <c r="T51" s="238"/>
    </row>
    <row r="52" spans="2:20">
      <c r="B52" s="237"/>
      <c r="D52" s="268"/>
      <c r="H52" s="269"/>
      <c r="J52" s="268"/>
      <c r="R52" s="269"/>
      <c r="T52" s="238"/>
    </row>
    <row r="53" spans="2:20">
      <c r="B53" s="237"/>
      <c r="D53" s="268"/>
      <c r="H53" s="269"/>
      <c r="J53" s="268"/>
      <c r="R53" s="269"/>
      <c r="T53" s="238"/>
    </row>
    <row r="54" spans="2:20">
      <c r="B54" s="237"/>
      <c r="D54" s="268"/>
      <c r="H54" s="269"/>
      <c r="J54" s="268"/>
      <c r="R54" s="269"/>
      <c r="T54" s="238"/>
    </row>
    <row r="55" spans="2:20">
      <c r="B55" s="237"/>
      <c r="D55" s="268"/>
      <c r="H55" s="269"/>
      <c r="J55" s="268"/>
      <c r="R55" s="269"/>
      <c r="T55" s="238"/>
    </row>
    <row r="56" spans="2:20">
      <c r="B56" s="237"/>
      <c r="D56" s="268"/>
      <c r="H56" s="269"/>
      <c r="J56" s="268"/>
      <c r="R56" s="269"/>
      <c r="T56" s="238"/>
    </row>
    <row r="57" spans="2:20">
      <c r="B57" s="237"/>
      <c r="D57" s="268"/>
      <c r="H57" s="269"/>
      <c r="J57" s="268"/>
      <c r="R57" s="269"/>
      <c r="T57" s="238"/>
    </row>
    <row r="58" spans="2:20" ht="12.75">
      <c r="B58" s="237"/>
      <c r="D58" s="270" t="s">
        <v>29</v>
      </c>
      <c r="E58" s="443"/>
      <c r="F58" s="271"/>
      <c r="G58" s="272" t="s">
        <v>30</v>
      </c>
      <c r="H58" s="273"/>
      <c r="J58" s="270" t="s">
        <v>29</v>
      </c>
      <c r="K58" s="271"/>
      <c r="L58" s="271"/>
      <c r="M58" s="271"/>
      <c r="N58" s="271"/>
      <c r="O58" s="271"/>
      <c r="P58" s="272" t="s">
        <v>30</v>
      </c>
      <c r="Q58" s="271"/>
      <c r="R58" s="273"/>
      <c r="T58" s="238"/>
    </row>
    <row r="59" spans="2:20">
      <c r="B59" s="237"/>
      <c r="T59" s="238"/>
    </row>
    <row r="60" spans="2:20" ht="12.75">
      <c r="B60" s="237"/>
      <c r="D60" s="265" t="s">
        <v>31</v>
      </c>
      <c r="E60" s="440"/>
      <c r="F60" s="266"/>
      <c r="G60" s="266"/>
      <c r="H60" s="267"/>
      <c r="J60" s="265" t="s">
        <v>32</v>
      </c>
      <c r="K60" s="266"/>
      <c r="L60" s="266"/>
      <c r="M60" s="266"/>
      <c r="N60" s="266"/>
      <c r="O60" s="266"/>
      <c r="P60" s="266"/>
      <c r="Q60" s="266"/>
      <c r="R60" s="267"/>
      <c r="T60" s="238"/>
    </row>
    <row r="61" spans="2:20">
      <c r="B61" s="237"/>
      <c r="D61" s="268"/>
      <c r="H61" s="269"/>
      <c r="J61" s="268"/>
      <c r="R61" s="269"/>
      <c r="T61" s="238"/>
    </row>
    <row r="62" spans="2:20">
      <c r="B62" s="237"/>
      <c r="D62" s="268"/>
      <c r="H62" s="269"/>
      <c r="J62" s="268"/>
      <c r="R62" s="269"/>
      <c r="T62" s="238"/>
    </row>
    <row r="63" spans="2:20">
      <c r="B63" s="237"/>
      <c r="D63" s="268"/>
      <c r="H63" s="269"/>
      <c r="J63" s="268"/>
      <c r="R63" s="269"/>
      <c r="T63" s="238"/>
    </row>
    <row r="64" spans="2:20">
      <c r="B64" s="237"/>
      <c r="D64" s="268"/>
      <c r="H64" s="269"/>
      <c r="J64" s="268"/>
      <c r="R64" s="269"/>
      <c r="T64" s="238"/>
    </row>
    <row r="65" spans="2:20">
      <c r="B65" s="237"/>
      <c r="D65" s="268"/>
      <c r="H65" s="269"/>
      <c r="J65" s="268"/>
      <c r="R65" s="269"/>
      <c r="T65" s="238"/>
    </row>
    <row r="66" spans="2:20">
      <c r="B66" s="237"/>
      <c r="D66" s="268"/>
      <c r="H66" s="269"/>
      <c r="J66" s="268"/>
      <c r="R66" s="269"/>
      <c r="T66" s="238"/>
    </row>
    <row r="67" spans="2:20">
      <c r="B67" s="237"/>
      <c r="D67" s="268"/>
      <c r="H67" s="269"/>
      <c r="J67" s="268"/>
      <c r="R67" s="269"/>
      <c r="T67" s="238"/>
    </row>
    <row r="68" spans="2:20">
      <c r="B68" s="237"/>
      <c r="D68" s="268"/>
      <c r="H68" s="269"/>
      <c r="J68" s="268"/>
      <c r="R68" s="269"/>
      <c r="T68" s="238"/>
    </row>
    <row r="69" spans="2:20" ht="12.75">
      <c r="B69" s="237"/>
      <c r="D69" s="270" t="s">
        <v>29</v>
      </c>
      <c r="E69" s="443"/>
      <c r="F69" s="271"/>
      <c r="G69" s="272" t="s">
        <v>30</v>
      </c>
      <c r="H69" s="273"/>
      <c r="J69" s="270" t="s">
        <v>29</v>
      </c>
      <c r="K69" s="271"/>
      <c r="L69" s="271"/>
      <c r="M69" s="271"/>
      <c r="N69" s="271"/>
      <c r="O69" s="271"/>
      <c r="P69" s="272" t="s">
        <v>30</v>
      </c>
      <c r="Q69" s="271"/>
      <c r="R69" s="273"/>
      <c r="T69" s="238"/>
    </row>
    <row r="70" spans="2:20">
      <c r="B70" s="274"/>
      <c r="C70" s="275"/>
      <c r="D70" s="275"/>
      <c r="E70" s="444"/>
      <c r="F70" s="275"/>
      <c r="G70" s="275"/>
      <c r="H70" s="275"/>
      <c r="I70" s="275"/>
      <c r="J70" s="275"/>
      <c r="K70" s="275"/>
      <c r="L70" s="275"/>
      <c r="M70" s="275"/>
      <c r="N70" s="275"/>
      <c r="O70" s="275"/>
      <c r="P70" s="275"/>
      <c r="Q70" s="275"/>
      <c r="R70" s="275"/>
      <c r="S70" s="275"/>
      <c r="T70" s="276"/>
    </row>
    <row r="74" spans="2:20">
      <c r="B74" s="233"/>
      <c r="C74" s="234"/>
      <c r="D74" s="234"/>
      <c r="E74" s="438"/>
      <c r="F74" s="234"/>
      <c r="G74" s="234"/>
      <c r="H74" s="234"/>
      <c r="I74" s="234"/>
      <c r="J74" s="234"/>
      <c r="K74" s="234"/>
      <c r="L74" s="234"/>
      <c r="M74" s="234"/>
      <c r="N74" s="234"/>
      <c r="O74" s="234"/>
      <c r="P74" s="234"/>
      <c r="Q74" s="234"/>
      <c r="R74" s="234"/>
      <c r="S74" s="234"/>
      <c r="T74" s="235"/>
    </row>
    <row r="75" spans="2:20" ht="20.25">
      <c r="B75" s="237"/>
      <c r="C75" s="697" t="s">
        <v>40</v>
      </c>
      <c r="D75" s="698"/>
      <c r="E75" s="698"/>
      <c r="F75" s="698"/>
      <c r="G75" s="698"/>
      <c r="H75" s="698"/>
      <c r="I75" s="698"/>
      <c r="J75" s="698"/>
      <c r="K75" s="698"/>
      <c r="L75" s="698"/>
      <c r="M75" s="698"/>
      <c r="N75" s="698"/>
      <c r="O75" s="698"/>
      <c r="P75" s="698"/>
      <c r="Q75" s="698"/>
      <c r="R75" s="698"/>
      <c r="S75" s="698"/>
      <c r="T75" s="238"/>
    </row>
    <row r="76" spans="2:20">
      <c r="B76" s="237"/>
      <c r="T76" s="238"/>
    </row>
    <row r="77" spans="2:20" ht="12">
      <c r="B77" s="237"/>
      <c r="C77" s="239" t="s">
        <v>3</v>
      </c>
      <c r="F77" s="721" t="str">
        <f>F4</f>
        <v>Stavební úpravy, vestavba a přístavba stávajícího objektu</v>
      </c>
      <c r="G77" s="722"/>
      <c r="H77" s="722"/>
      <c r="I77" s="722"/>
      <c r="J77" s="722"/>
      <c r="K77" s="722"/>
      <c r="L77" s="722"/>
      <c r="M77" s="722"/>
      <c r="N77" s="722"/>
      <c r="O77" s="722"/>
      <c r="P77" s="722"/>
      <c r="Q77" s="722"/>
      <c r="R77" s="722"/>
      <c r="T77" s="238"/>
    </row>
    <row r="78" spans="2:20" ht="15.75">
      <c r="B78" s="237"/>
      <c r="C78" s="241" t="s">
        <v>39</v>
      </c>
      <c r="F78" s="691" t="str">
        <f>F5</f>
        <v>Výrobky a specifikace</v>
      </c>
      <c r="G78" s="671"/>
      <c r="H78" s="671"/>
      <c r="I78" s="671"/>
      <c r="J78" s="671"/>
      <c r="K78" s="671"/>
      <c r="L78" s="671"/>
      <c r="M78" s="671"/>
      <c r="N78" s="671"/>
      <c r="O78" s="671"/>
      <c r="P78" s="671"/>
      <c r="Q78" s="671"/>
      <c r="R78" s="671"/>
      <c r="T78" s="238"/>
    </row>
    <row r="79" spans="2:20">
      <c r="B79" s="237"/>
      <c r="T79" s="238"/>
    </row>
    <row r="80" spans="2:20" ht="12">
      <c r="B80" s="237"/>
      <c r="C80" s="239" t="s">
        <v>6</v>
      </c>
      <c r="F80" s="240" t="str">
        <f>F7</f>
        <v>Mírové náměstí 23/12, Bílina - p.č. 124, 125/1, 125/2, 125/3, k.ú. Bílina (604208)</v>
      </c>
      <c r="K80" s="239"/>
      <c r="L80" s="239"/>
      <c r="M80" s="239" t="s">
        <v>7</v>
      </c>
      <c r="O80" s="712">
        <f>IF(Q7="","",Q7)</f>
        <v>0</v>
      </c>
      <c r="P80" s="712"/>
      <c r="Q80" s="712"/>
      <c r="R80" s="712"/>
      <c r="T80" s="238"/>
    </row>
    <row r="81" spans="2:21">
      <c r="B81" s="237"/>
      <c r="T81" s="238"/>
    </row>
    <row r="82" spans="2:21" ht="12">
      <c r="B82" s="237"/>
      <c r="C82" s="239" t="s">
        <v>8</v>
      </c>
      <c r="F82" s="240" t="str">
        <f>F9</f>
        <v>město Bílina</v>
      </c>
      <c r="K82" s="239"/>
      <c r="L82" s="239"/>
      <c r="M82" s="239" t="s">
        <v>13</v>
      </c>
      <c r="O82" s="692" t="str">
        <f>E16</f>
        <v>Ing. arch. Bořek Peška</v>
      </c>
      <c r="P82" s="692"/>
      <c r="Q82" s="692"/>
      <c r="R82" s="692"/>
      <c r="S82" s="692"/>
      <c r="T82" s="238"/>
    </row>
    <row r="83" spans="2:21" ht="12">
      <c r="B83" s="237"/>
      <c r="C83" s="239" t="s">
        <v>11</v>
      </c>
      <c r="F83" s="240">
        <f>F12</f>
        <v>0</v>
      </c>
      <c r="K83" s="239"/>
      <c r="L83" s="239"/>
      <c r="M83" s="239" t="s">
        <v>14</v>
      </c>
      <c r="O83" s="692" t="str">
        <f>E19</f>
        <v>Jakub Kulhavý</v>
      </c>
      <c r="P83" s="692"/>
      <c r="Q83" s="692"/>
      <c r="R83" s="692"/>
      <c r="S83" s="692"/>
      <c r="T83" s="238"/>
    </row>
    <row r="84" spans="2:21">
      <c r="B84" s="237"/>
      <c r="T84" s="238"/>
    </row>
    <row r="85" spans="2:21" ht="54" customHeight="1">
      <c r="B85" s="237"/>
      <c r="C85" s="239" t="s">
        <v>106</v>
      </c>
      <c r="E85" s="236"/>
      <c r="F85" s="690" t="s">
        <v>107</v>
      </c>
      <c r="G85" s="690"/>
      <c r="H85" s="690"/>
      <c r="I85" s="690"/>
      <c r="J85" s="690"/>
      <c r="K85" s="690"/>
      <c r="L85" s="690"/>
      <c r="M85" s="690"/>
      <c r="N85" s="690"/>
      <c r="O85" s="690"/>
      <c r="P85" s="690"/>
      <c r="Q85" s="690"/>
      <c r="R85" s="690"/>
      <c r="T85" s="238"/>
    </row>
    <row r="86" spans="2:21">
      <c r="B86" s="237"/>
      <c r="E86" s="236"/>
      <c r="T86" s="238"/>
    </row>
    <row r="87" spans="2:21" ht="12">
      <c r="B87" s="237"/>
      <c r="C87" s="742" t="s">
        <v>41</v>
      </c>
      <c r="D87" s="743"/>
      <c r="E87" s="743"/>
      <c r="F87" s="743"/>
      <c r="G87" s="743"/>
      <c r="H87" s="297"/>
      <c r="I87" s="297"/>
      <c r="J87" s="297"/>
      <c r="K87" s="297"/>
      <c r="L87" s="297"/>
      <c r="M87" s="297"/>
      <c r="N87" s="297"/>
      <c r="O87" s="297"/>
      <c r="P87" s="742" t="s">
        <v>42</v>
      </c>
      <c r="Q87" s="743"/>
      <c r="R87" s="743"/>
      <c r="S87" s="743"/>
      <c r="T87" s="238"/>
    </row>
    <row r="88" spans="2:21">
      <c r="B88" s="237"/>
      <c r="T88" s="238"/>
    </row>
    <row r="89" spans="2:21" ht="15.75">
      <c r="B89" s="237"/>
      <c r="C89" s="436" t="str">
        <f>C124</f>
        <v>1) Náklady z rozpočtu - prostory Infocentrum a navazující</v>
      </c>
      <c r="P89" s="681">
        <f>SUM(P90:S95)</f>
        <v>0</v>
      </c>
      <c r="Q89" s="744"/>
      <c r="R89" s="744"/>
      <c r="S89" s="744"/>
      <c r="T89" s="238"/>
    </row>
    <row r="90" spans="2:21" s="302" customFormat="1" ht="12.75">
      <c r="B90" s="327"/>
      <c r="D90" s="328" t="str">
        <f>D125</f>
        <v>D.1.1.36_SPECIFIKACE VÝPLNÍ VNĚJŠÍCH OTVORŮ</v>
      </c>
      <c r="E90" s="331"/>
      <c r="P90" s="732">
        <f>P125</f>
        <v>0</v>
      </c>
      <c r="Q90" s="733"/>
      <c r="R90" s="733"/>
      <c r="S90" s="733"/>
      <c r="T90" s="329"/>
      <c r="U90" s="43"/>
    </row>
    <row r="91" spans="2:21" s="302" customFormat="1" ht="12.75">
      <c r="B91" s="327"/>
      <c r="D91" s="328" t="str">
        <f>D135</f>
        <v>D.1.1.37_SPECIFIKACE INTERIÉROVÝCH DVEŘÍ</v>
      </c>
      <c r="E91" s="331"/>
      <c r="P91" s="732">
        <f>P135</f>
        <v>0</v>
      </c>
      <c r="Q91" s="733"/>
      <c r="R91" s="733"/>
      <c r="S91" s="733"/>
      <c r="T91" s="329"/>
      <c r="U91" s="43"/>
    </row>
    <row r="92" spans="2:21" s="302" customFormat="1" ht="12.75">
      <c r="B92" s="327"/>
      <c r="D92" s="328" t="str">
        <f>D142</f>
        <v>D.1.1.38_SPECIFIKACE KLEMPÍŘSKÝCH PRVKŮ</v>
      </c>
      <c r="E92" s="331"/>
      <c r="P92" s="732">
        <f>P142</f>
        <v>0</v>
      </c>
      <c r="Q92" s="733"/>
      <c r="R92" s="733"/>
      <c r="S92" s="733"/>
      <c r="T92" s="329"/>
      <c r="U92" s="43"/>
    </row>
    <row r="93" spans="2:21" s="302" customFormat="1" ht="12.75">
      <c r="B93" s="327"/>
      <c r="D93" s="328" t="str">
        <f>D146</f>
        <v>D.1.1.39_SPECIFIKACE ZÁMEČNICKÝCH PRVKŮ</v>
      </c>
      <c r="E93" s="331"/>
      <c r="P93" s="732">
        <f>P146</f>
        <v>0</v>
      </c>
      <c r="Q93" s="733"/>
      <c r="R93" s="733"/>
      <c r="S93" s="733"/>
      <c r="T93" s="329"/>
      <c r="U93" s="43"/>
    </row>
    <row r="94" spans="2:21" s="302" customFormat="1" ht="12.75">
      <c r="B94" s="327"/>
      <c r="D94" s="328" t="str">
        <f>D150</f>
        <v>D.1.1.40_SPECIFIKACE TRUHLÁŘSKÝCH PRVKŮ</v>
      </c>
      <c r="E94" s="331"/>
      <c r="P94" s="732">
        <f>P150</f>
        <v>0</v>
      </c>
      <c r="Q94" s="733"/>
      <c r="R94" s="733"/>
      <c r="S94" s="733"/>
      <c r="T94" s="329"/>
      <c r="U94" s="43"/>
    </row>
    <row r="95" spans="2:21" s="302" customFormat="1" ht="12.75">
      <c r="B95" s="327"/>
      <c r="D95" s="328" t="str">
        <f>D152</f>
        <v>D.1.1.41_SPECIFIKACE OSTATNÍCH PRVKŮ</v>
      </c>
      <c r="E95" s="331"/>
      <c r="P95" s="732">
        <f>P152</f>
        <v>0</v>
      </c>
      <c r="Q95" s="733"/>
      <c r="R95" s="733"/>
      <c r="S95" s="733"/>
      <c r="T95" s="329"/>
      <c r="U95" s="43"/>
    </row>
    <row r="96" spans="2:21">
      <c r="B96" s="237"/>
      <c r="T96" s="238"/>
    </row>
    <row r="97" spans="2:23" ht="15.75">
      <c r="B97" s="237"/>
      <c r="C97" s="436" t="str">
        <f>C157</f>
        <v>2) Náklady z rozpočtu</v>
      </c>
      <c r="P97" s="681">
        <f>SUM(P98:S111)</f>
        <v>0</v>
      </c>
      <c r="Q97" s="744"/>
      <c r="R97" s="744"/>
      <c r="S97" s="744"/>
      <c r="T97" s="238"/>
      <c r="V97" s="303"/>
      <c r="W97" s="445"/>
    </row>
    <row r="98" spans="2:23" s="302" customFormat="1" ht="12.75">
      <c r="B98" s="327"/>
      <c r="D98" s="328" t="str">
        <f>D158</f>
        <v>D.1.1.36_SPECIFIKACE VÝPLNÍ VNĚJŠÍCH OTVORŮ</v>
      </c>
      <c r="E98" s="331"/>
      <c r="P98" s="732">
        <f>P158</f>
        <v>0</v>
      </c>
      <c r="Q98" s="733"/>
      <c r="R98" s="733"/>
      <c r="S98" s="733"/>
      <c r="T98" s="329"/>
      <c r="U98" s="43"/>
      <c r="V98" s="293"/>
      <c r="W98" s="445"/>
    </row>
    <row r="99" spans="2:23" s="302" customFormat="1" ht="12.75">
      <c r="B99" s="327"/>
      <c r="D99" s="328" t="str">
        <f>D190</f>
        <v>D.1.1.37_SPECIFIKACE INTERIÉROVÝCH DVEŘÍ</v>
      </c>
      <c r="E99" s="331"/>
      <c r="P99" s="732">
        <f>P190</f>
        <v>0</v>
      </c>
      <c r="Q99" s="733"/>
      <c r="R99" s="733"/>
      <c r="S99" s="733"/>
      <c r="T99" s="329"/>
      <c r="U99" s="43"/>
      <c r="V99" s="293"/>
      <c r="W99" s="445"/>
    </row>
    <row r="100" spans="2:23" s="302" customFormat="1" ht="12.75">
      <c r="B100" s="327"/>
      <c r="D100" s="328" t="str">
        <f>D216</f>
        <v>D.1.1.38_SPECIFIKACE KLEMPÍŘSKÝCH PRVKŮ</v>
      </c>
      <c r="E100" s="331"/>
      <c r="P100" s="732">
        <f>P216</f>
        <v>0</v>
      </c>
      <c r="Q100" s="733"/>
      <c r="R100" s="733"/>
      <c r="S100" s="733"/>
      <c r="T100" s="329"/>
      <c r="U100" s="43"/>
      <c r="V100" s="293"/>
      <c r="W100" s="445"/>
    </row>
    <row r="101" spans="2:23" s="302" customFormat="1" ht="12.75">
      <c r="B101" s="327"/>
      <c r="D101" s="328" t="str">
        <f>D235</f>
        <v>D.1.1.39_SPECIFIKACE ZÁMEČNICKÝCH PRVKŮ</v>
      </c>
      <c r="E101" s="331"/>
      <c r="P101" s="732">
        <f>P235</f>
        <v>0</v>
      </c>
      <c r="Q101" s="733"/>
      <c r="R101" s="733"/>
      <c r="S101" s="733"/>
      <c r="T101" s="329"/>
      <c r="U101" s="43"/>
      <c r="V101" s="293"/>
      <c r="W101" s="445"/>
    </row>
    <row r="102" spans="2:23" s="302" customFormat="1" ht="12.75">
      <c r="B102" s="327"/>
      <c r="D102" s="328" t="str">
        <f>D262</f>
        <v>D.1.1.40_SPECIFIKACE TRUHLÁŘSKÝCH PRVKŮ</v>
      </c>
      <c r="E102" s="331"/>
      <c r="P102" s="732">
        <f>P262</f>
        <v>0</v>
      </c>
      <c r="Q102" s="733"/>
      <c r="R102" s="733"/>
      <c r="S102" s="733"/>
      <c r="T102" s="329"/>
      <c r="U102" s="43"/>
      <c r="V102" s="293"/>
      <c r="W102" s="445"/>
    </row>
    <row r="103" spans="2:23" s="302" customFormat="1" ht="12.75">
      <c r="B103" s="327"/>
      <c r="D103" s="328" t="str">
        <f>D267</f>
        <v>D.1.1.41_SPECIFIKACE OSTATNÍCH PRVKŮ</v>
      </c>
      <c r="E103" s="331"/>
      <c r="P103" s="732">
        <f>P267</f>
        <v>0</v>
      </c>
      <c r="Q103" s="733"/>
      <c r="R103" s="733"/>
      <c r="S103" s="733"/>
      <c r="T103" s="329"/>
      <c r="U103" s="43"/>
      <c r="V103" s="293"/>
      <c r="W103" s="445"/>
    </row>
    <row r="104" spans="2:23" ht="12.75">
      <c r="B104" s="237"/>
      <c r="T104" s="238"/>
      <c r="U104" s="218"/>
      <c r="V104" s="333"/>
    </row>
    <row r="105" spans="2:23" ht="15.75">
      <c r="B105" s="237"/>
      <c r="C105" s="296" t="s">
        <v>96</v>
      </c>
      <c r="D105" s="297"/>
      <c r="E105" s="446"/>
      <c r="F105" s="297"/>
      <c r="G105" s="297"/>
      <c r="H105" s="297"/>
      <c r="I105" s="297"/>
      <c r="J105" s="297"/>
      <c r="K105" s="297"/>
      <c r="L105" s="297"/>
      <c r="M105" s="297"/>
      <c r="N105" s="669">
        <f>ROUND(P89+P97,2)</f>
        <v>0</v>
      </c>
      <c r="O105" s="669"/>
      <c r="P105" s="669"/>
      <c r="Q105" s="669"/>
      <c r="R105" s="669"/>
      <c r="S105" s="669"/>
      <c r="T105" s="238"/>
      <c r="U105" s="217"/>
      <c r="V105" s="333"/>
    </row>
    <row r="106" spans="2:23">
      <c r="B106" s="274"/>
      <c r="C106" s="275"/>
      <c r="D106" s="275"/>
      <c r="E106" s="444"/>
      <c r="F106" s="275"/>
      <c r="G106" s="275"/>
      <c r="H106" s="275"/>
      <c r="I106" s="275"/>
      <c r="J106" s="275"/>
      <c r="K106" s="275"/>
      <c r="L106" s="275"/>
      <c r="M106" s="275"/>
      <c r="N106" s="275"/>
      <c r="O106" s="275"/>
      <c r="P106" s="275"/>
      <c r="Q106" s="275"/>
      <c r="R106" s="275"/>
      <c r="S106" s="275"/>
      <c r="T106" s="276"/>
      <c r="U106" s="217"/>
      <c r="V106" s="333"/>
    </row>
    <row r="107" spans="2:23">
      <c r="U107" s="217"/>
      <c r="V107" s="333"/>
    </row>
    <row r="110" spans="2:23">
      <c r="B110" s="233"/>
      <c r="C110" s="234"/>
      <c r="D110" s="234"/>
      <c r="E110" s="438"/>
      <c r="F110" s="234"/>
      <c r="G110" s="234"/>
      <c r="H110" s="234"/>
      <c r="I110" s="234"/>
      <c r="J110" s="234"/>
      <c r="K110" s="234"/>
      <c r="L110" s="234"/>
      <c r="M110" s="234"/>
      <c r="N110" s="234"/>
      <c r="O110" s="234"/>
      <c r="P110" s="234"/>
      <c r="Q110" s="234"/>
      <c r="R110" s="234"/>
      <c r="S110" s="234"/>
      <c r="T110" s="235"/>
    </row>
    <row r="111" spans="2:23" ht="20.25">
      <c r="B111" s="237"/>
      <c r="C111" s="697" t="s">
        <v>55</v>
      </c>
      <c r="D111" s="671"/>
      <c r="E111" s="671"/>
      <c r="F111" s="671"/>
      <c r="G111" s="671"/>
      <c r="H111" s="671"/>
      <c r="I111" s="671"/>
      <c r="J111" s="671"/>
      <c r="K111" s="671"/>
      <c r="L111" s="671"/>
      <c r="M111" s="671"/>
      <c r="N111" s="671"/>
      <c r="O111" s="671"/>
      <c r="P111" s="671"/>
      <c r="Q111" s="671"/>
      <c r="R111" s="671"/>
      <c r="S111" s="671"/>
      <c r="T111" s="238"/>
    </row>
    <row r="112" spans="2:23">
      <c r="B112" s="237"/>
      <c r="T112" s="238"/>
    </row>
    <row r="113" spans="2:21" ht="12">
      <c r="B113" s="237"/>
      <c r="C113" s="239" t="s">
        <v>3</v>
      </c>
      <c r="F113" s="721" t="str">
        <f>F4</f>
        <v>Stavební úpravy, vestavba a přístavba stávajícího objektu</v>
      </c>
      <c r="G113" s="722"/>
      <c r="H113" s="722"/>
      <c r="I113" s="722"/>
      <c r="J113" s="722"/>
      <c r="K113" s="722"/>
      <c r="L113" s="722"/>
      <c r="M113" s="722"/>
      <c r="N113" s="722"/>
      <c r="O113" s="722"/>
      <c r="P113" s="722"/>
      <c r="Q113" s="722"/>
      <c r="R113" s="722"/>
      <c r="T113" s="238"/>
    </row>
    <row r="114" spans="2:21" ht="15.75">
      <c r="B114" s="237"/>
      <c r="C114" s="241" t="s">
        <v>39</v>
      </c>
      <c r="F114" s="691" t="str">
        <f>F5</f>
        <v>Výrobky a specifikace</v>
      </c>
      <c r="G114" s="671"/>
      <c r="H114" s="671"/>
      <c r="I114" s="671"/>
      <c r="J114" s="671"/>
      <c r="K114" s="671"/>
      <c r="L114" s="671"/>
      <c r="M114" s="671"/>
      <c r="N114" s="671"/>
      <c r="O114" s="671"/>
      <c r="P114" s="671"/>
      <c r="Q114" s="671"/>
      <c r="R114" s="671"/>
      <c r="T114" s="238"/>
    </row>
    <row r="115" spans="2:21">
      <c r="B115" s="237"/>
      <c r="T115" s="238"/>
    </row>
    <row r="116" spans="2:21" ht="12">
      <c r="B116" s="237"/>
      <c r="C116" s="239" t="s">
        <v>6</v>
      </c>
      <c r="F116" s="240" t="str">
        <f>F7</f>
        <v>Mírové náměstí 23/12, Bílina - p.č. 124, 125/1, 125/2, 125/3, k.ú. Bílina (604208)</v>
      </c>
      <c r="K116" s="239"/>
      <c r="L116" s="239"/>
      <c r="M116" s="239" t="s">
        <v>7</v>
      </c>
      <c r="O116" s="712">
        <f>IF(Q7="","",Q7)</f>
        <v>0</v>
      </c>
      <c r="P116" s="712"/>
      <c r="Q116" s="712"/>
      <c r="R116" s="712"/>
      <c r="T116" s="238"/>
    </row>
    <row r="117" spans="2:21">
      <c r="B117" s="237"/>
      <c r="T117" s="238"/>
    </row>
    <row r="118" spans="2:21" ht="12">
      <c r="B118" s="237"/>
      <c r="C118" s="239" t="s">
        <v>8</v>
      </c>
      <c r="F118" s="240" t="str">
        <f>F82</f>
        <v>město Bílina</v>
      </c>
      <c r="K118" s="239"/>
      <c r="L118" s="239"/>
      <c r="M118" s="239" t="s">
        <v>13</v>
      </c>
      <c r="O118" s="692" t="str">
        <f>E16</f>
        <v>Ing. arch. Bořek Peška</v>
      </c>
      <c r="P118" s="692"/>
      <c r="Q118" s="692"/>
      <c r="R118" s="692"/>
      <c r="S118" s="692"/>
      <c r="T118" s="238"/>
    </row>
    <row r="119" spans="2:21" ht="12">
      <c r="B119" s="237"/>
      <c r="C119" s="239" t="s">
        <v>11</v>
      </c>
      <c r="F119" s="240">
        <f>F83</f>
        <v>0</v>
      </c>
      <c r="K119" s="239"/>
      <c r="L119" s="239"/>
      <c r="M119" s="239" t="s">
        <v>14</v>
      </c>
      <c r="O119" s="692" t="str">
        <f>E19</f>
        <v>Jakub Kulhavý</v>
      </c>
      <c r="P119" s="692"/>
      <c r="Q119" s="692"/>
      <c r="R119" s="692"/>
      <c r="S119" s="692"/>
      <c r="T119" s="238"/>
    </row>
    <row r="120" spans="2:21">
      <c r="B120" s="237"/>
      <c r="T120" s="238"/>
    </row>
    <row r="121" spans="2:21" ht="28.5" customHeight="1">
      <c r="B121" s="237"/>
      <c r="C121" s="239" t="s">
        <v>106</v>
      </c>
      <c r="E121" s="236"/>
      <c r="F121" s="690" t="s">
        <v>2047</v>
      </c>
      <c r="G121" s="690"/>
      <c r="H121" s="690"/>
      <c r="I121" s="690"/>
      <c r="J121" s="690"/>
      <c r="K121" s="690"/>
      <c r="L121" s="690"/>
      <c r="M121" s="690"/>
      <c r="N121" s="690"/>
      <c r="O121" s="690"/>
      <c r="P121" s="690"/>
      <c r="Q121" s="690"/>
      <c r="R121" s="690"/>
      <c r="T121" s="238"/>
    </row>
    <row r="122" spans="2:21">
      <c r="B122" s="237"/>
      <c r="E122" s="236"/>
      <c r="T122" s="238"/>
    </row>
    <row r="123" spans="2:21" s="338" customFormat="1" ht="24">
      <c r="B123" s="334"/>
      <c r="C123" s="335" t="s">
        <v>56</v>
      </c>
      <c r="D123" s="336" t="s">
        <v>57</v>
      </c>
      <c r="E123" s="336" t="s">
        <v>34</v>
      </c>
      <c r="F123" s="723" t="s">
        <v>58</v>
      </c>
      <c r="G123" s="723"/>
      <c r="H123" s="723"/>
      <c r="I123" s="723"/>
      <c r="J123" s="336" t="s">
        <v>59</v>
      </c>
      <c r="K123" s="336" t="s">
        <v>2064</v>
      </c>
      <c r="L123" s="336" t="s">
        <v>2065</v>
      </c>
      <c r="M123" s="336" t="s">
        <v>2066</v>
      </c>
      <c r="N123" s="724" t="s">
        <v>61</v>
      </c>
      <c r="O123" s="724"/>
      <c r="P123" s="723" t="s">
        <v>42</v>
      </c>
      <c r="Q123" s="723"/>
      <c r="R123" s="723"/>
      <c r="S123" s="725"/>
      <c r="T123" s="337"/>
      <c r="U123" s="44"/>
    </row>
    <row r="124" spans="2:21" ht="15.75">
      <c r="B124" s="237"/>
      <c r="C124" s="285" t="s">
        <v>2486</v>
      </c>
      <c r="P124" s="746">
        <f>P125+P135+P142+P146+P150+P152</f>
        <v>0</v>
      </c>
      <c r="Q124" s="747"/>
      <c r="R124" s="747"/>
      <c r="S124" s="747"/>
      <c r="T124" s="238"/>
      <c r="U124" s="42">
        <f>SUM(P124:S156)/3</f>
        <v>0</v>
      </c>
    </row>
    <row r="125" spans="2:21" s="341" customFormat="1" ht="12.75">
      <c r="B125" s="340"/>
      <c r="C125" s="447"/>
      <c r="D125" s="344" t="s">
        <v>2044</v>
      </c>
      <c r="E125" s="448"/>
      <c r="F125" s="344"/>
      <c r="G125" s="344"/>
      <c r="H125" s="344"/>
      <c r="I125" s="344"/>
      <c r="J125" s="344"/>
      <c r="K125" s="449"/>
      <c r="L125" s="449"/>
      <c r="M125" s="449"/>
      <c r="N125" s="72"/>
      <c r="O125" s="72"/>
      <c r="P125" s="734">
        <f>SUM(P126:S134)</f>
        <v>0</v>
      </c>
      <c r="Q125" s="734"/>
      <c r="R125" s="734"/>
      <c r="S125" s="734"/>
      <c r="T125" s="342"/>
      <c r="U125" s="45"/>
    </row>
    <row r="126" spans="2:21" outlineLevel="1">
      <c r="B126" s="237"/>
      <c r="C126" s="450"/>
      <c r="D126" s="450"/>
      <c r="E126" s="787" t="s">
        <v>2045</v>
      </c>
      <c r="F126" s="788"/>
      <c r="G126" s="788"/>
      <c r="H126" s="788"/>
      <c r="I126" s="789"/>
      <c r="J126" s="451"/>
      <c r="K126" s="452"/>
      <c r="L126" s="452"/>
      <c r="M126" s="452"/>
      <c r="N126" s="790"/>
      <c r="O126" s="790"/>
      <c r="P126" s="791"/>
      <c r="Q126" s="791"/>
      <c r="R126" s="791"/>
      <c r="S126" s="791"/>
      <c r="T126" s="238"/>
      <c r="U126" s="45"/>
    </row>
    <row r="127" spans="2:21" ht="30.75" customHeight="1" outlineLevel="1">
      <c r="B127" s="237"/>
      <c r="C127" s="345"/>
      <c r="D127" s="345"/>
      <c r="E127" s="346" t="s">
        <v>480</v>
      </c>
      <c r="F127" s="719" t="s">
        <v>2046</v>
      </c>
      <c r="G127" s="719"/>
      <c r="H127" s="719"/>
      <c r="I127" s="719"/>
      <c r="J127" s="453" t="s">
        <v>63</v>
      </c>
      <c r="K127" s="347">
        <f>1.8*2.95</f>
        <v>5.3100000000000005</v>
      </c>
      <c r="L127" s="347">
        <v>1</v>
      </c>
      <c r="M127" s="347">
        <f>K127*L127</f>
        <v>5.3100000000000005</v>
      </c>
      <c r="N127" s="726"/>
      <c r="O127" s="726"/>
      <c r="P127" s="720">
        <f>ROUND(N127*M127,2)</f>
        <v>0</v>
      </c>
      <c r="Q127" s="720"/>
      <c r="R127" s="720"/>
      <c r="S127" s="720"/>
      <c r="T127" s="238"/>
      <c r="U127" s="45"/>
    </row>
    <row r="128" spans="2:21" ht="30.75" customHeight="1" outlineLevel="1">
      <c r="B128" s="237"/>
      <c r="C128" s="345"/>
      <c r="D128" s="345"/>
      <c r="E128" s="346" t="s">
        <v>483</v>
      </c>
      <c r="F128" s="719" t="s">
        <v>2060</v>
      </c>
      <c r="G128" s="719"/>
      <c r="H128" s="719"/>
      <c r="I128" s="719"/>
      <c r="J128" s="453" t="s">
        <v>63</v>
      </c>
      <c r="K128" s="347">
        <f>2*2.4</f>
        <v>4.8</v>
      </c>
      <c r="L128" s="347">
        <v>1</v>
      </c>
      <c r="M128" s="347">
        <f>K128*L128</f>
        <v>4.8</v>
      </c>
      <c r="N128" s="726"/>
      <c r="O128" s="726"/>
      <c r="P128" s="720">
        <f>ROUND(N128*M128,2)</f>
        <v>0</v>
      </c>
      <c r="Q128" s="720"/>
      <c r="R128" s="720"/>
      <c r="S128" s="720"/>
      <c r="T128" s="238"/>
      <c r="U128" s="45"/>
    </row>
    <row r="129" spans="2:21" outlineLevel="1">
      <c r="B129" s="237"/>
      <c r="C129" s="450"/>
      <c r="D129" s="450"/>
      <c r="E129" s="787" t="s">
        <v>2067</v>
      </c>
      <c r="F129" s="788"/>
      <c r="G129" s="788"/>
      <c r="H129" s="788"/>
      <c r="I129" s="789"/>
      <c r="J129" s="451"/>
      <c r="K129" s="452"/>
      <c r="L129" s="452"/>
      <c r="M129" s="452"/>
      <c r="N129" s="790"/>
      <c r="O129" s="790"/>
      <c r="P129" s="791"/>
      <c r="Q129" s="791"/>
      <c r="R129" s="791"/>
      <c r="S129" s="791"/>
      <c r="T129" s="238"/>
      <c r="U129" s="45"/>
    </row>
    <row r="130" spans="2:21" outlineLevel="1">
      <c r="B130" s="237"/>
      <c r="C130" s="345"/>
      <c r="D130" s="345"/>
      <c r="E130" s="346" t="s">
        <v>2048</v>
      </c>
      <c r="F130" s="719" t="s">
        <v>2074</v>
      </c>
      <c r="G130" s="719"/>
      <c r="H130" s="719"/>
      <c r="I130" s="719"/>
      <c r="J130" s="453" t="s">
        <v>63</v>
      </c>
      <c r="K130" s="347">
        <f>2.96*2.45</f>
        <v>7.2520000000000007</v>
      </c>
      <c r="L130" s="347">
        <v>2</v>
      </c>
      <c r="M130" s="347">
        <f>K130*L130</f>
        <v>14.504000000000001</v>
      </c>
      <c r="N130" s="726"/>
      <c r="O130" s="726"/>
      <c r="P130" s="720">
        <f>ROUND(N130*M130,2)</f>
        <v>0</v>
      </c>
      <c r="Q130" s="720"/>
      <c r="R130" s="720"/>
      <c r="S130" s="720"/>
      <c r="T130" s="238"/>
      <c r="U130" s="45"/>
    </row>
    <row r="131" spans="2:21" outlineLevel="1">
      <c r="B131" s="237"/>
      <c r="C131" s="450"/>
      <c r="D131" s="450"/>
      <c r="E131" s="787" t="s">
        <v>2083</v>
      </c>
      <c r="F131" s="788"/>
      <c r="G131" s="788"/>
      <c r="H131" s="788"/>
      <c r="I131" s="789"/>
      <c r="J131" s="451"/>
      <c r="K131" s="452"/>
      <c r="L131" s="452"/>
      <c r="M131" s="452"/>
      <c r="N131" s="790"/>
      <c r="O131" s="790"/>
      <c r="P131" s="791"/>
      <c r="Q131" s="791"/>
      <c r="R131" s="791"/>
      <c r="S131" s="791"/>
      <c r="T131" s="238"/>
      <c r="U131" s="45"/>
    </row>
    <row r="132" spans="2:21" ht="30.75" customHeight="1" outlineLevel="1">
      <c r="B132" s="237"/>
      <c r="C132" s="345"/>
      <c r="D132" s="345"/>
      <c r="E132" s="346" t="s">
        <v>2069</v>
      </c>
      <c r="F132" s="719" t="s">
        <v>2085</v>
      </c>
      <c r="G132" s="719"/>
      <c r="H132" s="719"/>
      <c r="I132" s="719"/>
      <c r="J132" s="453" t="s">
        <v>63</v>
      </c>
      <c r="K132" s="347">
        <f>1.02*1.68+1.18*1.86</f>
        <v>3.9083999999999999</v>
      </c>
      <c r="L132" s="347">
        <v>5</v>
      </c>
      <c r="M132" s="347">
        <f>K132*L132</f>
        <v>19.541999999999998</v>
      </c>
      <c r="N132" s="726"/>
      <c r="O132" s="726"/>
      <c r="P132" s="720">
        <f>ROUND(N132*M132,2)</f>
        <v>0</v>
      </c>
      <c r="Q132" s="720"/>
      <c r="R132" s="720"/>
      <c r="S132" s="720"/>
      <c r="T132" s="238"/>
      <c r="U132" s="45"/>
    </row>
    <row r="133" spans="2:21" ht="30.75" customHeight="1" outlineLevel="1">
      <c r="B133" s="237"/>
      <c r="C133" s="345"/>
      <c r="D133" s="345"/>
      <c r="E133" s="346" t="s">
        <v>2070</v>
      </c>
      <c r="F133" s="719" t="s">
        <v>2086</v>
      </c>
      <c r="G133" s="719"/>
      <c r="H133" s="719"/>
      <c r="I133" s="719"/>
      <c r="J133" s="453" t="s">
        <v>63</v>
      </c>
      <c r="K133" s="347">
        <f>0.52*1.68+0.68*1.86</f>
        <v>2.1384000000000003</v>
      </c>
      <c r="L133" s="347">
        <v>2</v>
      </c>
      <c r="M133" s="347">
        <f>K133*L133</f>
        <v>4.2768000000000006</v>
      </c>
      <c r="N133" s="726"/>
      <c r="O133" s="726"/>
      <c r="P133" s="720">
        <f>ROUND(N133*M133,2)</f>
        <v>0</v>
      </c>
      <c r="Q133" s="720"/>
      <c r="R133" s="720"/>
      <c r="S133" s="720"/>
      <c r="T133" s="238"/>
      <c r="U133" s="45"/>
    </row>
    <row r="134" spans="2:21" ht="30.75" customHeight="1" outlineLevel="1">
      <c r="B134" s="237"/>
      <c r="C134" s="345"/>
      <c r="D134" s="345"/>
      <c r="E134" s="346" t="s">
        <v>2071</v>
      </c>
      <c r="F134" s="719" t="s">
        <v>2091</v>
      </c>
      <c r="G134" s="719"/>
      <c r="H134" s="719"/>
      <c r="I134" s="719"/>
      <c r="J134" s="453" t="s">
        <v>63</v>
      </c>
      <c r="K134" s="347">
        <f>1.125*1.745*2</f>
        <v>3.9262500000000005</v>
      </c>
      <c r="L134" s="347">
        <v>1</v>
      </c>
      <c r="M134" s="347">
        <f>K134*L134</f>
        <v>3.9262500000000005</v>
      </c>
      <c r="N134" s="726"/>
      <c r="O134" s="726"/>
      <c r="P134" s="720">
        <f>ROUND(N134*M134,2)</f>
        <v>0</v>
      </c>
      <c r="Q134" s="720"/>
      <c r="R134" s="720"/>
      <c r="S134" s="720"/>
      <c r="T134" s="238"/>
      <c r="U134" s="45"/>
    </row>
    <row r="135" spans="2:21" s="341" customFormat="1" ht="12.75">
      <c r="B135" s="340"/>
      <c r="C135" s="447"/>
      <c r="D135" s="344" t="s">
        <v>2099</v>
      </c>
      <c r="E135" s="448"/>
      <c r="F135" s="344"/>
      <c r="G135" s="344"/>
      <c r="H135" s="344"/>
      <c r="I135" s="344"/>
      <c r="J135" s="344"/>
      <c r="K135" s="454" t="s">
        <v>2102</v>
      </c>
      <c r="L135" s="454" t="s">
        <v>2101</v>
      </c>
      <c r="M135" s="454" t="s">
        <v>2103</v>
      </c>
      <c r="N135" s="72"/>
      <c r="O135" s="72"/>
      <c r="P135" s="734">
        <f>SUM(P137:S141)</f>
        <v>0</v>
      </c>
      <c r="Q135" s="734"/>
      <c r="R135" s="734"/>
      <c r="S135" s="734"/>
      <c r="T135" s="342"/>
      <c r="U135" s="45"/>
    </row>
    <row r="136" spans="2:21" outlineLevel="1">
      <c r="B136" s="237"/>
      <c r="C136" s="450"/>
      <c r="D136" s="450"/>
      <c r="E136" s="787" t="s">
        <v>2125</v>
      </c>
      <c r="F136" s="788"/>
      <c r="G136" s="788"/>
      <c r="H136" s="788"/>
      <c r="I136" s="789"/>
      <c r="J136" s="451"/>
      <c r="K136" s="452"/>
      <c r="L136" s="452"/>
      <c r="M136" s="452"/>
      <c r="N136" s="790"/>
      <c r="O136" s="790"/>
      <c r="P136" s="791"/>
      <c r="Q136" s="791"/>
      <c r="R136" s="791"/>
      <c r="S136" s="791"/>
      <c r="T136" s="238"/>
      <c r="U136" s="45"/>
    </row>
    <row r="137" spans="2:21" ht="30.75" customHeight="1" outlineLevel="1">
      <c r="B137" s="237"/>
      <c r="C137" s="345"/>
      <c r="D137" s="345"/>
      <c r="E137" s="346" t="s">
        <v>486</v>
      </c>
      <c r="F137" s="719" t="s">
        <v>2100</v>
      </c>
      <c r="G137" s="719"/>
      <c r="H137" s="719"/>
      <c r="I137" s="719"/>
      <c r="J137" s="453" t="s">
        <v>67</v>
      </c>
      <c r="K137" s="347"/>
      <c r="L137" s="347">
        <v>1</v>
      </c>
      <c r="M137" s="347">
        <f>SUM(K137:L137)</f>
        <v>1</v>
      </c>
      <c r="N137" s="726"/>
      <c r="O137" s="726"/>
      <c r="P137" s="720">
        <f>ROUND(N137*M137,2)</f>
        <v>0</v>
      </c>
      <c r="Q137" s="720"/>
      <c r="R137" s="720"/>
      <c r="S137" s="720"/>
      <c r="T137" s="238"/>
      <c r="U137" s="45"/>
    </row>
    <row r="138" spans="2:21" ht="30.75" customHeight="1" outlineLevel="1">
      <c r="B138" s="237"/>
      <c r="C138" s="345"/>
      <c r="D138" s="345"/>
      <c r="E138" s="346" t="s">
        <v>2109</v>
      </c>
      <c r="F138" s="719" t="s">
        <v>2122</v>
      </c>
      <c r="G138" s="719"/>
      <c r="H138" s="719"/>
      <c r="I138" s="719"/>
      <c r="J138" s="453" t="s">
        <v>67</v>
      </c>
      <c r="K138" s="347"/>
      <c r="L138" s="347">
        <v>1</v>
      </c>
      <c r="M138" s="347">
        <f>SUM(K138:L138)</f>
        <v>1</v>
      </c>
      <c r="N138" s="726"/>
      <c r="O138" s="726"/>
      <c r="P138" s="720">
        <f>ROUND(N138*M138,2)</f>
        <v>0</v>
      </c>
      <c r="Q138" s="720"/>
      <c r="R138" s="720"/>
      <c r="S138" s="720"/>
      <c r="T138" s="238"/>
      <c r="U138" s="45"/>
    </row>
    <row r="139" spans="2:21" ht="30.75" customHeight="1" outlineLevel="1">
      <c r="B139" s="237"/>
      <c r="C139" s="345"/>
      <c r="D139" s="345"/>
      <c r="E139" s="346" t="s">
        <v>2110</v>
      </c>
      <c r="F139" s="719" t="s">
        <v>2123</v>
      </c>
      <c r="G139" s="719"/>
      <c r="H139" s="719"/>
      <c r="I139" s="719"/>
      <c r="J139" s="453" t="s">
        <v>67</v>
      </c>
      <c r="K139" s="347">
        <v>1</v>
      </c>
      <c r="L139" s="347"/>
      <c r="M139" s="347">
        <f>SUM(K139:L139)</f>
        <v>1</v>
      </c>
      <c r="N139" s="726"/>
      <c r="O139" s="726"/>
      <c r="P139" s="720">
        <f>ROUND(N139*M139,2)</f>
        <v>0</v>
      </c>
      <c r="Q139" s="720"/>
      <c r="R139" s="720"/>
      <c r="S139" s="720"/>
      <c r="T139" s="238"/>
      <c r="U139" s="45"/>
    </row>
    <row r="140" spans="2:21" outlineLevel="1">
      <c r="B140" s="237"/>
      <c r="C140" s="450"/>
      <c r="D140" s="450"/>
      <c r="E140" s="787" t="s">
        <v>2126</v>
      </c>
      <c r="F140" s="788"/>
      <c r="G140" s="788"/>
      <c r="H140" s="788"/>
      <c r="I140" s="789"/>
      <c r="J140" s="451"/>
      <c r="K140" s="452"/>
      <c r="L140" s="452"/>
      <c r="M140" s="452"/>
      <c r="N140" s="790"/>
      <c r="O140" s="790"/>
      <c r="P140" s="791"/>
      <c r="Q140" s="791"/>
      <c r="R140" s="791"/>
      <c r="S140" s="791"/>
      <c r="T140" s="238"/>
      <c r="U140" s="45"/>
    </row>
    <row r="141" spans="2:21" ht="30.75" customHeight="1" outlineLevel="1">
      <c r="B141" s="237"/>
      <c r="C141" s="345"/>
      <c r="D141" s="345"/>
      <c r="E141" s="346" t="s">
        <v>2112</v>
      </c>
      <c r="F141" s="719" t="s">
        <v>2127</v>
      </c>
      <c r="G141" s="719"/>
      <c r="H141" s="719"/>
      <c r="I141" s="719"/>
      <c r="J141" s="453" t="s">
        <v>67</v>
      </c>
      <c r="K141" s="347"/>
      <c r="L141" s="347">
        <v>1</v>
      </c>
      <c r="M141" s="347">
        <f>SUM(K141:L141)</f>
        <v>1</v>
      </c>
      <c r="N141" s="726"/>
      <c r="O141" s="726"/>
      <c r="P141" s="720">
        <f>ROUND(N141*M141,2)</f>
        <v>0</v>
      </c>
      <c r="Q141" s="720"/>
      <c r="R141" s="720"/>
      <c r="S141" s="720"/>
      <c r="T141" s="238"/>
      <c r="U141" s="45"/>
    </row>
    <row r="142" spans="2:21" s="341" customFormat="1" ht="12.75">
      <c r="B142" s="340"/>
      <c r="C142" s="447"/>
      <c r="D142" s="344" t="s">
        <v>2142</v>
      </c>
      <c r="E142" s="448"/>
      <c r="F142" s="344"/>
      <c r="G142" s="344"/>
      <c r="H142" s="344"/>
      <c r="I142" s="344"/>
      <c r="J142" s="344"/>
      <c r="K142" s="344"/>
      <c r="L142" s="344"/>
      <c r="M142" s="344"/>
      <c r="N142" s="72"/>
      <c r="O142" s="72"/>
      <c r="P142" s="734">
        <f>SUM(P143:S145)</f>
        <v>0</v>
      </c>
      <c r="Q142" s="734"/>
      <c r="R142" s="734"/>
      <c r="S142" s="734"/>
      <c r="T142" s="342"/>
      <c r="U142" s="45"/>
    </row>
    <row r="143" spans="2:21" outlineLevel="1">
      <c r="B143" s="237"/>
      <c r="C143" s="345"/>
      <c r="D143" s="345"/>
      <c r="E143" s="346" t="s">
        <v>2153</v>
      </c>
      <c r="F143" s="719" t="s">
        <v>2154</v>
      </c>
      <c r="G143" s="719"/>
      <c r="H143" s="719"/>
      <c r="I143" s="719"/>
      <c r="J143" s="453" t="s">
        <v>68</v>
      </c>
      <c r="K143" s="347"/>
      <c r="L143" s="347"/>
      <c r="M143" s="347">
        <v>2.1</v>
      </c>
      <c r="N143" s="726"/>
      <c r="O143" s="726"/>
      <c r="P143" s="720">
        <f>ROUND(N143*M143,2)</f>
        <v>0</v>
      </c>
      <c r="Q143" s="720"/>
      <c r="R143" s="720"/>
      <c r="S143" s="720"/>
      <c r="T143" s="238"/>
      <c r="U143" s="45"/>
    </row>
    <row r="144" spans="2:21" outlineLevel="1">
      <c r="B144" s="237"/>
      <c r="C144" s="345"/>
      <c r="D144" s="345"/>
      <c r="E144" s="346" t="s">
        <v>2156</v>
      </c>
      <c r="F144" s="719" t="s">
        <v>2158</v>
      </c>
      <c r="G144" s="719"/>
      <c r="H144" s="719"/>
      <c r="I144" s="719"/>
      <c r="J144" s="453" t="s">
        <v>68</v>
      </c>
      <c r="K144" s="347"/>
      <c r="L144" s="347"/>
      <c r="M144" s="347">
        <v>5</v>
      </c>
      <c r="N144" s="726"/>
      <c r="O144" s="726"/>
      <c r="P144" s="720">
        <f>ROUND(N144*M144,2)</f>
        <v>0</v>
      </c>
      <c r="Q144" s="720"/>
      <c r="R144" s="720"/>
      <c r="S144" s="720"/>
      <c r="T144" s="238"/>
      <c r="U144" s="45"/>
    </row>
    <row r="145" spans="2:22" outlineLevel="1">
      <c r="B145" s="237"/>
      <c r="C145" s="345"/>
      <c r="D145" s="345"/>
      <c r="E145" s="346" t="s">
        <v>2159</v>
      </c>
      <c r="F145" s="719" t="s">
        <v>2161</v>
      </c>
      <c r="G145" s="719"/>
      <c r="H145" s="719"/>
      <c r="I145" s="719"/>
      <c r="J145" s="453" t="s">
        <v>68</v>
      </c>
      <c r="K145" s="347"/>
      <c r="L145" s="347"/>
      <c r="M145" s="347">
        <v>4</v>
      </c>
      <c r="N145" s="726"/>
      <c r="O145" s="726"/>
      <c r="P145" s="720">
        <f>ROUND(N145*M145,2)</f>
        <v>0</v>
      </c>
      <c r="Q145" s="720"/>
      <c r="R145" s="720"/>
      <c r="S145" s="720"/>
      <c r="T145" s="238"/>
      <c r="U145" s="45"/>
    </row>
    <row r="146" spans="2:22" s="341" customFormat="1" ht="12.75">
      <c r="B146" s="340"/>
      <c r="C146" s="447"/>
      <c r="D146" s="344" t="s">
        <v>2175</v>
      </c>
      <c r="E146" s="448"/>
      <c r="F146" s="344"/>
      <c r="G146" s="344"/>
      <c r="H146" s="344"/>
      <c r="I146" s="344"/>
      <c r="J146" s="344"/>
      <c r="K146" s="344"/>
      <c r="L146" s="344"/>
      <c r="M146" s="344"/>
      <c r="N146" s="72"/>
      <c r="O146" s="72"/>
      <c r="P146" s="734">
        <f>SUM(P147:S149)</f>
        <v>0</v>
      </c>
      <c r="Q146" s="734"/>
      <c r="R146" s="734"/>
      <c r="S146" s="734"/>
      <c r="T146" s="342"/>
      <c r="U146" s="45"/>
    </row>
    <row r="147" spans="2:22" outlineLevel="1">
      <c r="B147" s="237"/>
      <c r="C147" s="345"/>
      <c r="D147" s="345"/>
      <c r="E147" s="346" t="s">
        <v>2178</v>
      </c>
      <c r="F147" s="760" t="s">
        <v>2188</v>
      </c>
      <c r="G147" s="761"/>
      <c r="H147" s="761"/>
      <c r="I147" s="762"/>
      <c r="J147" s="453" t="s">
        <v>67</v>
      </c>
      <c r="K147" s="347"/>
      <c r="L147" s="347"/>
      <c r="M147" s="347">
        <v>1</v>
      </c>
      <c r="N147" s="726"/>
      <c r="O147" s="726"/>
      <c r="P147" s="720">
        <f>ROUND(N147*M147,2)</f>
        <v>0</v>
      </c>
      <c r="Q147" s="720"/>
      <c r="R147" s="720"/>
      <c r="S147" s="720"/>
      <c r="T147" s="238"/>
      <c r="U147" s="45"/>
    </row>
    <row r="148" spans="2:22" outlineLevel="1">
      <c r="B148" s="237"/>
      <c r="C148" s="345"/>
      <c r="D148" s="345"/>
      <c r="E148" s="346" t="s">
        <v>2179</v>
      </c>
      <c r="F148" s="760" t="s">
        <v>2189</v>
      </c>
      <c r="G148" s="761"/>
      <c r="H148" s="761"/>
      <c r="I148" s="762"/>
      <c r="J148" s="453" t="s">
        <v>67</v>
      </c>
      <c r="K148" s="347"/>
      <c r="L148" s="347"/>
      <c r="M148" s="347">
        <v>1</v>
      </c>
      <c r="N148" s="726"/>
      <c r="O148" s="726"/>
      <c r="P148" s="720">
        <f>ROUND(N148*M148,2)</f>
        <v>0</v>
      </c>
      <c r="Q148" s="720"/>
      <c r="R148" s="720"/>
      <c r="S148" s="720"/>
      <c r="T148" s="238"/>
      <c r="U148" s="45"/>
    </row>
    <row r="149" spans="2:22" outlineLevel="1">
      <c r="B149" s="237"/>
      <c r="C149" s="345"/>
      <c r="D149" s="345"/>
      <c r="E149" s="346" t="s">
        <v>2195</v>
      </c>
      <c r="F149" s="760" t="s">
        <v>2196</v>
      </c>
      <c r="G149" s="761"/>
      <c r="H149" s="761"/>
      <c r="I149" s="762"/>
      <c r="J149" s="453" t="s">
        <v>67</v>
      </c>
      <c r="K149" s="347"/>
      <c r="L149" s="347"/>
      <c r="M149" s="347">
        <v>1</v>
      </c>
      <c r="N149" s="726"/>
      <c r="O149" s="726"/>
      <c r="P149" s="720">
        <f>ROUND(N149*M149,2)</f>
        <v>0</v>
      </c>
      <c r="Q149" s="720"/>
      <c r="R149" s="720"/>
      <c r="S149" s="720"/>
      <c r="T149" s="238"/>
      <c r="U149" s="45"/>
    </row>
    <row r="150" spans="2:22" s="341" customFormat="1" ht="12.75">
      <c r="B150" s="340"/>
      <c r="C150" s="447"/>
      <c r="D150" s="344" t="s">
        <v>2209</v>
      </c>
      <c r="E150" s="448"/>
      <c r="F150" s="344"/>
      <c r="G150" s="344"/>
      <c r="H150" s="344"/>
      <c r="I150" s="344"/>
      <c r="J150" s="344"/>
      <c r="K150" s="344"/>
      <c r="L150" s="344"/>
      <c r="M150" s="344"/>
      <c r="N150" s="72"/>
      <c r="O150" s="72"/>
      <c r="P150" s="734">
        <f>SUM(P151:S151)</f>
        <v>0</v>
      </c>
      <c r="Q150" s="734"/>
      <c r="R150" s="734"/>
      <c r="S150" s="734"/>
      <c r="T150" s="342"/>
      <c r="U150" s="45"/>
    </row>
    <row r="151" spans="2:22" ht="11.25" customHeight="1" outlineLevel="1">
      <c r="B151" s="237"/>
      <c r="C151" s="345"/>
      <c r="D151" s="345"/>
      <c r="E151" s="346" t="s">
        <v>2210</v>
      </c>
      <c r="F151" s="760" t="s">
        <v>2214</v>
      </c>
      <c r="G151" s="761"/>
      <c r="H151" s="761"/>
      <c r="I151" s="762"/>
      <c r="J151" s="453" t="s">
        <v>67</v>
      </c>
      <c r="K151" s="347"/>
      <c r="L151" s="347"/>
      <c r="M151" s="347">
        <v>1</v>
      </c>
      <c r="N151" s="726"/>
      <c r="O151" s="726"/>
      <c r="P151" s="720">
        <f>ROUND(N151*M151,2)</f>
        <v>0</v>
      </c>
      <c r="Q151" s="720"/>
      <c r="R151" s="720"/>
      <c r="S151" s="720"/>
      <c r="T151" s="238"/>
      <c r="U151" s="45"/>
    </row>
    <row r="152" spans="2:22" s="341" customFormat="1" ht="12.75">
      <c r="B152" s="340"/>
      <c r="C152" s="447"/>
      <c r="D152" s="344" t="s">
        <v>2218</v>
      </c>
      <c r="E152" s="448"/>
      <c r="F152" s="344"/>
      <c r="G152" s="344"/>
      <c r="H152" s="344"/>
      <c r="I152" s="344"/>
      <c r="J152" s="344"/>
      <c r="K152" s="344"/>
      <c r="L152" s="344"/>
      <c r="M152" s="344"/>
      <c r="N152" s="72"/>
      <c r="O152" s="72"/>
      <c r="P152" s="734">
        <f>SUM(P153:S155)</f>
        <v>0</v>
      </c>
      <c r="Q152" s="734"/>
      <c r="R152" s="734"/>
      <c r="S152" s="734"/>
      <c r="T152" s="342"/>
      <c r="U152" s="45"/>
    </row>
    <row r="153" spans="2:22" outlineLevel="1">
      <c r="B153" s="237"/>
      <c r="C153" s="345"/>
      <c r="D153" s="345"/>
      <c r="E153" s="346" t="s">
        <v>1944</v>
      </c>
      <c r="F153" s="760" t="s">
        <v>2231</v>
      </c>
      <c r="G153" s="761"/>
      <c r="H153" s="761"/>
      <c r="I153" s="762"/>
      <c r="J153" s="453" t="s">
        <v>67</v>
      </c>
      <c r="K153" s="347"/>
      <c r="L153" s="347"/>
      <c r="M153" s="347">
        <v>1</v>
      </c>
      <c r="N153" s="726"/>
      <c r="O153" s="726"/>
      <c r="P153" s="720">
        <f>ROUND(N153*M153,2)</f>
        <v>0</v>
      </c>
      <c r="Q153" s="720"/>
      <c r="R153" s="720"/>
      <c r="S153" s="720"/>
      <c r="T153" s="238"/>
      <c r="U153" s="45"/>
      <c r="V153" s="445"/>
    </row>
    <row r="154" spans="2:22" outlineLevel="1">
      <c r="B154" s="237"/>
      <c r="C154" s="345"/>
      <c r="D154" s="345"/>
      <c r="E154" s="346" t="s">
        <v>2240</v>
      </c>
      <c r="F154" s="760" t="s">
        <v>2242</v>
      </c>
      <c r="G154" s="761"/>
      <c r="H154" s="761"/>
      <c r="I154" s="762"/>
      <c r="J154" s="453" t="s">
        <v>67</v>
      </c>
      <c r="K154" s="347"/>
      <c r="L154" s="347"/>
      <c r="M154" s="347">
        <v>1</v>
      </c>
      <c r="N154" s="726"/>
      <c r="O154" s="726"/>
      <c r="P154" s="720">
        <f>ROUND(N154*M154,2)</f>
        <v>0</v>
      </c>
      <c r="Q154" s="720"/>
      <c r="R154" s="720"/>
      <c r="S154" s="720"/>
      <c r="T154" s="238"/>
      <c r="U154" s="45"/>
    </row>
    <row r="155" spans="2:22" outlineLevel="1">
      <c r="B155" s="237"/>
      <c r="C155" s="345"/>
      <c r="D155" s="345"/>
      <c r="E155" s="346" t="s">
        <v>2330</v>
      </c>
      <c r="F155" s="760" t="s">
        <v>2331</v>
      </c>
      <c r="G155" s="761"/>
      <c r="H155" s="761"/>
      <c r="I155" s="762"/>
      <c r="J155" s="453" t="s">
        <v>67</v>
      </c>
      <c r="K155" s="347"/>
      <c r="L155" s="347"/>
      <c r="M155" s="347">
        <v>1</v>
      </c>
      <c r="N155" s="726"/>
      <c r="O155" s="726"/>
      <c r="P155" s="720">
        <f>ROUND(N155*M155,2)</f>
        <v>0</v>
      </c>
      <c r="Q155" s="720"/>
      <c r="R155" s="720"/>
      <c r="S155" s="720"/>
      <c r="T155" s="238"/>
      <c r="U155" s="45"/>
    </row>
    <row r="156" spans="2:22" ht="15.75">
      <c r="B156" s="237"/>
      <c r="C156" s="285"/>
      <c r="N156" s="367"/>
      <c r="O156" s="367"/>
      <c r="P156" s="746"/>
      <c r="Q156" s="747"/>
      <c r="R156" s="747"/>
      <c r="S156" s="747"/>
      <c r="T156" s="238"/>
    </row>
    <row r="157" spans="2:22" ht="15.75">
      <c r="B157" s="237"/>
      <c r="C157" s="285" t="s">
        <v>2453</v>
      </c>
      <c r="N157" s="367"/>
      <c r="O157" s="367"/>
      <c r="P157" s="681">
        <f>P158+P190+P216+P235+P262+P267</f>
        <v>0</v>
      </c>
      <c r="Q157" s="745"/>
      <c r="R157" s="745"/>
      <c r="S157" s="745"/>
      <c r="T157" s="238"/>
      <c r="U157" s="42">
        <f>SUM(P157:S283)/3</f>
        <v>0</v>
      </c>
    </row>
    <row r="158" spans="2:22" s="341" customFormat="1" ht="12.75">
      <c r="B158" s="340"/>
      <c r="C158" s="447"/>
      <c r="D158" s="344" t="s">
        <v>2044</v>
      </c>
      <c r="E158" s="448"/>
      <c r="F158" s="344"/>
      <c r="G158" s="344"/>
      <c r="H158" s="344"/>
      <c r="I158" s="344"/>
      <c r="J158" s="344"/>
      <c r="K158" s="449"/>
      <c r="L158" s="449"/>
      <c r="M158" s="449"/>
      <c r="N158" s="72"/>
      <c r="O158" s="72"/>
      <c r="P158" s="734">
        <f>SUM(P160:S189)</f>
        <v>0</v>
      </c>
      <c r="Q158" s="734"/>
      <c r="R158" s="734"/>
      <c r="S158" s="734"/>
      <c r="T158" s="342"/>
      <c r="U158" s="45"/>
    </row>
    <row r="159" spans="2:22" outlineLevel="1">
      <c r="B159" s="237"/>
      <c r="C159" s="450"/>
      <c r="D159" s="450"/>
      <c r="E159" s="787" t="s">
        <v>2045</v>
      </c>
      <c r="F159" s="788"/>
      <c r="G159" s="788"/>
      <c r="H159" s="788"/>
      <c r="I159" s="789"/>
      <c r="J159" s="451"/>
      <c r="K159" s="452"/>
      <c r="L159" s="452"/>
      <c r="M159" s="452"/>
      <c r="N159" s="790"/>
      <c r="O159" s="790"/>
      <c r="P159" s="791"/>
      <c r="Q159" s="791"/>
      <c r="R159" s="791"/>
      <c r="S159" s="791"/>
      <c r="T159" s="238"/>
      <c r="U159" s="45"/>
    </row>
    <row r="160" spans="2:22" s="333" customFormat="1" outlineLevel="1">
      <c r="B160" s="362"/>
      <c r="C160" s="455"/>
      <c r="D160" s="455"/>
      <c r="E160" s="456" t="s">
        <v>480</v>
      </c>
      <c r="F160" s="792" t="s">
        <v>2530</v>
      </c>
      <c r="G160" s="792"/>
      <c r="H160" s="792"/>
      <c r="I160" s="792"/>
      <c r="J160" s="457"/>
      <c r="K160" s="458"/>
      <c r="L160" s="458"/>
      <c r="M160" s="458"/>
      <c r="N160" s="793"/>
      <c r="O160" s="793"/>
      <c r="P160" s="794"/>
      <c r="Q160" s="794"/>
      <c r="R160" s="794"/>
      <c r="S160" s="794"/>
      <c r="T160" s="365"/>
      <c r="U160" s="211"/>
    </row>
    <row r="161" spans="2:21" ht="30.75" customHeight="1" outlineLevel="1">
      <c r="B161" s="237"/>
      <c r="C161" s="345"/>
      <c r="D161" s="345"/>
      <c r="E161" s="346" t="s">
        <v>481</v>
      </c>
      <c r="F161" s="719" t="s">
        <v>2058</v>
      </c>
      <c r="G161" s="719"/>
      <c r="H161" s="719"/>
      <c r="I161" s="719"/>
      <c r="J161" s="453" t="s">
        <v>63</v>
      </c>
      <c r="K161" s="347">
        <f>1.8*2.5</f>
        <v>4.5</v>
      </c>
      <c r="L161" s="347">
        <v>1</v>
      </c>
      <c r="M161" s="347">
        <f t="shared" ref="M161:M177" si="0">K161*L161</f>
        <v>4.5</v>
      </c>
      <c r="N161" s="726"/>
      <c r="O161" s="726"/>
      <c r="P161" s="720">
        <f t="shared" ref="P161:P172" si="1">ROUND(N161*M161,2)</f>
        <v>0</v>
      </c>
      <c r="Q161" s="720"/>
      <c r="R161" s="720"/>
      <c r="S161" s="720"/>
      <c r="T161" s="238"/>
      <c r="U161" s="45"/>
    </row>
    <row r="162" spans="2:21" ht="30.75" customHeight="1" outlineLevel="1">
      <c r="B162" s="237"/>
      <c r="C162" s="345"/>
      <c r="D162" s="345"/>
      <c r="E162" s="346" t="s">
        <v>482</v>
      </c>
      <c r="F162" s="719" t="s">
        <v>2059</v>
      </c>
      <c r="G162" s="719"/>
      <c r="H162" s="719"/>
      <c r="I162" s="719"/>
      <c r="J162" s="453" t="s">
        <v>63</v>
      </c>
      <c r="K162" s="347">
        <f>1*2.05</f>
        <v>2.0499999999999998</v>
      </c>
      <c r="L162" s="347">
        <v>1</v>
      </c>
      <c r="M162" s="347">
        <f t="shared" si="0"/>
        <v>2.0499999999999998</v>
      </c>
      <c r="N162" s="726"/>
      <c r="O162" s="726"/>
      <c r="P162" s="720">
        <f t="shared" si="1"/>
        <v>0</v>
      </c>
      <c r="Q162" s="720"/>
      <c r="R162" s="720"/>
      <c r="S162" s="720"/>
      <c r="T162" s="238"/>
      <c r="U162" s="45"/>
    </row>
    <row r="163" spans="2:21" s="333" customFormat="1" ht="11.25" customHeight="1" outlineLevel="1">
      <c r="B163" s="362"/>
      <c r="C163" s="455"/>
      <c r="D163" s="455"/>
      <c r="E163" s="456" t="s">
        <v>483</v>
      </c>
      <c r="F163" s="792" t="s">
        <v>2530</v>
      </c>
      <c r="G163" s="792"/>
      <c r="H163" s="792"/>
      <c r="I163" s="792"/>
      <c r="J163" s="457"/>
      <c r="K163" s="458"/>
      <c r="L163" s="458"/>
      <c r="M163" s="458"/>
      <c r="N163" s="793"/>
      <c r="O163" s="793"/>
      <c r="P163" s="794"/>
      <c r="Q163" s="794"/>
      <c r="R163" s="794"/>
      <c r="S163" s="794"/>
      <c r="T163" s="365"/>
      <c r="U163" s="211"/>
    </row>
    <row r="164" spans="2:21" outlineLevel="1">
      <c r="B164" s="237"/>
      <c r="C164" s="450"/>
      <c r="D164" s="450"/>
      <c r="E164" s="787" t="s">
        <v>2061</v>
      </c>
      <c r="F164" s="788"/>
      <c r="G164" s="788"/>
      <c r="H164" s="788"/>
      <c r="I164" s="789"/>
      <c r="J164" s="451"/>
      <c r="K164" s="452"/>
      <c r="L164" s="452"/>
      <c r="M164" s="452"/>
      <c r="N164" s="790"/>
      <c r="O164" s="790"/>
      <c r="P164" s="791"/>
      <c r="Q164" s="791"/>
      <c r="R164" s="791"/>
      <c r="S164" s="791"/>
      <c r="T164" s="238"/>
      <c r="U164" s="45"/>
    </row>
    <row r="165" spans="2:21" ht="30.75" customHeight="1" outlineLevel="1">
      <c r="B165" s="237"/>
      <c r="C165" s="345"/>
      <c r="D165" s="345"/>
      <c r="E165" s="346" t="s">
        <v>484</v>
      </c>
      <c r="F165" s="719" t="s">
        <v>2062</v>
      </c>
      <c r="G165" s="719"/>
      <c r="H165" s="719"/>
      <c r="I165" s="719"/>
      <c r="J165" s="453" t="s">
        <v>63</v>
      </c>
      <c r="K165" s="347">
        <f>1.48*2.4</f>
        <v>3.552</v>
      </c>
      <c r="L165" s="347">
        <v>1</v>
      </c>
      <c r="M165" s="347">
        <f t="shared" si="0"/>
        <v>3.552</v>
      </c>
      <c r="N165" s="726"/>
      <c r="O165" s="726"/>
      <c r="P165" s="720">
        <f t="shared" si="1"/>
        <v>0</v>
      </c>
      <c r="Q165" s="720"/>
      <c r="R165" s="720"/>
      <c r="S165" s="720"/>
      <c r="T165" s="238"/>
      <c r="U165" s="45"/>
    </row>
    <row r="166" spans="2:21" ht="30.75" customHeight="1" outlineLevel="1">
      <c r="B166" s="237"/>
      <c r="C166" s="345"/>
      <c r="D166" s="345"/>
      <c r="E166" s="346" t="s">
        <v>485</v>
      </c>
      <c r="F166" s="719" t="s">
        <v>2063</v>
      </c>
      <c r="G166" s="719"/>
      <c r="H166" s="719"/>
      <c r="I166" s="719"/>
      <c r="J166" s="453" t="s">
        <v>63</v>
      </c>
      <c r="K166" s="347">
        <f>6.16*3</f>
        <v>18.48</v>
      </c>
      <c r="L166" s="347">
        <v>1</v>
      </c>
      <c r="M166" s="347">
        <f t="shared" si="0"/>
        <v>18.48</v>
      </c>
      <c r="N166" s="726"/>
      <c r="O166" s="726"/>
      <c r="P166" s="720">
        <f t="shared" si="1"/>
        <v>0</v>
      </c>
      <c r="Q166" s="720"/>
      <c r="R166" s="720"/>
      <c r="S166" s="720"/>
      <c r="T166" s="238"/>
      <c r="U166" s="45"/>
    </row>
    <row r="167" spans="2:21" outlineLevel="1">
      <c r="B167" s="237"/>
      <c r="C167" s="450"/>
      <c r="D167" s="450"/>
      <c r="E167" s="787" t="s">
        <v>2067</v>
      </c>
      <c r="F167" s="788"/>
      <c r="G167" s="788"/>
      <c r="H167" s="788"/>
      <c r="I167" s="789"/>
      <c r="J167" s="451"/>
      <c r="K167" s="452"/>
      <c r="L167" s="452"/>
      <c r="M167" s="452"/>
      <c r="N167" s="790"/>
      <c r="O167" s="790"/>
      <c r="P167" s="791"/>
      <c r="Q167" s="791"/>
      <c r="R167" s="791"/>
      <c r="S167" s="791"/>
      <c r="T167" s="238"/>
      <c r="U167" s="45"/>
    </row>
    <row r="168" spans="2:21" s="333" customFormat="1" ht="11.25" customHeight="1" outlineLevel="1">
      <c r="B168" s="362"/>
      <c r="C168" s="455"/>
      <c r="D168" s="455"/>
      <c r="E168" s="456" t="s">
        <v>2048</v>
      </c>
      <c r="F168" s="792" t="s">
        <v>2530</v>
      </c>
      <c r="G168" s="792"/>
      <c r="H168" s="792"/>
      <c r="I168" s="792"/>
      <c r="J168" s="457"/>
      <c r="K168" s="458"/>
      <c r="L168" s="458"/>
      <c r="M168" s="458"/>
      <c r="N168" s="793"/>
      <c r="O168" s="793"/>
      <c r="P168" s="794"/>
      <c r="Q168" s="794"/>
      <c r="R168" s="794"/>
      <c r="S168" s="794"/>
      <c r="T168" s="365"/>
      <c r="U168" s="211"/>
    </row>
    <row r="169" spans="2:21" outlineLevel="1">
      <c r="B169" s="237"/>
      <c r="C169" s="345"/>
      <c r="D169" s="345"/>
      <c r="E169" s="346" t="s">
        <v>2049</v>
      </c>
      <c r="F169" s="719" t="s">
        <v>2075</v>
      </c>
      <c r="G169" s="719"/>
      <c r="H169" s="719"/>
      <c r="I169" s="719"/>
      <c r="J169" s="453" t="s">
        <v>63</v>
      </c>
      <c r="K169" s="347">
        <f>2.15*2</f>
        <v>4.3</v>
      </c>
      <c r="L169" s="347">
        <v>1</v>
      </c>
      <c r="M169" s="347">
        <f t="shared" si="0"/>
        <v>4.3</v>
      </c>
      <c r="N169" s="726"/>
      <c r="O169" s="726"/>
      <c r="P169" s="720">
        <f t="shared" si="1"/>
        <v>0</v>
      </c>
      <c r="Q169" s="720"/>
      <c r="R169" s="720"/>
      <c r="S169" s="720"/>
      <c r="T169" s="238"/>
      <c r="U169" s="45"/>
    </row>
    <row r="170" spans="2:21" outlineLevel="1">
      <c r="B170" s="237"/>
      <c r="C170" s="345"/>
      <c r="D170" s="345"/>
      <c r="E170" s="346" t="s">
        <v>2050</v>
      </c>
      <c r="F170" s="719" t="s">
        <v>2076</v>
      </c>
      <c r="G170" s="719"/>
      <c r="H170" s="719"/>
      <c r="I170" s="719"/>
      <c r="J170" s="453" t="s">
        <v>63</v>
      </c>
      <c r="K170" s="347">
        <f>2.1*2</f>
        <v>4.2</v>
      </c>
      <c r="L170" s="347">
        <v>1</v>
      </c>
      <c r="M170" s="347">
        <f t="shared" si="0"/>
        <v>4.2</v>
      </c>
      <c r="N170" s="726"/>
      <c r="O170" s="726"/>
      <c r="P170" s="720">
        <f t="shared" si="1"/>
        <v>0</v>
      </c>
      <c r="Q170" s="720"/>
      <c r="R170" s="720"/>
      <c r="S170" s="720"/>
      <c r="T170" s="238"/>
      <c r="U170" s="45"/>
    </row>
    <row r="171" spans="2:21" outlineLevel="1">
      <c r="B171" s="237"/>
      <c r="C171" s="345"/>
      <c r="D171" s="345"/>
      <c r="E171" s="346" t="s">
        <v>2051</v>
      </c>
      <c r="F171" s="719" t="s">
        <v>2077</v>
      </c>
      <c r="G171" s="719"/>
      <c r="H171" s="719"/>
      <c r="I171" s="719"/>
      <c r="J171" s="453" t="s">
        <v>63</v>
      </c>
      <c r="K171" s="347">
        <f>1.58*2</f>
        <v>3.16</v>
      </c>
      <c r="L171" s="347">
        <v>1</v>
      </c>
      <c r="M171" s="347">
        <f t="shared" si="0"/>
        <v>3.16</v>
      </c>
      <c r="N171" s="726"/>
      <c r="O171" s="726"/>
      <c r="P171" s="720">
        <f t="shared" si="1"/>
        <v>0</v>
      </c>
      <c r="Q171" s="720"/>
      <c r="R171" s="720"/>
      <c r="S171" s="720"/>
      <c r="T171" s="238"/>
      <c r="U171" s="45"/>
    </row>
    <row r="172" spans="2:21" outlineLevel="1">
      <c r="B172" s="237"/>
      <c r="C172" s="345"/>
      <c r="D172" s="345"/>
      <c r="E172" s="346" t="s">
        <v>2052</v>
      </c>
      <c r="F172" s="719" t="s">
        <v>2078</v>
      </c>
      <c r="G172" s="719"/>
      <c r="H172" s="719"/>
      <c r="I172" s="719"/>
      <c r="J172" s="453" t="s">
        <v>63</v>
      </c>
      <c r="K172" s="347">
        <f>2.85*2</f>
        <v>5.7</v>
      </c>
      <c r="L172" s="347">
        <v>1</v>
      </c>
      <c r="M172" s="347">
        <f t="shared" si="0"/>
        <v>5.7</v>
      </c>
      <c r="N172" s="726"/>
      <c r="O172" s="726"/>
      <c r="P172" s="720">
        <f t="shared" si="1"/>
        <v>0</v>
      </c>
      <c r="Q172" s="720"/>
      <c r="R172" s="720"/>
      <c r="S172" s="720"/>
      <c r="T172" s="238"/>
      <c r="U172" s="45"/>
    </row>
    <row r="173" spans="2:21" outlineLevel="1">
      <c r="B173" s="237"/>
      <c r="C173" s="450"/>
      <c r="D173" s="450"/>
      <c r="E173" s="787" t="s">
        <v>2068</v>
      </c>
      <c r="F173" s="788"/>
      <c r="G173" s="788"/>
      <c r="H173" s="788"/>
      <c r="I173" s="789"/>
      <c r="J173" s="451"/>
      <c r="K173" s="452"/>
      <c r="L173" s="452"/>
      <c r="M173" s="452"/>
      <c r="N173" s="790"/>
      <c r="O173" s="790"/>
      <c r="P173" s="791"/>
      <c r="Q173" s="791"/>
      <c r="R173" s="791"/>
      <c r="S173" s="791"/>
      <c r="T173" s="238"/>
      <c r="U173" s="45"/>
    </row>
    <row r="174" spans="2:21" ht="30.75" customHeight="1" outlineLevel="1">
      <c r="B174" s="237"/>
      <c r="C174" s="345"/>
      <c r="D174" s="345"/>
      <c r="E174" s="346" t="s">
        <v>2053</v>
      </c>
      <c r="F174" s="719" t="s">
        <v>2079</v>
      </c>
      <c r="G174" s="719"/>
      <c r="H174" s="719"/>
      <c r="I174" s="719"/>
      <c r="J174" s="453" t="s">
        <v>63</v>
      </c>
      <c r="K174" s="347">
        <f>1*1.37</f>
        <v>1.37</v>
      </c>
      <c r="L174" s="347">
        <v>4</v>
      </c>
      <c r="M174" s="347">
        <f t="shared" si="0"/>
        <v>5.48</v>
      </c>
      <c r="N174" s="726"/>
      <c r="O174" s="726"/>
      <c r="P174" s="720">
        <f>ROUND(N174*M174,2)</f>
        <v>0</v>
      </c>
      <c r="Q174" s="720"/>
      <c r="R174" s="720"/>
      <c r="S174" s="720"/>
      <c r="T174" s="238"/>
      <c r="U174" s="45"/>
    </row>
    <row r="175" spans="2:21" ht="30.75" customHeight="1" outlineLevel="1">
      <c r="B175" s="237"/>
      <c r="C175" s="345"/>
      <c r="D175" s="345"/>
      <c r="E175" s="346" t="s">
        <v>2054</v>
      </c>
      <c r="F175" s="719" t="s">
        <v>2080</v>
      </c>
      <c r="G175" s="719"/>
      <c r="H175" s="719"/>
      <c r="I175" s="719"/>
      <c r="J175" s="453" t="s">
        <v>63</v>
      </c>
      <c r="K175" s="347">
        <f>1.06*1.55</f>
        <v>1.6430000000000002</v>
      </c>
      <c r="L175" s="347">
        <v>2</v>
      </c>
      <c r="M175" s="347">
        <f t="shared" si="0"/>
        <v>3.2860000000000005</v>
      </c>
      <c r="N175" s="726"/>
      <c r="O175" s="726"/>
      <c r="P175" s="720">
        <f>ROUND(N175*M175,2)</f>
        <v>0</v>
      </c>
      <c r="Q175" s="720"/>
      <c r="R175" s="720"/>
      <c r="S175" s="720"/>
      <c r="T175" s="238"/>
      <c r="U175" s="45"/>
    </row>
    <row r="176" spans="2:21" ht="30.75" customHeight="1" outlineLevel="1">
      <c r="B176" s="237"/>
      <c r="C176" s="345"/>
      <c r="D176" s="345"/>
      <c r="E176" s="346" t="s">
        <v>2055</v>
      </c>
      <c r="F176" s="719" t="s">
        <v>2081</v>
      </c>
      <c r="G176" s="719"/>
      <c r="H176" s="719"/>
      <c r="I176" s="719"/>
      <c r="J176" s="453" t="s">
        <v>63</v>
      </c>
      <c r="K176" s="347">
        <f>1.02*1.26</f>
        <v>1.2852000000000001</v>
      </c>
      <c r="L176" s="347">
        <v>2</v>
      </c>
      <c r="M176" s="347">
        <f t="shared" si="0"/>
        <v>2.5704000000000002</v>
      </c>
      <c r="N176" s="726"/>
      <c r="O176" s="726"/>
      <c r="P176" s="720">
        <f>ROUND(N176*M176,2)</f>
        <v>0</v>
      </c>
      <c r="Q176" s="720"/>
      <c r="R176" s="720"/>
      <c r="S176" s="720"/>
      <c r="T176" s="238"/>
      <c r="U176" s="45"/>
    </row>
    <row r="177" spans="2:21" ht="30.75" customHeight="1" outlineLevel="1">
      <c r="B177" s="237"/>
      <c r="C177" s="345"/>
      <c r="D177" s="345"/>
      <c r="E177" s="346" t="s">
        <v>2056</v>
      </c>
      <c r="F177" s="719" t="s">
        <v>2082</v>
      </c>
      <c r="G177" s="719"/>
      <c r="H177" s="719"/>
      <c r="I177" s="719"/>
      <c r="J177" s="453" t="s">
        <v>63</v>
      </c>
      <c r="K177" s="347">
        <f>1.02*1.49</f>
        <v>1.5198</v>
      </c>
      <c r="L177" s="347">
        <v>2</v>
      </c>
      <c r="M177" s="347">
        <f t="shared" si="0"/>
        <v>3.0396000000000001</v>
      </c>
      <c r="N177" s="726"/>
      <c r="O177" s="726"/>
      <c r="P177" s="720">
        <f>ROUND(N177*M177,2)</f>
        <v>0</v>
      </c>
      <c r="Q177" s="720"/>
      <c r="R177" s="720"/>
      <c r="S177" s="720"/>
      <c r="T177" s="238"/>
      <c r="U177" s="45"/>
    </row>
    <row r="178" spans="2:21" outlineLevel="1">
      <c r="B178" s="237"/>
      <c r="C178" s="450"/>
      <c r="D178" s="450"/>
      <c r="E178" s="787" t="s">
        <v>2083</v>
      </c>
      <c r="F178" s="788"/>
      <c r="G178" s="788"/>
      <c r="H178" s="788"/>
      <c r="I178" s="789"/>
      <c r="J178" s="451"/>
      <c r="K178" s="452"/>
      <c r="L178" s="452"/>
      <c r="M178" s="452"/>
      <c r="N178" s="790"/>
      <c r="O178" s="790"/>
      <c r="P178" s="791"/>
      <c r="Q178" s="791"/>
      <c r="R178" s="791"/>
      <c r="S178" s="791"/>
      <c r="T178" s="238"/>
      <c r="U178" s="45"/>
    </row>
    <row r="179" spans="2:21" ht="30.75" customHeight="1" outlineLevel="1">
      <c r="B179" s="237"/>
      <c r="C179" s="345"/>
      <c r="D179" s="345"/>
      <c r="E179" s="346" t="s">
        <v>2057</v>
      </c>
      <c r="F179" s="719" t="s">
        <v>2084</v>
      </c>
      <c r="G179" s="719"/>
      <c r="H179" s="719"/>
      <c r="I179" s="719"/>
      <c r="J179" s="453" t="s">
        <v>63</v>
      </c>
      <c r="K179" s="347">
        <f>0.7*0.45</f>
        <v>0.315</v>
      </c>
      <c r="L179" s="347">
        <v>2</v>
      </c>
      <c r="M179" s="347">
        <f>K179*L179</f>
        <v>0.63</v>
      </c>
      <c r="N179" s="726"/>
      <c r="O179" s="726"/>
      <c r="P179" s="720">
        <f>ROUND(N179*M179,2)</f>
        <v>0</v>
      </c>
      <c r="Q179" s="720"/>
      <c r="R179" s="720"/>
      <c r="S179" s="720"/>
      <c r="T179" s="238"/>
      <c r="U179" s="45"/>
    </row>
    <row r="180" spans="2:21" s="333" customFormat="1" ht="11.25" customHeight="1" outlineLevel="1">
      <c r="B180" s="362"/>
      <c r="C180" s="455"/>
      <c r="D180" s="455"/>
      <c r="E180" s="456" t="s">
        <v>2069</v>
      </c>
      <c r="F180" s="792" t="s">
        <v>2530</v>
      </c>
      <c r="G180" s="792"/>
      <c r="H180" s="792"/>
      <c r="I180" s="792"/>
      <c r="J180" s="457"/>
      <c r="K180" s="458"/>
      <c r="L180" s="458"/>
      <c r="M180" s="458"/>
      <c r="N180" s="793"/>
      <c r="O180" s="793"/>
      <c r="P180" s="794"/>
      <c r="Q180" s="794"/>
      <c r="R180" s="794"/>
      <c r="S180" s="794"/>
      <c r="T180" s="365"/>
      <c r="U180" s="211"/>
    </row>
    <row r="181" spans="2:21" s="333" customFormat="1" ht="11.25" customHeight="1" outlineLevel="1">
      <c r="B181" s="362"/>
      <c r="C181" s="455"/>
      <c r="D181" s="455"/>
      <c r="E181" s="456" t="s">
        <v>2070</v>
      </c>
      <c r="F181" s="792" t="s">
        <v>2530</v>
      </c>
      <c r="G181" s="792"/>
      <c r="H181" s="792"/>
      <c r="I181" s="792"/>
      <c r="J181" s="457"/>
      <c r="K181" s="458"/>
      <c r="L181" s="458"/>
      <c r="M181" s="458"/>
      <c r="N181" s="793"/>
      <c r="O181" s="793"/>
      <c r="P181" s="794"/>
      <c r="Q181" s="794"/>
      <c r="R181" s="794"/>
      <c r="S181" s="794"/>
      <c r="T181" s="365"/>
      <c r="U181" s="211"/>
    </row>
    <row r="182" spans="2:21" s="333" customFormat="1" ht="11.25" customHeight="1" outlineLevel="1">
      <c r="B182" s="362"/>
      <c r="C182" s="455"/>
      <c r="D182" s="455"/>
      <c r="E182" s="456" t="s">
        <v>2071</v>
      </c>
      <c r="F182" s="792" t="s">
        <v>2530</v>
      </c>
      <c r="G182" s="792"/>
      <c r="H182" s="792"/>
      <c r="I182" s="792"/>
      <c r="J182" s="457"/>
      <c r="K182" s="458"/>
      <c r="L182" s="458"/>
      <c r="M182" s="458"/>
      <c r="N182" s="793"/>
      <c r="O182" s="793"/>
      <c r="P182" s="794"/>
      <c r="Q182" s="794"/>
      <c r="R182" s="794"/>
      <c r="S182" s="794"/>
      <c r="T182" s="365"/>
      <c r="U182" s="211"/>
    </row>
    <row r="183" spans="2:21" ht="30.75" customHeight="1" outlineLevel="1">
      <c r="B183" s="237"/>
      <c r="C183" s="345"/>
      <c r="D183" s="345"/>
      <c r="E183" s="346" t="s">
        <v>2087</v>
      </c>
      <c r="F183" s="719" t="s">
        <v>2092</v>
      </c>
      <c r="G183" s="719"/>
      <c r="H183" s="719"/>
      <c r="I183" s="719"/>
      <c r="J183" s="453" t="s">
        <v>63</v>
      </c>
      <c r="K183" s="347">
        <f>1.125*1.745</f>
        <v>1.9631250000000002</v>
      </c>
      <c r="L183" s="347">
        <v>2</v>
      </c>
      <c r="M183" s="347">
        <f>K183*L183</f>
        <v>3.9262500000000005</v>
      </c>
      <c r="N183" s="726"/>
      <c r="O183" s="726"/>
      <c r="P183" s="720">
        <f>ROUND(N183*M183,2)</f>
        <v>0</v>
      </c>
      <c r="Q183" s="720"/>
      <c r="R183" s="720"/>
      <c r="S183" s="720"/>
      <c r="T183" s="238"/>
      <c r="U183" s="45"/>
    </row>
    <row r="184" spans="2:21" ht="30.75" customHeight="1" outlineLevel="1">
      <c r="B184" s="237"/>
      <c r="C184" s="345"/>
      <c r="D184" s="345"/>
      <c r="E184" s="346" t="s">
        <v>2088</v>
      </c>
      <c r="F184" s="719" t="s">
        <v>2094</v>
      </c>
      <c r="G184" s="719"/>
      <c r="H184" s="719"/>
      <c r="I184" s="719"/>
      <c r="J184" s="453" t="s">
        <v>63</v>
      </c>
      <c r="K184" s="347">
        <f>1.125*1.745</f>
        <v>1.9631250000000002</v>
      </c>
      <c r="L184" s="347">
        <v>2</v>
      </c>
      <c r="M184" s="347">
        <f>K184*L184</f>
        <v>3.9262500000000005</v>
      </c>
      <c r="N184" s="726"/>
      <c r="O184" s="726"/>
      <c r="P184" s="720">
        <f>ROUND(N184*M184,2)</f>
        <v>0</v>
      </c>
      <c r="Q184" s="720"/>
      <c r="R184" s="720"/>
      <c r="S184" s="720"/>
      <c r="T184" s="238"/>
      <c r="U184" s="45"/>
    </row>
    <row r="185" spans="2:21" ht="30.75" customHeight="1" outlineLevel="1">
      <c r="B185" s="237"/>
      <c r="C185" s="345"/>
      <c r="D185" s="345"/>
      <c r="E185" s="346" t="s">
        <v>2089</v>
      </c>
      <c r="F185" s="719" t="s">
        <v>2093</v>
      </c>
      <c r="G185" s="719"/>
      <c r="H185" s="719"/>
      <c r="I185" s="719"/>
      <c r="J185" s="453" t="s">
        <v>63</v>
      </c>
      <c r="K185" s="347">
        <f>1.05*1.675</f>
        <v>1.75875</v>
      </c>
      <c r="L185" s="347">
        <v>3</v>
      </c>
      <c r="M185" s="347">
        <f>K185*L185</f>
        <v>5.2762500000000001</v>
      </c>
      <c r="N185" s="726"/>
      <c r="O185" s="726"/>
      <c r="P185" s="720">
        <f>ROUND(N185*M185,2)</f>
        <v>0</v>
      </c>
      <c r="Q185" s="720"/>
      <c r="R185" s="720"/>
      <c r="S185" s="720"/>
      <c r="T185" s="238"/>
      <c r="U185" s="45"/>
    </row>
    <row r="186" spans="2:21" ht="30.75" customHeight="1" outlineLevel="1">
      <c r="B186" s="237"/>
      <c r="C186" s="345"/>
      <c r="D186" s="345"/>
      <c r="E186" s="346" t="s">
        <v>2090</v>
      </c>
      <c r="F186" s="719" t="s">
        <v>2095</v>
      </c>
      <c r="G186" s="719"/>
      <c r="H186" s="719"/>
      <c r="I186" s="719"/>
      <c r="J186" s="453" t="s">
        <v>63</v>
      </c>
      <c r="K186" s="347">
        <f>1.05*1.675</f>
        <v>1.75875</v>
      </c>
      <c r="L186" s="347">
        <v>3</v>
      </c>
      <c r="M186" s="347">
        <f>K186*L186</f>
        <v>5.2762500000000001</v>
      </c>
      <c r="N186" s="726"/>
      <c r="O186" s="726"/>
      <c r="P186" s="720">
        <f>ROUND(N186*M186,2)</f>
        <v>0</v>
      </c>
      <c r="Q186" s="720"/>
      <c r="R186" s="720"/>
      <c r="S186" s="720"/>
      <c r="T186" s="238"/>
      <c r="U186" s="45"/>
    </row>
    <row r="187" spans="2:21" outlineLevel="1">
      <c r="B187" s="237"/>
      <c r="C187" s="450"/>
      <c r="D187" s="450"/>
      <c r="E187" s="787" t="s">
        <v>2096</v>
      </c>
      <c r="F187" s="788"/>
      <c r="G187" s="788"/>
      <c r="H187" s="788"/>
      <c r="I187" s="789"/>
      <c r="J187" s="451"/>
      <c r="K187" s="452"/>
      <c r="L187" s="452"/>
      <c r="M187" s="452"/>
      <c r="N187" s="790"/>
      <c r="O187" s="790"/>
      <c r="P187" s="791"/>
      <c r="Q187" s="791"/>
      <c r="R187" s="791"/>
      <c r="S187" s="791"/>
      <c r="T187" s="238"/>
      <c r="U187" s="45"/>
    </row>
    <row r="188" spans="2:21" outlineLevel="1">
      <c r="B188" s="237"/>
      <c r="C188" s="345"/>
      <c r="D188" s="345"/>
      <c r="E188" s="346" t="s">
        <v>2072</v>
      </c>
      <c r="F188" s="719" t="s">
        <v>2097</v>
      </c>
      <c r="G188" s="719"/>
      <c r="H188" s="719"/>
      <c r="I188" s="719"/>
      <c r="J188" s="453" t="s">
        <v>63</v>
      </c>
      <c r="K188" s="347">
        <f>0.7*0.7</f>
        <v>0.48999999999999994</v>
      </c>
      <c r="L188" s="347">
        <v>6</v>
      </c>
      <c r="M188" s="347">
        <f>K188*L188</f>
        <v>2.9399999999999995</v>
      </c>
      <c r="N188" s="726"/>
      <c r="O188" s="726"/>
      <c r="P188" s="720">
        <f>ROUND(N188*M188,2)</f>
        <v>0</v>
      </c>
      <c r="Q188" s="720"/>
      <c r="R188" s="720"/>
      <c r="S188" s="720"/>
      <c r="T188" s="238"/>
      <c r="U188" s="45"/>
    </row>
    <row r="189" spans="2:21" outlineLevel="1">
      <c r="B189" s="237"/>
      <c r="C189" s="345"/>
      <c r="D189" s="345"/>
      <c r="E189" s="346" t="s">
        <v>2073</v>
      </c>
      <c r="F189" s="719" t="s">
        <v>2098</v>
      </c>
      <c r="G189" s="719"/>
      <c r="H189" s="719"/>
      <c r="I189" s="719"/>
      <c r="J189" s="453" t="s">
        <v>63</v>
      </c>
      <c r="K189" s="347">
        <f>0.76*0.8</f>
        <v>0.6080000000000001</v>
      </c>
      <c r="L189" s="347">
        <v>1</v>
      </c>
      <c r="M189" s="347">
        <f>K189*L189</f>
        <v>0.6080000000000001</v>
      </c>
      <c r="N189" s="726"/>
      <c r="O189" s="726"/>
      <c r="P189" s="720">
        <f>ROUND(N189*M189,2)</f>
        <v>0</v>
      </c>
      <c r="Q189" s="720"/>
      <c r="R189" s="720"/>
      <c r="S189" s="720"/>
      <c r="T189" s="238"/>
      <c r="U189" s="45"/>
    </row>
    <row r="190" spans="2:21" s="341" customFormat="1" ht="12.75">
      <c r="B190" s="340"/>
      <c r="C190" s="447"/>
      <c r="D190" s="344" t="s">
        <v>2099</v>
      </c>
      <c r="E190" s="448"/>
      <c r="F190" s="344"/>
      <c r="G190" s="344"/>
      <c r="H190" s="344"/>
      <c r="I190" s="344"/>
      <c r="J190" s="344"/>
      <c r="K190" s="454" t="s">
        <v>2102</v>
      </c>
      <c r="L190" s="454" t="s">
        <v>2101</v>
      </c>
      <c r="M190" s="454" t="s">
        <v>2103</v>
      </c>
      <c r="N190" s="72"/>
      <c r="O190" s="72"/>
      <c r="P190" s="734">
        <f>SUM(P192:S215)</f>
        <v>0</v>
      </c>
      <c r="Q190" s="734"/>
      <c r="R190" s="734"/>
      <c r="S190" s="734"/>
      <c r="T190" s="342"/>
      <c r="U190" s="45"/>
    </row>
    <row r="191" spans="2:21" outlineLevel="1">
      <c r="B191" s="237"/>
      <c r="C191" s="450"/>
      <c r="D191" s="450"/>
      <c r="E191" s="787" t="s">
        <v>2125</v>
      </c>
      <c r="F191" s="788"/>
      <c r="G191" s="788"/>
      <c r="H191" s="788"/>
      <c r="I191" s="789"/>
      <c r="J191" s="451"/>
      <c r="K191" s="452"/>
      <c r="L191" s="452"/>
      <c r="M191" s="452"/>
      <c r="N191" s="790"/>
      <c r="O191" s="790"/>
      <c r="P191" s="791"/>
      <c r="Q191" s="791"/>
      <c r="R191" s="791"/>
      <c r="S191" s="791"/>
      <c r="T191" s="238"/>
      <c r="U191" s="45"/>
    </row>
    <row r="192" spans="2:21" s="333" customFormat="1" outlineLevel="1">
      <c r="B192" s="362"/>
      <c r="C192" s="455"/>
      <c r="D192" s="455"/>
      <c r="E192" s="456" t="s">
        <v>486</v>
      </c>
      <c r="F192" s="792" t="s">
        <v>2530</v>
      </c>
      <c r="G192" s="792"/>
      <c r="H192" s="792"/>
      <c r="I192" s="792"/>
      <c r="J192" s="457"/>
      <c r="K192" s="458"/>
      <c r="L192" s="458"/>
      <c r="M192" s="458"/>
      <c r="N192" s="793"/>
      <c r="O192" s="793"/>
      <c r="P192" s="794"/>
      <c r="Q192" s="794"/>
      <c r="R192" s="794"/>
      <c r="S192" s="794"/>
      <c r="T192" s="365"/>
      <c r="U192" s="211"/>
    </row>
    <row r="193" spans="2:21" outlineLevel="1">
      <c r="B193" s="237"/>
      <c r="C193" s="345"/>
      <c r="D193" s="345"/>
      <c r="E193" s="346" t="s">
        <v>487</v>
      </c>
      <c r="F193" s="719" t="s">
        <v>2104</v>
      </c>
      <c r="G193" s="719"/>
      <c r="H193" s="719"/>
      <c r="I193" s="719"/>
      <c r="J193" s="453" t="s">
        <v>67</v>
      </c>
      <c r="K193" s="347">
        <v>2</v>
      </c>
      <c r="L193" s="347">
        <v>6</v>
      </c>
      <c r="M193" s="347">
        <f t="shared" ref="M193:M207" si="2">SUM(K193:L193)</f>
        <v>8</v>
      </c>
      <c r="N193" s="726"/>
      <c r="O193" s="726"/>
      <c r="P193" s="720">
        <f>ROUND(N193*M193,2)</f>
        <v>0</v>
      </c>
      <c r="Q193" s="720"/>
      <c r="R193" s="720"/>
      <c r="S193" s="720"/>
      <c r="T193" s="238"/>
      <c r="U193" s="45"/>
    </row>
    <row r="194" spans="2:21" ht="30.75" customHeight="1" outlineLevel="1">
      <c r="B194" s="237"/>
      <c r="C194" s="345"/>
      <c r="D194" s="345"/>
      <c r="E194" s="346" t="s">
        <v>488</v>
      </c>
      <c r="F194" s="719" t="s">
        <v>2105</v>
      </c>
      <c r="G194" s="719"/>
      <c r="H194" s="719"/>
      <c r="I194" s="719"/>
      <c r="J194" s="453" t="s">
        <v>67</v>
      </c>
      <c r="K194" s="347">
        <v>1</v>
      </c>
      <c r="L194" s="347">
        <v>1</v>
      </c>
      <c r="M194" s="347">
        <f t="shared" si="2"/>
        <v>2</v>
      </c>
      <c r="N194" s="726"/>
      <c r="O194" s="726"/>
      <c r="P194" s="720">
        <f>ROUND(N194*M194,2)</f>
        <v>0</v>
      </c>
      <c r="Q194" s="720"/>
      <c r="R194" s="720"/>
      <c r="S194" s="720"/>
      <c r="T194" s="238"/>
      <c r="U194" s="45"/>
    </row>
    <row r="195" spans="2:21" ht="30.75" customHeight="1" outlineLevel="1">
      <c r="B195" s="237"/>
      <c r="C195" s="345"/>
      <c r="D195" s="345"/>
      <c r="E195" s="346" t="s">
        <v>489</v>
      </c>
      <c r="F195" s="719" t="s">
        <v>2106</v>
      </c>
      <c r="G195" s="719"/>
      <c r="H195" s="719"/>
      <c r="I195" s="719"/>
      <c r="J195" s="453" t="s">
        <v>67</v>
      </c>
      <c r="K195" s="347"/>
      <c r="L195" s="347">
        <v>1</v>
      </c>
      <c r="M195" s="347">
        <f t="shared" si="2"/>
        <v>1</v>
      </c>
      <c r="N195" s="726"/>
      <c r="O195" s="726"/>
      <c r="P195" s="720">
        <f>ROUND(N195*M195,2)</f>
        <v>0</v>
      </c>
      <c r="Q195" s="720"/>
      <c r="R195" s="720"/>
      <c r="S195" s="720"/>
      <c r="T195" s="238"/>
      <c r="U195" s="45"/>
    </row>
    <row r="196" spans="2:21" ht="30.75" customHeight="1" outlineLevel="1">
      <c r="B196" s="237"/>
      <c r="C196" s="345"/>
      <c r="D196" s="345"/>
      <c r="E196" s="346" t="s">
        <v>490</v>
      </c>
      <c r="F196" s="719" t="s">
        <v>2107</v>
      </c>
      <c r="G196" s="719"/>
      <c r="H196" s="719"/>
      <c r="I196" s="719"/>
      <c r="J196" s="453" t="s">
        <v>67</v>
      </c>
      <c r="K196" s="347"/>
      <c r="L196" s="347">
        <v>1</v>
      </c>
      <c r="M196" s="347">
        <f t="shared" si="2"/>
        <v>1</v>
      </c>
      <c r="N196" s="726"/>
      <c r="O196" s="726"/>
      <c r="P196" s="720">
        <f t="shared" ref="P196:P215" si="3">ROUND(N196*M196,2)</f>
        <v>0</v>
      </c>
      <c r="Q196" s="720"/>
      <c r="R196" s="720"/>
      <c r="S196" s="720"/>
      <c r="T196" s="238"/>
      <c r="U196" s="45"/>
    </row>
    <row r="197" spans="2:21" ht="30.75" customHeight="1" outlineLevel="1">
      <c r="B197" s="237"/>
      <c r="C197" s="345"/>
      <c r="D197" s="345"/>
      <c r="E197" s="346" t="s">
        <v>2108</v>
      </c>
      <c r="F197" s="719" t="s">
        <v>2121</v>
      </c>
      <c r="G197" s="719"/>
      <c r="H197" s="719"/>
      <c r="I197" s="719"/>
      <c r="J197" s="453" t="s">
        <v>67</v>
      </c>
      <c r="K197" s="347">
        <v>1</v>
      </c>
      <c r="L197" s="347"/>
      <c r="M197" s="347">
        <f>SUM(K197:L197)</f>
        <v>1</v>
      </c>
      <c r="N197" s="726"/>
      <c r="O197" s="726"/>
      <c r="P197" s="720">
        <f t="shared" si="3"/>
        <v>0</v>
      </c>
      <c r="Q197" s="720"/>
      <c r="R197" s="720"/>
      <c r="S197" s="720"/>
      <c r="T197" s="238"/>
      <c r="U197" s="45"/>
    </row>
    <row r="198" spans="2:21" s="465" customFormat="1" ht="23.25" customHeight="1" outlineLevel="1">
      <c r="B198" s="459"/>
      <c r="C198" s="460"/>
      <c r="D198" s="460"/>
      <c r="E198" s="461" t="s">
        <v>2109</v>
      </c>
      <c r="F198" s="795" t="s">
        <v>2122</v>
      </c>
      <c r="G198" s="796"/>
      <c r="H198" s="796"/>
      <c r="I198" s="797"/>
      <c r="J198" s="462" t="s">
        <v>67</v>
      </c>
      <c r="K198" s="463">
        <v>1</v>
      </c>
      <c r="L198" s="463">
        <v>0</v>
      </c>
      <c r="M198" s="463">
        <f t="shared" si="2"/>
        <v>1</v>
      </c>
      <c r="N198" s="798"/>
      <c r="O198" s="798"/>
      <c r="P198" s="799">
        <f t="shared" si="3"/>
        <v>0</v>
      </c>
      <c r="Q198" s="799"/>
      <c r="R198" s="799"/>
      <c r="S198" s="799"/>
      <c r="T198" s="464"/>
      <c r="U198" s="220"/>
    </row>
    <row r="199" spans="2:21" s="465" customFormat="1" ht="23.25" customHeight="1" outlineLevel="1">
      <c r="B199" s="459"/>
      <c r="C199" s="460"/>
      <c r="D199" s="460"/>
      <c r="E199" s="461" t="s">
        <v>2110</v>
      </c>
      <c r="F199" s="795" t="s">
        <v>2123</v>
      </c>
      <c r="G199" s="796"/>
      <c r="H199" s="796"/>
      <c r="I199" s="797"/>
      <c r="J199" s="462" t="s">
        <v>67</v>
      </c>
      <c r="K199" s="463">
        <v>0</v>
      </c>
      <c r="L199" s="463">
        <v>1</v>
      </c>
      <c r="M199" s="463">
        <f t="shared" si="2"/>
        <v>1</v>
      </c>
      <c r="N199" s="798"/>
      <c r="O199" s="798"/>
      <c r="P199" s="799">
        <f t="shared" si="3"/>
        <v>0</v>
      </c>
      <c r="Q199" s="799"/>
      <c r="R199" s="799"/>
      <c r="S199" s="799"/>
      <c r="T199" s="464"/>
      <c r="U199" s="220"/>
    </row>
    <row r="200" spans="2:21" ht="30.75" customHeight="1" outlineLevel="1">
      <c r="B200" s="237"/>
      <c r="C200" s="345"/>
      <c r="D200" s="345"/>
      <c r="E200" s="346" t="s">
        <v>2111</v>
      </c>
      <c r="F200" s="719" t="s">
        <v>2124</v>
      </c>
      <c r="G200" s="719"/>
      <c r="H200" s="719"/>
      <c r="I200" s="719"/>
      <c r="J200" s="453" t="s">
        <v>67</v>
      </c>
      <c r="K200" s="347"/>
      <c r="L200" s="347">
        <v>2</v>
      </c>
      <c r="M200" s="347">
        <f t="shared" si="2"/>
        <v>2</v>
      </c>
      <c r="N200" s="726"/>
      <c r="O200" s="726"/>
      <c r="P200" s="720">
        <f t="shared" si="3"/>
        <v>0</v>
      </c>
      <c r="Q200" s="720"/>
      <c r="R200" s="720"/>
      <c r="S200" s="720"/>
      <c r="T200" s="238"/>
      <c r="U200" s="45"/>
    </row>
    <row r="201" spans="2:21" outlineLevel="1">
      <c r="B201" s="237"/>
      <c r="C201" s="450"/>
      <c r="D201" s="450"/>
      <c r="E201" s="787" t="s">
        <v>2126</v>
      </c>
      <c r="F201" s="788"/>
      <c r="G201" s="788"/>
      <c r="H201" s="788"/>
      <c r="I201" s="789"/>
      <c r="J201" s="451"/>
      <c r="K201" s="452"/>
      <c r="L201" s="452"/>
      <c r="M201" s="452"/>
      <c r="N201" s="790"/>
      <c r="O201" s="790"/>
      <c r="P201" s="791"/>
      <c r="Q201" s="791"/>
      <c r="R201" s="791"/>
      <c r="S201" s="791"/>
      <c r="T201" s="238"/>
      <c r="U201" s="45"/>
    </row>
    <row r="202" spans="2:21" s="465" customFormat="1" ht="23.25" customHeight="1" outlineLevel="1">
      <c r="B202" s="459"/>
      <c r="C202" s="460"/>
      <c r="D202" s="460"/>
      <c r="E202" s="461" t="s">
        <v>2112</v>
      </c>
      <c r="F202" s="795" t="s">
        <v>2127</v>
      </c>
      <c r="G202" s="796"/>
      <c r="H202" s="796"/>
      <c r="I202" s="797"/>
      <c r="J202" s="462" t="s">
        <v>67</v>
      </c>
      <c r="K202" s="463">
        <v>1</v>
      </c>
      <c r="L202" s="463">
        <f>3-L141</f>
        <v>2</v>
      </c>
      <c r="M202" s="463">
        <f t="shared" si="2"/>
        <v>3</v>
      </c>
      <c r="N202" s="798"/>
      <c r="O202" s="798"/>
      <c r="P202" s="799">
        <f t="shared" si="3"/>
        <v>0</v>
      </c>
      <c r="Q202" s="799"/>
      <c r="R202" s="799"/>
      <c r="S202" s="799"/>
      <c r="T202" s="464"/>
      <c r="U202" s="220"/>
    </row>
    <row r="203" spans="2:21" ht="30.75" customHeight="1" outlineLevel="1">
      <c r="B203" s="237"/>
      <c r="C203" s="345"/>
      <c r="D203" s="345"/>
      <c r="E203" s="346" t="s">
        <v>2113</v>
      </c>
      <c r="F203" s="719" t="s">
        <v>2128</v>
      </c>
      <c r="G203" s="719"/>
      <c r="H203" s="719"/>
      <c r="I203" s="719"/>
      <c r="J203" s="453" t="s">
        <v>67</v>
      </c>
      <c r="K203" s="347">
        <v>1</v>
      </c>
      <c r="L203" s="347">
        <v>1</v>
      </c>
      <c r="M203" s="347">
        <f t="shared" si="2"/>
        <v>2</v>
      </c>
      <c r="N203" s="726"/>
      <c r="O203" s="726"/>
      <c r="P203" s="720">
        <f t="shared" si="3"/>
        <v>0</v>
      </c>
      <c r="Q203" s="720"/>
      <c r="R203" s="720"/>
      <c r="S203" s="720"/>
      <c r="T203" s="238"/>
      <c r="U203" s="45"/>
    </row>
    <row r="204" spans="2:21" ht="30.75" customHeight="1" outlineLevel="1">
      <c r="B204" s="237"/>
      <c r="C204" s="345"/>
      <c r="D204" s="345"/>
      <c r="E204" s="346" t="s">
        <v>2114</v>
      </c>
      <c r="F204" s="719" t="s">
        <v>2128</v>
      </c>
      <c r="G204" s="719"/>
      <c r="H204" s="719"/>
      <c r="I204" s="719"/>
      <c r="J204" s="453" t="s">
        <v>67</v>
      </c>
      <c r="K204" s="347">
        <v>1</v>
      </c>
      <c r="L204" s="347"/>
      <c r="M204" s="347">
        <f t="shared" si="2"/>
        <v>1</v>
      </c>
      <c r="N204" s="726"/>
      <c r="O204" s="726"/>
      <c r="P204" s="720">
        <f t="shared" si="3"/>
        <v>0</v>
      </c>
      <c r="Q204" s="720"/>
      <c r="R204" s="720"/>
      <c r="S204" s="720"/>
      <c r="T204" s="238"/>
      <c r="U204" s="45"/>
    </row>
    <row r="205" spans="2:21" ht="30.75" customHeight="1" outlineLevel="1">
      <c r="B205" s="237"/>
      <c r="C205" s="345"/>
      <c r="D205" s="345"/>
      <c r="E205" s="346" t="s">
        <v>2115</v>
      </c>
      <c r="F205" s="719" t="s">
        <v>2129</v>
      </c>
      <c r="G205" s="719"/>
      <c r="H205" s="719"/>
      <c r="I205" s="719"/>
      <c r="J205" s="453" t="s">
        <v>67</v>
      </c>
      <c r="K205" s="347">
        <v>1</v>
      </c>
      <c r="L205" s="347">
        <v>1</v>
      </c>
      <c r="M205" s="347">
        <f t="shared" si="2"/>
        <v>2</v>
      </c>
      <c r="N205" s="726"/>
      <c r="O205" s="726"/>
      <c r="P205" s="720">
        <f t="shared" si="3"/>
        <v>0</v>
      </c>
      <c r="Q205" s="720"/>
      <c r="R205" s="720"/>
      <c r="S205" s="720"/>
      <c r="T205" s="238"/>
      <c r="U205" s="45"/>
    </row>
    <row r="206" spans="2:21" ht="30.75" customHeight="1" outlineLevel="1">
      <c r="B206" s="237"/>
      <c r="C206" s="345"/>
      <c r="D206" s="345"/>
      <c r="E206" s="346" t="s">
        <v>2116</v>
      </c>
      <c r="F206" s="719" t="s">
        <v>2318</v>
      </c>
      <c r="G206" s="719"/>
      <c r="H206" s="719"/>
      <c r="I206" s="719"/>
      <c r="J206" s="453" t="s">
        <v>67</v>
      </c>
      <c r="K206" s="347">
        <v>1</v>
      </c>
      <c r="L206" s="347">
        <v>1</v>
      </c>
      <c r="M206" s="347">
        <f t="shared" si="2"/>
        <v>2</v>
      </c>
      <c r="N206" s="726"/>
      <c r="O206" s="726"/>
      <c r="P206" s="720">
        <f t="shared" si="3"/>
        <v>0</v>
      </c>
      <c r="Q206" s="720"/>
      <c r="R206" s="720"/>
      <c r="S206" s="720"/>
      <c r="T206" s="238"/>
      <c r="U206" s="45"/>
    </row>
    <row r="207" spans="2:21" ht="30.75" customHeight="1" outlineLevel="1">
      <c r="B207" s="237"/>
      <c r="C207" s="345"/>
      <c r="D207" s="345"/>
      <c r="E207" s="346" t="s">
        <v>2117</v>
      </c>
      <c r="F207" s="719" t="s">
        <v>2130</v>
      </c>
      <c r="G207" s="719"/>
      <c r="H207" s="719"/>
      <c r="I207" s="719"/>
      <c r="J207" s="453" t="s">
        <v>67</v>
      </c>
      <c r="K207" s="347"/>
      <c r="L207" s="347">
        <v>1</v>
      </c>
      <c r="M207" s="347">
        <f t="shared" si="2"/>
        <v>1</v>
      </c>
      <c r="N207" s="726"/>
      <c r="O207" s="726"/>
      <c r="P207" s="720">
        <f t="shared" si="3"/>
        <v>0</v>
      </c>
      <c r="Q207" s="720"/>
      <c r="R207" s="720"/>
      <c r="S207" s="720"/>
      <c r="T207" s="238"/>
      <c r="U207" s="45"/>
    </row>
    <row r="208" spans="2:21" outlineLevel="1">
      <c r="B208" s="237"/>
      <c r="C208" s="450"/>
      <c r="D208" s="450"/>
      <c r="E208" s="787" t="s">
        <v>2131</v>
      </c>
      <c r="F208" s="788"/>
      <c r="G208" s="788"/>
      <c r="H208" s="788"/>
      <c r="I208" s="789"/>
      <c r="J208" s="451"/>
      <c r="K208" s="452"/>
      <c r="L208" s="452"/>
      <c r="M208" s="452"/>
      <c r="N208" s="790"/>
      <c r="O208" s="790"/>
      <c r="P208" s="791"/>
      <c r="Q208" s="791"/>
      <c r="R208" s="791"/>
      <c r="S208" s="791"/>
      <c r="T208" s="238"/>
      <c r="U208" s="45"/>
    </row>
    <row r="209" spans="2:21" ht="30.75" customHeight="1" outlineLevel="1">
      <c r="B209" s="237"/>
      <c r="C209" s="345"/>
      <c r="D209" s="345"/>
      <c r="E209" s="346" t="s">
        <v>2118</v>
      </c>
      <c r="F209" s="719" t="s">
        <v>2135</v>
      </c>
      <c r="G209" s="719"/>
      <c r="H209" s="719"/>
      <c r="I209" s="719"/>
      <c r="J209" s="453" t="s">
        <v>63</v>
      </c>
      <c r="K209" s="347">
        <f>2.4*2.31</f>
        <v>5.5439999999999996</v>
      </c>
      <c r="L209" s="347">
        <v>1</v>
      </c>
      <c r="M209" s="347">
        <f>K209*L209</f>
        <v>5.5439999999999996</v>
      </c>
      <c r="N209" s="726"/>
      <c r="O209" s="726"/>
      <c r="P209" s="720">
        <f t="shared" si="3"/>
        <v>0</v>
      </c>
      <c r="Q209" s="720"/>
      <c r="R209" s="720"/>
      <c r="S209" s="720"/>
      <c r="T209" s="238"/>
      <c r="U209" s="45"/>
    </row>
    <row r="210" spans="2:21" ht="30.75" customHeight="1" outlineLevel="1">
      <c r="B210" s="237"/>
      <c r="C210" s="345"/>
      <c r="D210" s="345"/>
      <c r="E210" s="346" t="s">
        <v>2119</v>
      </c>
      <c r="F210" s="719" t="s">
        <v>2136</v>
      </c>
      <c r="G210" s="719"/>
      <c r="H210" s="719"/>
      <c r="I210" s="719"/>
      <c r="J210" s="453" t="s">
        <v>63</v>
      </c>
      <c r="K210" s="347">
        <f>1.4*2.8</f>
        <v>3.9199999999999995</v>
      </c>
      <c r="L210" s="347">
        <v>1</v>
      </c>
      <c r="M210" s="347">
        <f t="shared" ref="M210:M215" si="4">K210*L210</f>
        <v>3.9199999999999995</v>
      </c>
      <c r="N210" s="726"/>
      <c r="O210" s="726"/>
      <c r="P210" s="720">
        <f t="shared" si="3"/>
        <v>0</v>
      </c>
      <c r="Q210" s="720"/>
      <c r="R210" s="720"/>
      <c r="S210" s="720"/>
      <c r="T210" s="238"/>
      <c r="U210" s="45"/>
    </row>
    <row r="211" spans="2:21" outlineLevel="1">
      <c r="B211" s="237"/>
      <c r="C211" s="345"/>
      <c r="D211" s="345"/>
      <c r="E211" s="346" t="s">
        <v>2120</v>
      </c>
      <c r="F211" s="719" t="s">
        <v>2137</v>
      </c>
      <c r="G211" s="719"/>
      <c r="H211" s="719"/>
      <c r="I211" s="719"/>
      <c r="J211" s="453" t="s">
        <v>63</v>
      </c>
      <c r="K211" s="347">
        <f>1.03*2.3</f>
        <v>2.3689999999999998</v>
      </c>
      <c r="L211" s="347">
        <v>1</v>
      </c>
      <c r="M211" s="347">
        <f t="shared" si="4"/>
        <v>2.3689999999999998</v>
      </c>
      <c r="N211" s="726"/>
      <c r="O211" s="726"/>
      <c r="P211" s="720">
        <f t="shared" si="3"/>
        <v>0</v>
      </c>
      <c r="Q211" s="720"/>
      <c r="R211" s="720"/>
      <c r="S211" s="720"/>
      <c r="T211" s="238"/>
      <c r="U211" s="45"/>
    </row>
    <row r="212" spans="2:21" outlineLevel="1">
      <c r="B212" s="237"/>
      <c r="C212" s="450"/>
      <c r="D212" s="450"/>
      <c r="E212" s="787" t="s">
        <v>2138</v>
      </c>
      <c r="F212" s="788"/>
      <c r="G212" s="788"/>
      <c r="H212" s="788"/>
      <c r="I212" s="789"/>
      <c r="J212" s="451"/>
      <c r="K212" s="452"/>
      <c r="L212" s="452"/>
      <c r="M212" s="452"/>
      <c r="N212" s="790"/>
      <c r="O212" s="790"/>
      <c r="P212" s="791"/>
      <c r="Q212" s="791"/>
      <c r="R212" s="791"/>
      <c r="S212" s="791"/>
      <c r="T212" s="238"/>
      <c r="U212" s="45"/>
    </row>
    <row r="213" spans="2:21" outlineLevel="1">
      <c r="B213" s="237"/>
      <c r="C213" s="345"/>
      <c r="D213" s="345"/>
      <c r="E213" s="346" t="s">
        <v>2132</v>
      </c>
      <c r="F213" s="719" t="s">
        <v>2139</v>
      </c>
      <c r="G213" s="719"/>
      <c r="H213" s="719"/>
      <c r="I213" s="719"/>
      <c r="J213" s="453" t="s">
        <v>63</v>
      </c>
      <c r="K213" s="347">
        <f>1.7*2.6</f>
        <v>4.42</v>
      </c>
      <c r="L213" s="347">
        <v>2</v>
      </c>
      <c r="M213" s="347">
        <f t="shared" si="4"/>
        <v>8.84</v>
      </c>
      <c r="N213" s="726"/>
      <c r="O213" s="726"/>
      <c r="P213" s="720">
        <f t="shared" si="3"/>
        <v>0</v>
      </c>
      <c r="Q213" s="720"/>
      <c r="R213" s="720"/>
      <c r="S213" s="720"/>
      <c r="T213" s="238"/>
      <c r="U213" s="45"/>
    </row>
    <row r="214" spans="2:21" ht="30.75" customHeight="1" outlineLevel="1">
      <c r="B214" s="237"/>
      <c r="C214" s="345"/>
      <c r="D214" s="345"/>
      <c r="E214" s="346" t="s">
        <v>2133</v>
      </c>
      <c r="F214" s="719" t="s">
        <v>2140</v>
      </c>
      <c r="G214" s="719"/>
      <c r="H214" s="719"/>
      <c r="I214" s="719"/>
      <c r="J214" s="453" t="s">
        <v>63</v>
      </c>
      <c r="K214" s="347">
        <f>1.7*2.6</f>
        <v>4.42</v>
      </c>
      <c r="L214" s="347">
        <v>1</v>
      </c>
      <c r="M214" s="347">
        <f t="shared" si="4"/>
        <v>4.42</v>
      </c>
      <c r="N214" s="726"/>
      <c r="O214" s="726"/>
      <c r="P214" s="720">
        <f t="shared" si="3"/>
        <v>0</v>
      </c>
      <c r="Q214" s="720"/>
      <c r="R214" s="720"/>
      <c r="S214" s="720"/>
      <c r="T214" s="238"/>
      <c r="U214" s="45"/>
    </row>
    <row r="215" spans="2:21" outlineLevel="1">
      <c r="B215" s="237"/>
      <c r="C215" s="345"/>
      <c r="D215" s="345"/>
      <c r="E215" s="346" t="s">
        <v>2134</v>
      </c>
      <c r="F215" s="719" t="s">
        <v>2141</v>
      </c>
      <c r="G215" s="719"/>
      <c r="H215" s="719"/>
      <c r="I215" s="719"/>
      <c r="J215" s="453" t="s">
        <v>63</v>
      </c>
      <c r="K215" s="347">
        <f>1.855*2.6+1.18*2.6</f>
        <v>7.891</v>
      </c>
      <c r="L215" s="347">
        <v>1</v>
      </c>
      <c r="M215" s="347">
        <f t="shared" si="4"/>
        <v>7.891</v>
      </c>
      <c r="N215" s="726"/>
      <c r="O215" s="726"/>
      <c r="P215" s="720">
        <f t="shared" si="3"/>
        <v>0</v>
      </c>
      <c r="Q215" s="720"/>
      <c r="R215" s="720"/>
      <c r="S215" s="720"/>
      <c r="T215" s="238"/>
      <c r="U215" s="45"/>
    </row>
    <row r="216" spans="2:21" s="341" customFormat="1" ht="12.75">
      <c r="B216" s="340"/>
      <c r="C216" s="447"/>
      <c r="D216" s="344" t="s">
        <v>2142</v>
      </c>
      <c r="E216" s="448"/>
      <c r="F216" s="344"/>
      <c r="G216" s="344"/>
      <c r="H216" s="344"/>
      <c r="I216" s="344"/>
      <c r="J216" s="344"/>
      <c r="K216" s="344"/>
      <c r="L216" s="344"/>
      <c r="M216" s="344"/>
      <c r="N216" s="72"/>
      <c r="O216" s="72"/>
      <c r="P216" s="734">
        <f>SUM(P217:S234)</f>
        <v>0</v>
      </c>
      <c r="Q216" s="734"/>
      <c r="R216" s="734"/>
      <c r="S216" s="734"/>
      <c r="T216" s="342"/>
      <c r="U216" s="45"/>
    </row>
    <row r="217" spans="2:21" outlineLevel="1">
      <c r="B217" s="237"/>
      <c r="C217" s="345"/>
      <c r="D217" s="345"/>
      <c r="E217" s="346" t="s">
        <v>491</v>
      </c>
      <c r="F217" s="719" t="s">
        <v>2143</v>
      </c>
      <c r="G217" s="719"/>
      <c r="H217" s="719"/>
      <c r="I217" s="719"/>
      <c r="J217" s="453" t="s">
        <v>68</v>
      </c>
      <c r="K217" s="347"/>
      <c r="L217" s="347"/>
      <c r="M217" s="347">
        <v>88</v>
      </c>
      <c r="N217" s="726"/>
      <c r="O217" s="726"/>
      <c r="P217" s="720">
        <f>ROUND(N217*M217,2)</f>
        <v>0</v>
      </c>
      <c r="Q217" s="720"/>
      <c r="R217" s="720"/>
      <c r="S217" s="720"/>
      <c r="T217" s="238"/>
      <c r="U217" s="45"/>
    </row>
    <row r="218" spans="2:21" ht="34.5" customHeight="1" outlineLevel="1">
      <c r="B218" s="237"/>
      <c r="C218" s="345"/>
      <c r="D218" s="345"/>
      <c r="E218" s="346" t="s">
        <v>492</v>
      </c>
      <c r="F218" s="719" t="s">
        <v>2144</v>
      </c>
      <c r="G218" s="719"/>
      <c r="H218" s="719"/>
      <c r="I218" s="719"/>
      <c r="J218" s="453" t="s">
        <v>68</v>
      </c>
      <c r="K218" s="347"/>
      <c r="L218" s="347"/>
      <c r="M218" s="347">
        <v>38</v>
      </c>
      <c r="N218" s="726"/>
      <c r="O218" s="726"/>
      <c r="P218" s="720">
        <f>ROUND(N218*M218,2)</f>
        <v>0</v>
      </c>
      <c r="Q218" s="720"/>
      <c r="R218" s="720"/>
      <c r="S218" s="720"/>
      <c r="T218" s="238"/>
      <c r="U218" s="45"/>
    </row>
    <row r="219" spans="2:21" outlineLevel="1">
      <c r="B219" s="237"/>
      <c r="C219" s="345"/>
      <c r="D219" s="345"/>
      <c r="E219" s="346" t="s">
        <v>493</v>
      </c>
      <c r="F219" s="719" t="s">
        <v>2145</v>
      </c>
      <c r="G219" s="719"/>
      <c r="H219" s="719"/>
      <c r="I219" s="719"/>
      <c r="J219" s="453" t="s">
        <v>68</v>
      </c>
      <c r="K219" s="347"/>
      <c r="L219" s="347"/>
      <c r="M219" s="347">
        <v>10</v>
      </c>
      <c r="N219" s="726"/>
      <c r="O219" s="726"/>
      <c r="P219" s="720">
        <f t="shared" ref="P219:P230" si="5">ROUND(N219*M219,2)</f>
        <v>0</v>
      </c>
      <c r="Q219" s="720"/>
      <c r="R219" s="720"/>
      <c r="S219" s="720"/>
      <c r="T219" s="238"/>
      <c r="U219" s="45"/>
    </row>
    <row r="220" spans="2:21" outlineLevel="1">
      <c r="B220" s="237"/>
      <c r="C220" s="345"/>
      <c r="D220" s="345"/>
      <c r="E220" s="346" t="s">
        <v>494</v>
      </c>
      <c r="F220" s="719" t="s">
        <v>2146</v>
      </c>
      <c r="G220" s="719"/>
      <c r="H220" s="719"/>
      <c r="I220" s="719"/>
      <c r="J220" s="453" t="s">
        <v>68</v>
      </c>
      <c r="K220" s="347"/>
      <c r="L220" s="347"/>
      <c r="M220" s="347">
        <v>7</v>
      </c>
      <c r="N220" s="726"/>
      <c r="O220" s="726"/>
      <c r="P220" s="720">
        <f t="shared" si="5"/>
        <v>0</v>
      </c>
      <c r="Q220" s="720"/>
      <c r="R220" s="720"/>
      <c r="S220" s="720"/>
      <c r="T220" s="238"/>
      <c r="U220" s="45"/>
    </row>
    <row r="221" spans="2:21" outlineLevel="1">
      <c r="B221" s="237"/>
      <c r="C221" s="345"/>
      <c r="D221" s="345"/>
      <c r="E221" s="346" t="s">
        <v>2148</v>
      </c>
      <c r="F221" s="719" t="s">
        <v>2147</v>
      </c>
      <c r="G221" s="719"/>
      <c r="H221" s="719"/>
      <c r="I221" s="719"/>
      <c r="J221" s="453" t="s">
        <v>68</v>
      </c>
      <c r="K221" s="347"/>
      <c r="L221" s="347"/>
      <c r="M221" s="347">
        <v>11</v>
      </c>
      <c r="N221" s="726"/>
      <c r="O221" s="726"/>
      <c r="P221" s="720">
        <f t="shared" si="5"/>
        <v>0</v>
      </c>
      <c r="Q221" s="720"/>
      <c r="R221" s="720"/>
      <c r="S221" s="720"/>
      <c r="T221" s="238"/>
      <c r="U221" s="45"/>
    </row>
    <row r="222" spans="2:21" outlineLevel="1">
      <c r="B222" s="237"/>
      <c r="C222" s="345"/>
      <c r="D222" s="345"/>
      <c r="E222" s="346" t="s">
        <v>2149</v>
      </c>
      <c r="F222" s="719" t="s">
        <v>2150</v>
      </c>
      <c r="G222" s="719"/>
      <c r="H222" s="719"/>
      <c r="I222" s="719"/>
      <c r="J222" s="453" t="s">
        <v>68</v>
      </c>
      <c r="K222" s="347"/>
      <c r="L222" s="347"/>
      <c r="M222" s="347">
        <v>8</v>
      </c>
      <c r="N222" s="726"/>
      <c r="O222" s="726"/>
      <c r="P222" s="720">
        <f>ROUND(N222*M222,2)</f>
        <v>0</v>
      </c>
      <c r="Q222" s="720"/>
      <c r="R222" s="720"/>
      <c r="S222" s="720"/>
      <c r="T222" s="238"/>
      <c r="U222" s="45"/>
    </row>
    <row r="223" spans="2:21" outlineLevel="1">
      <c r="B223" s="237"/>
      <c r="C223" s="345"/>
      <c r="D223" s="345"/>
      <c r="E223" s="346" t="s">
        <v>2151</v>
      </c>
      <c r="F223" s="719" t="s">
        <v>2152</v>
      </c>
      <c r="G223" s="719"/>
      <c r="H223" s="719"/>
      <c r="I223" s="719"/>
      <c r="J223" s="453" t="s">
        <v>68</v>
      </c>
      <c r="K223" s="347"/>
      <c r="L223" s="347"/>
      <c r="M223" s="347">
        <v>3</v>
      </c>
      <c r="N223" s="726"/>
      <c r="O223" s="726"/>
      <c r="P223" s="720">
        <f t="shared" si="5"/>
        <v>0</v>
      </c>
      <c r="Q223" s="720"/>
      <c r="R223" s="720"/>
      <c r="S223" s="720"/>
      <c r="T223" s="238"/>
      <c r="U223" s="45"/>
    </row>
    <row r="224" spans="2:21" s="465" customFormat="1" outlineLevel="1">
      <c r="B224" s="459"/>
      <c r="C224" s="460"/>
      <c r="D224" s="460"/>
      <c r="E224" s="461" t="s">
        <v>2153</v>
      </c>
      <c r="F224" s="795" t="s">
        <v>2154</v>
      </c>
      <c r="G224" s="796"/>
      <c r="H224" s="796"/>
      <c r="I224" s="797"/>
      <c r="J224" s="462" t="s">
        <v>68</v>
      </c>
      <c r="K224" s="463"/>
      <c r="L224" s="463"/>
      <c r="M224" s="463">
        <f>7-M143</f>
        <v>4.9000000000000004</v>
      </c>
      <c r="N224" s="798"/>
      <c r="O224" s="798"/>
      <c r="P224" s="799">
        <f t="shared" si="5"/>
        <v>0</v>
      </c>
      <c r="Q224" s="799"/>
      <c r="R224" s="799"/>
      <c r="S224" s="799"/>
      <c r="T224" s="464"/>
      <c r="U224" s="220"/>
    </row>
    <row r="225" spans="2:21" outlineLevel="1">
      <c r="B225" s="237"/>
      <c r="C225" s="345"/>
      <c r="D225" s="345"/>
      <c r="E225" s="346" t="s">
        <v>2155</v>
      </c>
      <c r="F225" s="719" t="s">
        <v>2157</v>
      </c>
      <c r="G225" s="719"/>
      <c r="H225" s="719"/>
      <c r="I225" s="719"/>
      <c r="J225" s="453" t="s">
        <v>68</v>
      </c>
      <c r="K225" s="347"/>
      <c r="L225" s="347"/>
      <c r="M225" s="347">
        <v>7</v>
      </c>
      <c r="N225" s="726"/>
      <c r="O225" s="726"/>
      <c r="P225" s="720">
        <f>ROUND(N225*M225,2)</f>
        <v>0</v>
      </c>
      <c r="Q225" s="720"/>
      <c r="R225" s="720"/>
      <c r="S225" s="720"/>
      <c r="T225" s="238"/>
      <c r="U225" s="45"/>
    </row>
    <row r="226" spans="2:21" s="333" customFormat="1" ht="11.25" customHeight="1" outlineLevel="1">
      <c r="B226" s="362"/>
      <c r="C226" s="455"/>
      <c r="D226" s="455"/>
      <c r="E226" s="456" t="s">
        <v>2156</v>
      </c>
      <c r="F226" s="792" t="s">
        <v>2530</v>
      </c>
      <c r="G226" s="792"/>
      <c r="H226" s="792"/>
      <c r="I226" s="792"/>
      <c r="J226" s="457"/>
      <c r="K226" s="458"/>
      <c r="L226" s="458"/>
      <c r="M226" s="458"/>
      <c r="N226" s="793"/>
      <c r="O226" s="793"/>
      <c r="P226" s="794"/>
      <c r="Q226" s="794"/>
      <c r="R226" s="794"/>
      <c r="S226" s="794"/>
      <c r="T226" s="365"/>
      <c r="U226" s="211"/>
    </row>
    <row r="227" spans="2:21" s="333" customFormat="1" ht="11.25" customHeight="1" outlineLevel="1">
      <c r="B227" s="362"/>
      <c r="C227" s="455"/>
      <c r="D227" s="455"/>
      <c r="E227" s="456" t="s">
        <v>2159</v>
      </c>
      <c r="F227" s="792" t="s">
        <v>2530</v>
      </c>
      <c r="G227" s="792"/>
      <c r="H227" s="792"/>
      <c r="I227" s="792"/>
      <c r="J227" s="457"/>
      <c r="K227" s="458"/>
      <c r="L227" s="458"/>
      <c r="M227" s="458"/>
      <c r="N227" s="793"/>
      <c r="O227" s="793"/>
      <c r="P227" s="794"/>
      <c r="Q227" s="794"/>
      <c r="R227" s="794"/>
      <c r="S227" s="794"/>
      <c r="T227" s="365"/>
      <c r="U227" s="211"/>
    </row>
    <row r="228" spans="2:21" outlineLevel="1">
      <c r="B228" s="237"/>
      <c r="C228" s="345"/>
      <c r="D228" s="345"/>
      <c r="E228" s="346" t="s">
        <v>2160</v>
      </c>
      <c r="F228" s="719" t="s">
        <v>2162</v>
      </c>
      <c r="G228" s="719"/>
      <c r="H228" s="719"/>
      <c r="I228" s="719"/>
      <c r="J228" s="453" t="s">
        <v>68</v>
      </c>
      <c r="K228" s="347"/>
      <c r="L228" s="347"/>
      <c r="M228" s="347">
        <v>21</v>
      </c>
      <c r="N228" s="726"/>
      <c r="O228" s="726"/>
      <c r="P228" s="720">
        <f>ROUND(N228*M228,2)</f>
        <v>0</v>
      </c>
      <c r="Q228" s="720"/>
      <c r="R228" s="720"/>
      <c r="S228" s="720"/>
      <c r="T228" s="238"/>
      <c r="U228" s="45"/>
    </row>
    <row r="229" spans="2:21" outlineLevel="1">
      <c r="B229" s="237"/>
      <c r="C229" s="345"/>
      <c r="D229" s="345"/>
      <c r="E229" s="346" t="s">
        <v>2163</v>
      </c>
      <c r="F229" s="719" t="s">
        <v>2165</v>
      </c>
      <c r="G229" s="719"/>
      <c r="H229" s="719"/>
      <c r="I229" s="719"/>
      <c r="J229" s="453" t="s">
        <v>67</v>
      </c>
      <c r="K229" s="347"/>
      <c r="L229" s="347"/>
      <c r="M229" s="347">
        <v>1</v>
      </c>
      <c r="N229" s="726"/>
      <c r="O229" s="726"/>
      <c r="P229" s="720">
        <f t="shared" si="5"/>
        <v>0</v>
      </c>
      <c r="Q229" s="720"/>
      <c r="R229" s="720"/>
      <c r="S229" s="720"/>
      <c r="T229" s="238"/>
      <c r="U229" s="45"/>
    </row>
    <row r="230" spans="2:21" outlineLevel="1">
      <c r="B230" s="237"/>
      <c r="C230" s="345"/>
      <c r="D230" s="345"/>
      <c r="E230" s="346" t="s">
        <v>2164</v>
      </c>
      <c r="F230" s="719" t="s">
        <v>2166</v>
      </c>
      <c r="G230" s="719"/>
      <c r="H230" s="719"/>
      <c r="I230" s="719"/>
      <c r="J230" s="453" t="s">
        <v>67</v>
      </c>
      <c r="K230" s="347"/>
      <c r="L230" s="347"/>
      <c r="M230" s="347">
        <v>1</v>
      </c>
      <c r="N230" s="726"/>
      <c r="O230" s="726"/>
      <c r="P230" s="720">
        <f t="shared" si="5"/>
        <v>0</v>
      </c>
      <c r="Q230" s="720"/>
      <c r="R230" s="720"/>
      <c r="S230" s="720"/>
      <c r="T230" s="238"/>
      <c r="U230" s="45"/>
    </row>
    <row r="231" spans="2:21" outlineLevel="1">
      <c r="B231" s="237"/>
      <c r="C231" s="345"/>
      <c r="D231" s="345"/>
      <c r="E231" s="346" t="s">
        <v>2167</v>
      </c>
      <c r="F231" s="719" t="s">
        <v>2171</v>
      </c>
      <c r="G231" s="719"/>
      <c r="H231" s="719"/>
      <c r="I231" s="719"/>
      <c r="J231" s="453" t="s">
        <v>67</v>
      </c>
      <c r="K231" s="347"/>
      <c r="L231" s="347"/>
      <c r="M231" s="347">
        <v>2</v>
      </c>
      <c r="N231" s="726"/>
      <c r="O231" s="726"/>
      <c r="P231" s="720">
        <f>ROUND(N231*M231,2)</f>
        <v>0</v>
      </c>
      <c r="Q231" s="720"/>
      <c r="R231" s="720"/>
      <c r="S231" s="720"/>
      <c r="T231" s="238"/>
      <c r="U231" s="45"/>
    </row>
    <row r="232" spans="2:21" ht="34.5" customHeight="1" outlineLevel="1">
      <c r="B232" s="237"/>
      <c r="C232" s="345"/>
      <c r="D232" s="345"/>
      <c r="E232" s="346" t="s">
        <v>2168</v>
      </c>
      <c r="F232" s="719" t="s">
        <v>2172</v>
      </c>
      <c r="G232" s="719"/>
      <c r="H232" s="719"/>
      <c r="I232" s="719"/>
      <c r="J232" s="453" t="s">
        <v>68</v>
      </c>
      <c r="K232" s="347"/>
      <c r="L232" s="347"/>
      <c r="M232" s="347">
        <v>3</v>
      </c>
      <c r="N232" s="726"/>
      <c r="O232" s="726"/>
      <c r="P232" s="720">
        <f>ROUND(N232*M232,2)</f>
        <v>0</v>
      </c>
      <c r="Q232" s="720"/>
      <c r="R232" s="720"/>
      <c r="S232" s="720"/>
      <c r="T232" s="238"/>
      <c r="U232" s="45"/>
    </row>
    <row r="233" spans="2:21" outlineLevel="1">
      <c r="B233" s="237"/>
      <c r="C233" s="345"/>
      <c r="D233" s="345"/>
      <c r="E233" s="346" t="s">
        <v>2169</v>
      </c>
      <c r="F233" s="719" t="s">
        <v>2173</v>
      </c>
      <c r="G233" s="719"/>
      <c r="H233" s="719"/>
      <c r="I233" s="719"/>
      <c r="J233" s="453" t="s">
        <v>68</v>
      </c>
      <c r="K233" s="347"/>
      <c r="L233" s="347"/>
      <c r="M233" s="347">
        <v>6</v>
      </c>
      <c r="N233" s="726"/>
      <c r="O233" s="726"/>
      <c r="P233" s="720">
        <f>ROUND(N233*M233,2)</f>
        <v>0</v>
      </c>
      <c r="Q233" s="720"/>
      <c r="R233" s="720"/>
      <c r="S233" s="720"/>
      <c r="T233" s="238"/>
      <c r="U233" s="45"/>
    </row>
    <row r="234" spans="2:21" outlineLevel="1">
      <c r="B234" s="237"/>
      <c r="C234" s="345"/>
      <c r="D234" s="345"/>
      <c r="E234" s="346" t="s">
        <v>2170</v>
      </c>
      <c r="F234" s="719" t="s">
        <v>2174</v>
      </c>
      <c r="G234" s="719"/>
      <c r="H234" s="719"/>
      <c r="I234" s="719"/>
      <c r="J234" s="453" t="s">
        <v>68</v>
      </c>
      <c r="K234" s="347"/>
      <c r="L234" s="347"/>
      <c r="M234" s="347">
        <v>3</v>
      </c>
      <c r="N234" s="726"/>
      <c r="O234" s="726"/>
      <c r="P234" s="720">
        <f>ROUND(N234*M234,2)</f>
        <v>0</v>
      </c>
      <c r="Q234" s="720"/>
      <c r="R234" s="720"/>
      <c r="S234" s="720"/>
      <c r="T234" s="238"/>
      <c r="U234" s="45"/>
    </row>
    <row r="235" spans="2:21" s="341" customFormat="1" ht="12.75">
      <c r="B235" s="340"/>
      <c r="C235" s="447"/>
      <c r="D235" s="344" t="s">
        <v>2175</v>
      </c>
      <c r="E235" s="448"/>
      <c r="F235" s="344"/>
      <c r="G235" s="344"/>
      <c r="H235" s="344"/>
      <c r="I235" s="344"/>
      <c r="J235" s="344"/>
      <c r="K235" s="344"/>
      <c r="L235" s="344"/>
      <c r="M235" s="344"/>
      <c r="N235" s="72"/>
      <c r="O235" s="72"/>
      <c r="P235" s="734">
        <f>SUM(P236:S261)</f>
        <v>0</v>
      </c>
      <c r="Q235" s="734"/>
      <c r="R235" s="734"/>
      <c r="S235" s="734"/>
      <c r="T235" s="342"/>
      <c r="U235" s="45"/>
    </row>
    <row r="236" spans="2:21" outlineLevel="1">
      <c r="B236" s="237"/>
      <c r="C236" s="345"/>
      <c r="D236" s="345"/>
      <c r="E236" s="346" t="s">
        <v>495</v>
      </c>
      <c r="F236" s="719" t="s">
        <v>2184</v>
      </c>
      <c r="G236" s="719"/>
      <c r="H236" s="719"/>
      <c r="I236" s="719"/>
      <c r="J236" s="453" t="s">
        <v>67</v>
      </c>
      <c r="K236" s="347"/>
      <c r="L236" s="347"/>
      <c r="M236" s="347">
        <v>1</v>
      </c>
      <c r="N236" s="726"/>
      <c r="O236" s="726"/>
      <c r="P236" s="720">
        <f>ROUND(N236*M236,2)</f>
        <v>0</v>
      </c>
      <c r="Q236" s="720"/>
      <c r="R236" s="720"/>
      <c r="S236" s="720"/>
      <c r="T236" s="238"/>
      <c r="U236" s="45"/>
    </row>
    <row r="237" spans="2:21" outlineLevel="1">
      <c r="B237" s="237"/>
      <c r="C237" s="466"/>
      <c r="D237" s="466"/>
      <c r="E237" s="467" t="s">
        <v>2451</v>
      </c>
      <c r="F237" s="800" t="s">
        <v>2452</v>
      </c>
      <c r="G237" s="800"/>
      <c r="H237" s="800"/>
      <c r="I237" s="800"/>
      <c r="J237" s="468" t="s">
        <v>67</v>
      </c>
      <c r="K237" s="469"/>
      <c r="L237" s="469"/>
      <c r="M237" s="469">
        <v>1</v>
      </c>
      <c r="N237" s="726"/>
      <c r="O237" s="726"/>
      <c r="P237" s="720">
        <f>ROUND(N237*M237,2)</f>
        <v>0</v>
      </c>
      <c r="Q237" s="720"/>
      <c r="R237" s="720"/>
      <c r="S237" s="720"/>
      <c r="T237" s="238"/>
      <c r="U237" s="45"/>
    </row>
    <row r="238" spans="2:21" outlineLevel="1">
      <c r="B238" s="237"/>
      <c r="C238" s="345"/>
      <c r="D238" s="345"/>
      <c r="E238" s="346" t="s">
        <v>496</v>
      </c>
      <c r="F238" s="719" t="s">
        <v>2185</v>
      </c>
      <c r="G238" s="719"/>
      <c r="H238" s="719"/>
      <c r="I238" s="719"/>
      <c r="J238" s="453" t="s">
        <v>67</v>
      </c>
      <c r="K238" s="347"/>
      <c r="L238" s="347"/>
      <c r="M238" s="347">
        <v>1</v>
      </c>
      <c r="N238" s="726"/>
      <c r="O238" s="726"/>
      <c r="P238" s="720">
        <f t="shared" ref="P238:P244" si="6">ROUND(N238*M238,2)</f>
        <v>0</v>
      </c>
      <c r="Q238" s="720"/>
      <c r="R238" s="720"/>
      <c r="S238" s="720"/>
      <c r="T238" s="238"/>
      <c r="U238" s="45"/>
    </row>
    <row r="239" spans="2:21" outlineLevel="1">
      <c r="B239" s="237"/>
      <c r="C239" s="345"/>
      <c r="D239" s="345"/>
      <c r="E239" s="346" t="s">
        <v>2176</v>
      </c>
      <c r="F239" s="719" t="s">
        <v>2186</v>
      </c>
      <c r="G239" s="719"/>
      <c r="H239" s="719"/>
      <c r="I239" s="719"/>
      <c r="J239" s="453" t="s">
        <v>67</v>
      </c>
      <c r="K239" s="347"/>
      <c r="L239" s="347"/>
      <c r="M239" s="347">
        <v>1</v>
      </c>
      <c r="N239" s="726"/>
      <c r="O239" s="726"/>
      <c r="P239" s="720">
        <f t="shared" si="6"/>
        <v>0</v>
      </c>
      <c r="Q239" s="720"/>
      <c r="R239" s="720"/>
      <c r="S239" s="720"/>
      <c r="T239" s="238"/>
      <c r="U239" s="45"/>
    </row>
    <row r="240" spans="2:21" outlineLevel="1">
      <c r="B240" s="237"/>
      <c r="C240" s="345"/>
      <c r="D240" s="345"/>
      <c r="E240" s="346" t="s">
        <v>2177</v>
      </c>
      <c r="F240" s="719" t="s">
        <v>2187</v>
      </c>
      <c r="G240" s="719"/>
      <c r="H240" s="719"/>
      <c r="I240" s="719"/>
      <c r="J240" s="453" t="s">
        <v>67</v>
      </c>
      <c r="K240" s="347"/>
      <c r="L240" s="347"/>
      <c r="M240" s="347">
        <v>1</v>
      </c>
      <c r="N240" s="726"/>
      <c r="O240" s="726"/>
      <c r="P240" s="720">
        <f t="shared" si="6"/>
        <v>0</v>
      </c>
      <c r="Q240" s="720"/>
      <c r="R240" s="720"/>
      <c r="S240" s="720"/>
      <c r="T240" s="238"/>
      <c r="U240" s="45"/>
    </row>
    <row r="241" spans="2:21" s="333" customFormat="1" ht="11.25" customHeight="1" outlineLevel="1">
      <c r="B241" s="362"/>
      <c r="C241" s="455"/>
      <c r="D241" s="455"/>
      <c r="E241" s="456" t="s">
        <v>2178</v>
      </c>
      <c r="F241" s="792" t="s">
        <v>2530</v>
      </c>
      <c r="G241" s="792"/>
      <c r="H241" s="792"/>
      <c r="I241" s="792"/>
      <c r="J241" s="457"/>
      <c r="K241" s="458"/>
      <c r="L241" s="458"/>
      <c r="M241" s="458"/>
      <c r="N241" s="793"/>
      <c r="O241" s="793"/>
      <c r="P241" s="794"/>
      <c r="Q241" s="794"/>
      <c r="R241" s="794"/>
      <c r="S241" s="794"/>
      <c r="T241" s="365"/>
      <c r="U241" s="211"/>
    </row>
    <row r="242" spans="2:21" s="333" customFormat="1" ht="11.25" customHeight="1" outlineLevel="1">
      <c r="B242" s="362"/>
      <c r="C242" s="455"/>
      <c r="D242" s="455"/>
      <c r="E242" s="456" t="s">
        <v>2179</v>
      </c>
      <c r="F242" s="792" t="s">
        <v>2530</v>
      </c>
      <c r="G242" s="792"/>
      <c r="H242" s="792"/>
      <c r="I242" s="792"/>
      <c r="J242" s="457"/>
      <c r="K242" s="458"/>
      <c r="L242" s="458"/>
      <c r="M242" s="458"/>
      <c r="N242" s="793"/>
      <c r="O242" s="793"/>
      <c r="P242" s="794"/>
      <c r="Q242" s="794"/>
      <c r="R242" s="794"/>
      <c r="S242" s="794"/>
      <c r="T242" s="365"/>
      <c r="U242" s="211"/>
    </row>
    <row r="243" spans="2:21" outlineLevel="1">
      <c r="B243" s="237"/>
      <c r="C243" s="345"/>
      <c r="D243" s="345"/>
      <c r="E243" s="346" t="s">
        <v>2180</v>
      </c>
      <c r="F243" s="760" t="s">
        <v>2190</v>
      </c>
      <c r="G243" s="761"/>
      <c r="H243" s="761"/>
      <c r="I243" s="762"/>
      <c r="J243" s="453" t="s">
        <v>67</v>
      </c>
      <c r="K243" s="347"/>
      <c r="L243" s="347"/>
      <c r="M243" s="347">
        <v>2</v>
      </c>
      <c r="N243" s="726"/>
      <c r="O243" s="726"/>
      <c r="P243" s="720">
        <f t="shared" si="6"/>
        <v>0</v>
      </c>
      <c r="Q243" s="720"/>
      <c r="R243" s="720"/>
      <c r="S243" s="720"/>
      <c r="T243" s="238"/>
      <c r="U243" s="45"/>
    </row>
    <row r="244" spans="2:21" outlineLevel="1">
      <c r="B244" s="237"/>
      <c r="C244" s="345"/>
      <c r="D244" s="345"/>
      <c r="E244" s="346" t="s">
        <v>2181</v>
      </c>
      <c r="F244" s="760" t="s">
        <v>2190</v>
      </c>
      <c r="G244" s="761"/>
      <c r="H244" s="761"/>
      <c r="I244" s="762"/>
      <c r="J244" s="453" t="s">
        <v>67</v>
      </c>
      <c r="K244" s="347"/>
      <c r="L244" s="347"/>
      <c r="M244" s="347">
        <v>3</v>
      </c>
      <c r="N244" s="726"/>
      <c r="O244" s="726"/>
      <c r="P244" s="720">
        <f t="shared" si="6"/>
        <v>0</v>
      </c>
      <c r="Q244" s="720"/>
      <c r="R244" s="720"/>
      <c r="S244" s="720"/>
      <c r="T244" s="238"/>
      <c r="U244" s="45"/>
    </row>
    <row r="245" spans="2:21" outlineLevel="1">
      <c r="B245" s="237"/>
      <c r="C245" s="345"/>
      <c r="D245" s="345"/>
      <c r="E245" s="346" t="s">
        <v>2182</v>
      </c>
      <c r="F245" s="760" t="s">
        <v>2193</v>
      </c>
      <c r="G245" s="761"/>
      <c r="H245" s="761"/>
      <c r="I245" s="762"/>
      <c r="J245" s="453" t="s">
        <v>67</v>
      </c>
      <c r="K245" s="347"/>
      <c r="L245" s="347"/>
      <c r="M245" s="347">
        <v>1</v>
      </c>
      <c r="N245" s="726"/>
      <c r="O245" s="726"/>
      <c r="P245" s="720">
        <f>ROUND(N245*M245,2)</f>
        <v>0</v>
      </c>
      <c r="Q245" s="720"/>
      <c r="R245" s="720"/>
      <c r="S245" s="720"/>
      <c r="T245" s="238"/>
      <c r="U245" s="45"/>
    </row>
    <row r="246" spans="2:21" outlineLevel="1">
      <c r="B246" s="237"/>
      <c r="C246" s="345"/>
      <c r="D246" s="345"/>
      <c r="E246" s="346" t="s">
        <v>2183</v>
      </c>
      <c r="F246" s="760" t="s">
        <v>2194</v>
      </c>
      <c r="G246" s="761"/>
      <c r="H246" s="761"/>
      <c r="I246" s="762"/>
      <c r="J246" s="453" t="s">
        <v>67</v>
      </c>
      <c r="K246" s="347"/>
      <c r="L246" s="347"/>
      <c r="M246" s="347">
        <v>1</v>
      </c>
      <c r="N246" s="726"/>
      <c r="O246" s="726"/>
      <c r="P246" s="720">
        <f>ROUND(N246*M246,2)</f>
        <v>0</v>
      </c>
      <c r="Q246" s="720"/>
      <c r="R246" s="720"/>
      <c r="S246" s="720"/>
      <c r="T246" s="238"/>
      <c r="U246" s="45"/>
    </row>
    <row r="247" spans="2:21" s="333" customFormat="1" ht="11.25" customHeight="1" outlineLevel="1">
      <c r="B247" s="362"/>
      <c r="C247" s="455"/>
      <c r="D247" s="455"/>
      <c r="E247" s="456" t="s">
        <v>2195</v>
      </c>
      <c r="F247" s="792" t="s">
        <v>2530</v>
      </c>
      <c r="G247" s="792"/>
      <c r="H247" s="792"/>
      <c r="I247" s="792"/>
      <c r="J247" s="457"/>
      <c r="K247" s="458"/>
      <c r="L247" s="458"/>
      <c r="M247" s="458"/>
      <c r="N247" s="793"/>
      <c r="O247" s="793"/>
      <c r="P247" s="794"/>
      <c r="Q247" s="794"/>
      <c r="R247" s="794"/>
      <c r="S247" s="794"/>
      <c r="T247" s="365"/>
      <c r="U247" s="211"/>
    </row>
    <row r="248" spans="2:21" outlineLevel="1">
      <c r="B248" s="237"/>
      <c r="C248" s="345"/>
      <c r="D248" s="345"/>
      <c r="E248" s="346" t="s">
        <v>2197</v>
      </c>
      <c r="F248" s="760" t="s">
        <v>2196</v>
      </c>
      <c r="G248" s="761"/>
      <c r="H248" s="761"/>
      <c r="I248" s="762"/>
      <c r="J248" s="453" t="s">
        <v>67</v>
      </c>
      <c r="K248" s="347"/>
      <c r="L248" s="347"/>
      <c r="M248" s="347">
        <v>1</v>
      </c>
      <c r="N248" s="726"/>
      <c r="O248" s="726"/>
      <c r="P248" s="720">
        <f t="shared" ref="P248:P261" si="7">ROUND(N248*M248,2)</f>
        <v>0</v>
      </c>
      <c r="Q248" s="720"/>
      <c r="R248" s="720"/>
      <c r="S248" s="720"/>
      <c r="T248" s="238"/>
      <c r="U248" s="45"/>
    </row>
    <row r="249" spans="2:21" outlineLevel="1">
      <c r="B249" s="237"/>
      <c r="C249" s="345"/>
      <c r="D249" s="345"/>
      <c r="E249" s="346" t="s">
        <v>2198</v>
      </c>
      <c r="F249" s="760" t="s">
        <v>2196</v>
      </c>
      <c r="G249" s="761"/>
      <c r="H249" s="761"/>
      <c r="I249" s="762"/>
      <c r="J249" s="453" t="s">
        <v>67</v>
      </c>
      <c r="K249" s="347"/>
      <c r="L249" s="347"/>
      <c r="M249" s="347">
        <v>1</v>
      </c>
      <c r="N249" s="726"/>
      <c r="O249" s="726"/>
      <c r="P249" s="720">
        <f t="shared" si="7"/>
        <v>0</v>
      </c>
      <c r="Q249" s="720"/>
      <c r="R249" s="720"/>
      <c r="S249" s="720"/>
      <c r="T249" s="238"/>
      <c r="U249" s="45"/>
    </row>
    <row r="250" spans="2:21" outlineLevel="1">
      <c r="B250" s="237"/>
      <c r="C250" s="345"/>
      <c r="D250" s="345"/>
      <c r="E250" s="346" t="s">
        <v>2199</v>
      </c>
      <c r="F250" s="760" t="s">
        <v>2196</v>
      </c>
      <c r="G250" s="761"/>
      <c r="H250" s="761"/>
      <c r="I250" s="762"/>
      <c r="J250" s="453" t="s">
        <v>67</v>
      </c>
      <c r="K250" s="347"/>
      <c r="L250" s="347"/>
      <c r="M250" s="347">
        <v>1</v>
      </c>
      <c r="N250" s="726"/>
      <c r="O250" s="726"/>
      <c r="P250" s="720">
        <f t="shared" si="7"/>
        <v>0</v>
      </c>
      <c r="Q250" s="720"/>
      <c r="R250" s="720"/>
      <c r="S250" s="720"/>
      <c r="T250" s="238"/>
      <c r="U250" s="45"/>
    </row>
    <row r="251" spans="2:21" outlineLevel="1">
      <c r="B251" s="237"/>
      <c r="C251" s="345"/>
      <c r="D251" s="345"/>
      <c r="E251" s="346" t="s">
        <v>2200</v>
      </c>
      <c r="F251" s="760" t="s">
        <v>2196</v>
      </c>
      <c r="G251" s="761"/>
      <c r="H251" s="761"/>
      <c r="I251" s="762"/>
      <c r="J251" s="453" t="s">
        <v>67</v>
      </c>
      <c r="K251" s="347"/>
      <c r="L251" s="347"/>
      <c r="M251" s="347">
        <v>1</v>
      </c>
      <c r="N251" s="726"/>
      <c r="O251" s="726"/>
      <c r="P251" s="720">
        <f t="shared" si="7"/>
        <v>0</v>
      </c>
      <c r="Q251" s="720"/>
      <c r="R251" s="720"/>
      <c r="S251" s="720"/>
      <c r="T251" s="238"/>
      <c r="U251" s="45"/>
    </row>
    <row r="252" spans="2:21" outlineLevel="1">
      <c r="B252" s="237"/>
      <c r="C252" s="345"/>
      <c r="D252" s="345"/>
      <c r="E252" s="346" t="s">
        <v>2201</v>
      </c>
      <c r="F252" s="760" t="s">
        <v>2196</v>
      </c>
      <c r="G252" s="761"/>
      <c r="H252" s="761"/>
      <c r="I252" s="762"/>
      <c r="J252" s="453" t="s">
        <v>67</v>
      </c>
      <c r="K252" s="347"/>
      <c r="L252" s="347"/>
      <c r="M252" s="347">
        <v>1</v>
      </c>
      <c r="N252" s="726"/>
      <c r="O252" s="726"/>
      <c r="P252" s="720">
        <f t="shared" si="7"/>
        <v>0</v>
      </c>
      <c r="Q252" s="720"/>
      <c r="R252" s="720"/>
      <c r="S252" s="720"/>
      <c r="T252" s="238"/>
      <c r="U252" s="45"/>
    </row>
    <row r="253" spans="2:21" outlineLevel="1">
      <c r="B253" s="237"/>
      <c r="C253" s="345"/>
      <c r="D253" s="345"/>
      <c r="E253" s="346" t="s">
        <v>2202</v>
      </c>
      <c r="F253" s="760" t="s">
        <v>2196</v>
      </c>
      <c r="G253" s="761"/>
      <c r="H253" s="761"/>
      <c r="I253" s="762"/>
      <c r="J253" s="453" t="s">
        <v>67</v>
      </c>
      <c r="K253" s="347"/>
      <c r="L253" s="347"/>
      <c r="M253" s="347">
        <v>1</v>
      </c>
      <c r="N253" s="726"/>
      <c r="O253" s="726"/>
      <c r="P253" s="720">
        <f t="shared" si="7"/>
        <v>0</v>
      </c>
      <c r="Q253" s="720"/>
      <c r="R253" s="720"/>
      <c r="S253" s="720"/>
      <c r="T253" s="238"/>
      <c r="U253" s="45"/>
    </row>
    <row r="254" spans="2:21" outlineLevel="1">
      <c r="B254" s="237"/>
      <c r="C254" s="345"/>
      <c r="D254" s="345"/>
      <c r="E254" s="346" t="s">
        <v>2203</v>
      </c>
      <c r="F254" s="760" t="s">
        <v>2196</v>
      </c>
      <c r="G254" s="761"/>
      <c r="H254" s="761"/>
      <c r="I254" s="762"/>
      <c r="J254" s="453" t="s">
        <v>67</v>
      </c>
      <c r="K254" s="347"/>
      <c r="L254" s="347"/>
      <c r="M254" s="347">
        <v>1</v>
      </c>
      <c r="N254" s="726"/>
      <c r="O254" s="726"/>
      <c r="P254" s="720">
        <f t="shared" si="7"/>
        <v>0</v>
      </c>
      <c r="Q254" s="720"/>
      <c r="R254" s="720"/>
      <c r="S254" s="720"/>
      <c r="T254" s="238"/>
      <c r="U254" s="45"/>
    </row>
    <row r="255" spans="2:21" outlineLevel="1">
      <c r="B255" s="237"/>
      <c r="C255" s="345"/>
      <c r="D255" s="345"/>
      <c r="E255" s="346" t="s">
        <v>2204</v>
      </c>
      <c r="F255" s="760" t="s">
        <v>2207</v>
      </c>
      <c r="G255" s="761"/>
      <c r="H255" s="761"/>
      <c r="I255" s="762"/>
      <c r="J255" s="453" t="s">
        <v>67</v>
      </c>
      <c r="K255" s="347"/>
      <c r="L255" s="347"/>
      <c r="M255" s="347">
        <v>1</v>
      </c>
      <c r="N255" s="726"/>
      <c r="O255" s="726"/>
      <c r="P255" s="720">
        <f t="shared" si="7"/>
        <v>0</v>
      </c>
      <c r="Q255" s="720"/>
      <c r="R255" s="720"/>
      <c r="S255" s="720"/>
      <c r="T255" s="238"/>
      <c r="U255" s="45"/>
    </row>
    <row r="256" spans="2:21" ht="11.25" customHeight="1" outlineLevel="1">
      <c r="B256" s="237"/>
      <c r="C256" s="345"/>
      <c r="D256" s="345"/>
      <c r="E256" s="346" t="s">
        <v>2205</v>
      </c>
      <c r="F256" s="760" t="s">
        <v>2207</v>
      </c>
      <c r="G256" s="761"/>
      <c r="H256" s="761"/>
      <c r="I256" s="762"/>
      <c r="J256" s="453" t="s">
        <v>67</v>
      </c>
      <c r="K256" s="347"/>
      <c r="L256" s="347"/>
      <c r="M256" s="347">
        <v>1</v>
      </c>
      <c r="N256" s="726"/>
      <c r="O256" s="726"/>
      <c r="P256" s="720">
        <f t="shared" si="7"/>
        <v>0</v>
      </c>
      <c r="Q256" s="720"/>
      <c r="R256" s="720"/>
      <c r="S256" s="720"/>
      <c r="T256" s="238"/>
      <c r="U256" s="45"/>
    </row>
    <row r="257" spans="2:22" ht="11.25" customHeight="1" outlineLevel="1">
      <c r="B257" s="237"/>
      <c r="C257" s="345"/>
      <c r="D257" s="345"/>
      <c r="E257" s="346" t="s">
        <v>2206</v>
      </c>
      <c r="F257" s="760" t="s">
        <v>2207</v>
      </c>
      <c r="G257" s="761"/>
      <c r="H257" s="761"/>
      <c r="I257" s="762"/>
      <c r="J257" s="453" t="s">
        <v>67</v>
      </c>
      <c r="K257" s="347"/>
      <c r="L257" s="347"/>
      <c r="M257" s="347">
        <v>1</v>
      </c>
      <c r="N257" s="726"/>
      <c r="O257" s="726"/>
      <c r="P257" s="720">
        <f t="shared" si="7"/>
        <v>0</v>
      </c>
      <c r="Q257" s="720"/>
      <c r="R257" s="720"/>
      <c r="S257" s="720"/>
      <c r="T257" s="238"/>
      <c r="U257" s="45"/>
    </row>
    <row r="258" spans="2:22" ht="11.25" customHeight="1" outlineLevel="1">
      <c r="B258" s="237"/>
      <c r="C258" s="345"/>
      <c r="D258" s="345"/>
      <c r="E258" s="346" t="s">
        <v>2191</v>
      </c>
      <c r="F258" s="760" t="s">
        <v>2207</v>
      </c>
      <c r="G258" s="761"/>
      <c r="H258" s="761"/>
      <c r="I258" s="762"/>
      <c r="J258" s="453" t="s">
        <v>67</v>
      </c>
      <c r="K258" s="347"/>
      <c r="L258" s="347"/>
      <c r="M258" s="347">
        <v>1</v>
      </c>
      <c r="N258" s="726"/>
      <c r="O258" s="726"/>
      <c r="P258" s="720">
        <f t="shared" si="7"/>
        <v>0</v>
      </c>
      <c r="Q258" s="720"/>
      <c r="R258" s="720"/>
      <c r="S258" s="720"/>
      <c r="T258" s="238"/>
      <c r="U258" s="45"/>
    </row>
    <row r="259" spans="2:22" outlineLevel="1">
      <c r="B259" s="237"/>
      <c r="C259" s="345"/>
      <c r="D259" s="345"/>
      <c r="E259" s="346" t="s">
        <v>2192</v>
      </c>
      <c r="F259" s="760" t="s">
        <v>2208</v>
      </c>
      <c r="G259" s="761"/>
      <c r="H259" s="761"/>
      <c r="I259" s="762"/>
      <c r="J259" s="453" t="s">
        <v>67</v>
      </c>
      <c r="K259" s="347"/>
      <c r="L259" s="347"/>
      <c r="M259" s="347">
        <v>1</v>
      </c>
      <c r="N259" s="726"/>
      <c r="O259" s="726"/>
      <c r="P259" s="720">
        <f t="shared" si="7"/>
        <v>0</v>
      </c>
      <c r="Q259" s="720"/>
      <c r="R259" s="720"/>
      <c r="S259" s="720"/>
      <c r="T259" s="238"/>
      <c r="U259" s="45"/>
    </row>
    <row r="260" spans="2:22" outlineLevel="1">
      <c r="B260" s="237"/>
      <c r="C260" s="345"/>
      <c r="D260" s="345"/>
      <c r="E260" s="346" t="s">
        <v>2319</v>
      </c>
      <c r="F260" s="760" t="s">
        <v>2321</v>
      </c>
      <c r="G260" s="761"/>
      <c r="H260" s="761"/>
      <c r="I260" s="762"/>
      <c r="J260" s="453" t="s">
        <v>68</v>
      </c>
      <c r="K260" s="347"/>
      <c r="L260" s="347"/>
      <c r="M260" s="347">
        <v>6</v>
      </c>
      <c r="N260" s="726"/>
      <c r="O260" s="726"/>
      <c r="P260" s="720">
        <f t="shared" si="7"/>
        <v>0</v>
      </c>
      <c r="Q260" s="720"/>
      <c r="R260" s="720"/>
      <c r="S260" s="720"/>
      <c r="T260" s="238"/>
      <c r="U260" s="45"/>
    </row>
    <row r="261" spans="2:22" outlineLevel="1">
      <c r="B261" s="237"/>
      <c r="C261" s="345"/>
      <c r="D261" s="345"/>
      <c r="E261" s="346" t="s">
        <v>2320</v>
      </c>
      <c r="F261" s="760" t="s">
        <v>2322</v>
      </c>
      <c r="G261" s="761"/>
      <c r="H261" s="761"/>
      <c r="I261" s="762"/>
      <c r="J261" s="453" t="s">
        <v>67</v>
      </c>
      <c r="K261" s="347"/>
      <c r="L261" s="347"/>
      <c r="M261" s="347">
        <v>1</v>
      </c>
      <c r="N261" s="726"/>
      <c r="O261" s="726"/>
      <c r="P261" s="720">
        <f t="shared" si="7"/>
        <v>0</v>
      </c>
      <c r="Q261" s="720"/>
      <c r="R261" s="720"/>
      <c r="S261" s="720"/>
      <c r="T261" s="238"/>
      <c r="U261" s="45"/>
    </row>
    <row r="262" spans="2:22" s="341" customFormat="1" ht="12.75">
      <c r="B262" s="340"/>
      <c r="C262" s="447"/>
      <c r="D262" s="344" t="s">
        <v>2209</v>
      </c>
      <c r="E262" s="448"/>
      <c r="F262" s="344"/>
      <c r="G262" s="344"/>
      <c r="H262" s="344"/>
      <c r="I262" s="344"/>
      <c r="J262" s="344"/>
      <c r="K262" s="344"/>
      <c r="L262" s="344"/>
      <c r="M262" s="344"/>
      <c r="N262" s="72"/>
      <c r="O262" s="72"/>
      <c r="P262" s="734">
        <f>SUM(P263:S266)</f>
        <v>0</v>
      </c>
      <c r="Q262" s="734"/>
      <c r="R262" s="734"/>
      <c r="S262" s="734"/>
      <c r="T262" s="342"/>
      <c r="U262" s="45"/>
    </row>
    <row r="263" spans="2:22" s="333" customFormat="1" ht="11.25" customHeight="1" outlineLevel="1">
      <c r="B263" s="362"/>
      <c r="C263" s="455"/>
      <c r="D263" s="455"/>
      <c r="E263" s="456" t="s">
        <v>2210</v>
      </c>
      <c r="F263" s="792" t="s">
        <v>2530</v>
      </c>
      <c r="G263" s="792"/>
      <c r="H263" s="792"/>
      <c r="I263" s="792"/>
      <c r="J263" s="457"/>
      <c r="K263" s="458"/>
      <c r="L263" s="458"/>
      <c r="M263" s="458"/>
      <c r="N263" s="793"/>
      <c r="O263" s="793"/>
      <c r="P263" s="794"/>
      <c r="Q263" s="794"/>
      <c r="R263" s="794"/>
      <c r="S263" s="794"/>
      <c r="T263" s="365"/>
      <c r="U263" s="211"/>
    </row>
    <row r="264" spans="2:22" ht="11.25" customHeight="1" outlineLevel="1">
      <c r="B264" s="237"/>
      <c r="C264" s="345"/>
      <c r="D264" s="345"/>
      <c r="E264" s="346" t="s">
        <v>2211</v>
      </c>
      <c r="F264" s="760" t="s">
        <v>2215</v>
      </c>
      <c r="G264" s="761"/>
      <c r="H264" s="761"/>
      <c r="I264" s="762"/>
      <c r="J264" s="453" t="s">
        <v>67</v>
      </c>
      <c r="K264" s="347"/>
      <c r="L264" s="347"/>
      <c r="M264" s="347">
        <v>19</v>
      </c>
      <c r="N264" s="726"/>
      <c r="O264" s="726"/>
      <c r="P264" s="720">
        <f>ROUND(N264*M264,2)</f>
        <v>0</v>
      </c>
      <c r="Q264" s="720"/>
      <c r="R264" s="720"/>
      <c r="S264" s="720"/>
      <c r="T264" s="238"/>
      <c r="U264" s="45"/>
    </row>
    <row r="265" spans="2:22" ht="11.25" customHeight="1" outlineLevel="1">
      <c r="B265" s="237"/>
      <c r="C265" s="345"/>
      <c r="D265" s="345"/>
      <c r="E265" s="346" t="s">
        <v>2212</v>
      </c>
      <c r="F265" s="760" t="s">
        <v>2216</v>
      </c>
      <c r="G265" s="761"/>
      <c r="H265" s="761"/>
      <c r="I265" s="762"/>
      <c r="J265" s="453" t="s">
        <v>67</v>
      </c>
      <c r="K265" s="347"/>
      <c r="L265" s="347"/>
      <c r="M265" s="347">
        <v>1</v>
      </c>
      <c r="N265" s="726"/>
      <c r="O265" s="726"/>
      <c r="P265" s="720">
        <f>ROUND(N265*M265,2)</f>
        <v>0</v>
      </c>
      <c r="Q265" s="720"/>
      <c r="R265" s="720"/>
      <c r="S265" s="720"/>
      <c r="T265" s="238"/>
      <c r="U265" s="45"/>
    </row>
    <row r="266" spans="2:22" ht="11.25" customHeight="1" outlineLevel="1">
      <c r="B266" s="237"/>
      <c r="C266" s="345"/>
      <c r="D266" s="345"/>
      <c r="E266" s="346" t="s">
        <v>2213</v>
      </c>
      <c r="F266" s="760" t="s">
        <v>2217</v>
      </c>
      <c r="G266" s="761"/>
      <c r="H266" s="761"/>
      <c r="I266" s="762"/>
      <c r="J266" s="453" t="s">
        <v>67</v>
      </c>
      <c r="K266" s="347"/>
      <c r="L266" s="347"/>
      <c r="M266" s="347">
        <v>1</v>
      </c>
      <c r="N266" s="726"/>
      <c r="O266" s="726"/>
      <c r="P266" s="720">
        <f>ROUND(N266*M266,2)</f>
        <v>0</v>
      </c>
      <c r="Q266" s="720"/>
      <c r="R266" s="720"/>
      <c r="S266" s="720"/>
      <c r="T266" s="238"/>
      <c r="U266" s="45"/>
    </row>
    <row r="267" spans="2:22" s="341" customFormat="1" ht="12.75">
      <c r="B267" s="340"/>
      <c r="C267" s="447"/>
      <c r="D267" s="344" t="s">
        <v>2218</v>
      </c>
      <c r="E267" s="448"/>
      <c r="F267" s="344"/>
      <c r="G267" s="344"/>
      <c r="H267" s="344"/>
      <c r="I267" s="344"/>
      <c r="J267" s="344"/>
      <c r="K267" s="344"/>
      <c r="L267" s="344"/>
      <c r="M267" s="344"/>
      <c r="N267" s="72"/>
      <c r="O267" s="72"/>
      <c r="P267" s="734">
        <f>SUM(P268:S282)</f>
        <v>0</v>
      </c>
      <c r="Q267" s="734"/>
      <c r="R267" s="734"/>
      <c r="S267" s="734"/>
      <c r="T267" s="342"/>
      <c r="U267" s="45"/>
    </row>
    <row r="268" spans="2:22" outlineLevel="1">
      <c r="B268" s="237"/>
      <c r="C268" s="345"/>
      <c r="D268" s="345"/>
      <c r="E268" s="346" t="s">
        <v>2227</v>
      </c>
      <c r="F268" s="760" t="s">
        <v>2228</v>
      </c>
      <c r="G268" s="761"/>
      <c r="H268" s="761"/>
      <c r="I268" s="762"/>
      <c r="J268" s="453" t="s">
        <v>68</v>
      </c>
      <c r="K268" s="347"/>
      <c r="L268" s="347"/>
      <c r="M268" s="347">
        <v>32</v>
      </c>
      <c r="N268" s="726"/>
      <c r="O268" s="726"/>
      <c r="P268" s="720">
        <f>ROUND(N268*M268,2)</f>
        <v>0</v>
      </c>
      <c r="Q268" s="720"/>
      <c r="R268" s="720"/>
      <c r="S268" s="720"/>
      <c r="T268" s="238"/>
      <c r="U268" s="45"/>
    </row>
    <row r="269" spans="2:22" outlineLevel="1">
      <c r="B269" s="237"/>
      <c r="C269" s="345"/>
      <c r="D269" s="345"/>
      <c r="E269" s="346" t="s">
        <v>2229</v>
      </c>
      <c r="F269" s="760" t="s">
        <v>2230</v>
      </c>
      <c r="G269" s="761"/>
      <c r="H269" s="761"/>
      <c r="I269" s="762"/>
      <c r="J269" s="453" t="s">
        <v>67</v>
      </c>
      <c r="K269" s="347"/>
      <c r="L269" s="347"/>
      <c r="M269" s="347">
        <v>17</v>
      </c>
      <c r="N269" s="726"/>
      <c r="O269" s="726"/>
      <c r="P269" s="720">
        <f>ROUND(N269*M269,2)</f>
        <v>0</v>
      </c>
      <c r="Q269" s="720"/>
      <c r="R269" s="720"/>
      <c r="S269" s="720"/>
      <c r="T269" s="238"/>
      <c r="U269" s="45"/>
    </row>
    <row r="270" spans="2:22" s="333" customFormat="1" ht="11.25" customHeight="1" outlineLevel="1">
      <c r="B270" s="362"/>
      <c r="C270" s="455"/>
      <c r="D270" s="455"/>
      <c r="E270" s="456" t="s">
        <v>1944</v>
      </c>
      <c r="F270" s="792" t="s">
        <v>2530</v>
      </c>
      <c r="G270" s="792"/>
      <c r="H270" s="792"/>
      <c r="I270" s="792"/>
      <c r="J270" s="457"/>
      <c r="K270" s="458"/>
      <c r="L270" s="458"/>
      <c r="M270" s="458"/>
      <c r="N270" s="793"/>
      <c r="O270" s="793"/>
      <c r="P270" s="794"/>
      <c r="Q270" s="794"/>
      <c r="R270" s="794"/>
      <c r="S270" s="794"/>
      <c r="T270" s="365"/>
      <c r="U270" s="211"/>
      <c r="V270" s="470"/>
    </row>
    <row r="271" spans="2:22" outlineLevel="1">
      <c r="B271" s="237"/>
      <c r="C271" s="345"/>
      <c r="D271" s="345"/>
      <c r="E271" s="346" t="s">
        <v>2219</v>
      </c>
      <c r="F271" s="760" t="s">
        <v>2232</v>
      </c>
      <c r="G271" s="761"/>
      <c r="H271" s="761"/>
      <c r="I271" s="762"/>
      <c r="J271" s="453" t="s">
        <v>67</v>
      </c>
      <c r="K271" s="347"/>
      <c r="L271" s="347"/>
      <c r="M271" s="347">
        <v>1</v>
      </c>
      <c r="N271" s="726"/>
      <c r="O271" s="726"/>
      <c r="P271" s="720">
        <f t="shared" ref="P271:P280" si="8">ROUND(N271*M271,2)</f>
        <v>0</v>
      </c>
      <c r="Q271" s="720"/>
      <c r="R271" s="720"/>
      <c r="S271" s="720"/>
      <c r="T271" s="238"/>
      <c r="U271" s="45"/>
    </row>
    <row r="272" spans="2:22" outlineLevel="1">
      <c r="B272" s="237"/>
      <c r="C272" s="345"/>
      <c r="D272" s="345"/>
      <c r="E272" s="346" t="s">
        <v>2220</v>
      </c>
      <c r="F272" s="760" t="s">
        <v>2233</v>
      </c>
      <c r="G272" s="761"/>
      <c r="H272" s="761"/>
      <c r="I272" s="762"/>
      <c r="J272" s="453" t="s">
        <v>67</v>
      </c>
      <c r="K272" s="347"/>
      <c r="L272" s="347"/>
      <c r="M272" s="347">
        <v>2</v>
      </c>
      <c r="N272" s="726"/>
      <c r="O272" s="726"/>
      <c r="P272" s="720">
        <f t="shared" si="8"/>
        <v>0</v>
      </c>
      <c r="Q272" s="720"/>
      <c r="R272" s="720"/>
      <c r="S272" s="720"/>
      <c r="T272" s="238"/>
      <c r="U272" s="45"/>
    </row>
    <row r="273" spans="1:21" outlineLevel="1">
      <c r="B273" s="237"/>
      <c r="C273" s="345"/>
      <c r="D273" s="345"/>
      <c r="E273" s="346" t="s">
        <v>2221</v>
      </c>
      <c r="F273" s="760" t="s">
        <v>2234</v>
      </c>
      <c r="G273" s="761"/>
      <c r="H273" s="761"/>
      <c r="I273" s="762"/>
      <c r="J273" s="453" t="s">
        <v>67</v>
      </c>
      <c r="K273" s="347"/>
      <c r="L273" s="347"/>
      <c r="M273" s="347">
        <v>2</v>
      </c>
      <c r="N273" s="726"/>
      <c r="O273" s="726"/>
      <c r="P273" s="720">
        <f t="shared" si="8"/>
        <v>0</v>
      </c>
      <c r="Q273" s="720"/>
      <c r="R273" s="720"/>
      <c r="S273" s="720"/>
      <c r="T273" s="238"/>
      <c r="U273" s="45"/>
    </row>
    <row r="274" spans="1:21" outlineLevel="1">
      <c r="B274" s="237"/>
      <c r="C274" s="345"/>
      <c r="D274" s="345"/>
      <c r="E274" s="346" t="s">
        <v>2222</v>
      </c>
      <c r="F274" s="760" t="s">
        <v>2235</v>
      </c>
      <c r="G274" s="761"/>
      <c r="H274" s="761"/>
      <c r="I274" s="762"/>
      <c r="J274" s="453" t="s">
        <v>67</v>
      </c>
      <c r="K274" s="347"/>
      <c r="L274" s="347"/>
      <c r="M274" s="347">
        <v>1</v>
      </c>
      <c r="N274" s="726"/>
      <c r="O274" s="726"/>
      <c r="P274" s="720">
        <f t="shared" si="8"/>
        <v>0</v>
      </c>
      <c r="Q274" s="720"/>
      <c r="R274" s="720"/>
      <c r="S274" s="720"/>
      <c r="T274" s="238"/>
      <c r="U274" s="45"/>
    </row>
    <row r="275" spans="1:21" outlineLevel="1">
      <c r="B275" s="237"/>
      <c r="C275" s="345"/>
      <c r="D275" s="345"/>
      <c r="E275" s="346" t="s">
        <v>2223</v>
      </c>
      <c r="F275" s="760" t="s">
        <v>2236</v>
      </c>
      <c r="G275" s="761"/>
      <c r="H275" s="761"/>
      <c r="I275" s="762"/>
      <c r="J275" s="453" t="s">
        <v>67</v>
      </c>
      <c r="K275" s="347"/>
      <c r="L275" s="347"/>
      <c r="M275" s="347">
        <v>1</v>
      </c>
      <c r="N275" s="726"/>
      <c r="O275" s="726"/>
      <c r="P275" s="720">
        <f t="shared" si="8"/>
        <v>0</v>
      </c>
      <c r="Q275" s="720"/>
      <c r="R275" s="720"/>
      <c r="S275" s="720"/>
      <c r="T275" s="238"/>
      <c r="U275" s="45"/>
    </row>
    <row r="276" spans="1:21" outlineLevel="1">
      <c r="B276" s="237"/>
      <c r="C276" s="345"/>
      <c r="D276" s="345"/>
      <c r="E276" s="346" t="s">
        <v>2237</v>
      </c>
      <c r="F276" s="760" t="s">
        <v>2238</v>
      </c>
      <c r="G276" s="761"/>
      <c r="H276" s="761"/>
      <c r="I276" s="762"/>
      <c r="J276" s="453" t="s">
        <v>67</v>
      </c>
      <c r="K276" s="347"/>
      <c r="L276" s="347"/>
      <c r="M276" s="347">
        <v>1</v>
      </c>
      <c r="N276" s="726"/>
      <c r="O276" s="726"/>
      <c r="P276" s="720">
        <f t="shared" si="8"/>
        <v>0</v>
      </c>
      <c r="Q276" s="720"/>
      <c r="R276" s="720"/>
      <c r="S276" s="720"/>
      <c r="T276" s="238"/>
      <c r="U276" s="45"/>
    </row>
    <row r="277" spans="1:21" outlineLevel="1">
      <c r="B277" s="237"/>
      <c r="C277" s="345"/>
      <c r="D277" s="345"/>
      <c r="E277" s="346" t="s">
        <v>2239</v>
      </c>
      <c r="F277" s="760" t="s">
        <v>2241</v>
      </c>
      <c r="G277" s="761"/>
      <c r="H277" s="761"/>
      <c r="I277" s="762"/>
      <c r="J277" s="453" t="s">
        <v>67</v>
      </c>
      <c r="K277" s="347"/>
      <c r="L277" s="347"/>
      <c r="M277" s="347">
        <v>1</v>
      </c>
      <c r="N277" s="726"/>
      <c r="O277" s="726"/>
      <c r="P277" s="720">
        <f>ROUND(N277*M277,2)</f>
        <v>0</v>
      </c>
      <c r="Q277" s="720"/>
      <c r="R277" s="720"/>
      <c r="S277" s="720"/>
      <c r="T277" s="238"/>
      <c r="U277" s="45"/>
    </row>
    <row r="278" spans="1:21" s="465" customFormat="1" outlineLevel="1">
      <c r="B278" s="459"/>
      <c r="C278" s="460"/>
      <c r="D278" s="460"/>
      <c r="E278" s="461" t="s">
        <v>2240</v>
      </c>
      <c r="F278" s="795" t="s">
        <v>2242</v>
      </c>
      <c r="G278" s="796"/>
      <c r="H278" s="796"/>
      <c r="I278" s="797"/>
      <c r="J278" s="462" t="s">
        <v>67</v>
      </c>
      <c r="K278" s="463"/>
      <c r="L278" s="463"/>
      <c r="M278" s="463">
        <f>3-M154</f>
        <v>2</v>
      </c>
      <c r="N278" s="798"/>
      <c r="O278" s="798"/>
      <c r="P278" s="799">
        <f>ROUND(N278*M278,2)</f>
        <v>0</v>
      </c>
      <c r="Q278" s="799"/>
      <c r="R278" s="799"/>
      <c r="S278" s="799"/>
      <c r="T278" s="464"/>
      <c r="U278" s="220"/>
    </row>
    <row r="279" spans="1:21" outlineLevel="1">
      <c r="B279" s="237"/>
      <c r="C279" s="345"/>
      <c r="D279" s="345"/>
      <c r="E279" s="346" t="s">
        <v>2224</v>
      </c>
      <c r="F279" s="760" t="s">
        <v>2243</v>
      </c>
      <c r="G279" s="761"/>
      <c r="H279" s="761"/>
      <c r="I279" s="762"/>
      <c r="J279" s="453" t="s">
        <v>67</v>
      </c>
      <c r="K279" s="347"/>
      <c r="L279" s="347"/>
      <c r="M279" s="347">
        <v>1</v>
      </c>
      <c r="N279" s="726"/>
      <c r="O279" s="726"/>
      <c r="P279" s="720">
        <f t="shared" si="8"/>
        <v>0</v>
      </c>
      <c r="Q279" s="720"/>
      <c r="R279" s="720"/>
      <c r="S279" s="720"/>
      <c r="T279" s="238"/>
      <c r="U279" s="45"/>
    </row>
    <row r="280" spans="1:21" outlineLevel="1">
      <c r="B280" s="237"/>
      <c r="C280" s="345"/>
      <c r="D280" s="345"/>
      <c r="E280" s="346" t="s">
        <v>2225</v>
      </c>
      <c r="F280" s="760" t="s">
        <v>2244</v>
      </c>
      <c r="G280" s="761"/>
      <c r="H280" s="761"/>
      <c r="I280" s="762"/>
      <c r="J280" s="453" t="s">
        <v>67</v>
      </c>
      <c r="K280" s="347"/>
      <c r="L280" s="347"/>
      <c r="M280" s="347">
        <v>1</v>
      </c>
      <c r="N280" s="726"/>
      <c r="O280" s="726"/>
      <c r="P280" s="720">
        <f t="shared" si="8"/>
        <v>0</v>
      </c>
      <c r="Q280" s="720"/>
      <c r="R280" s="720"/>
      <c r="S280" s="720"/>
      <c r="T280" s="238"/>
      <c r="U280" s="45"/>
    </row>
    <row r="281" spans="1:21" outlineLevel="1">
      <c r="B281" s="237"/>
      <c r="C281" s="345"/>
      <c r="D281" s="345"/>
      <c r="E281" s="346" t="s">
        <v>2226</v>
      </c>
      <c r="F281" s="760" t="s">
        <v>2245</v>
      </c>
      <c r="G281" s="761"/>
      <c r="H281" s="761"/>
      <c r="I281" s="762"/>
      <c r="J281" s="453" t="s">
        <v>67</v>
      </c>
      <c r="K281" s="347"/>
      <c r="L281" s="347"/>
      <c r="M281" s="347">
        <v>1</v>
      </c>
      <c r="N281" s="726"/>
      <c r="O281" s="726"/>
      <c r="P281" s="720">
        <f>ROUND(N281*M281,2)</f>
        <v>0</v>
      </c>
      <c r="Q281" s="720"/>
      <c r="R281" s="720"/>
      <c r="S281" s="720"/>
      <c r="T281" s="238"/>
      <c r="U281" s="45"/>
    </row>
    <row r="282" spans="1:21" s="465" customFormat="1" ht="23.25" customHeight="1" outlineLevel="1">
      <c r="A282" s="465" t="s">
        <v>2531</v>
      </c>
      <c r="B282" s="459"/>
      <c r="C282" s="460"/>
      <c r="D282" s="460"/>
      <c r="E282" s="461" t="s">
        <v>2330</v>
      </c>
      <c r="F282" s="795" t="s">
        <v>2476</v>
      </c>
      <c r="G282" s="796"/>
      <c r="H282" s="796"/>
      <c r="I282" s="797"/>
      <c r="J282" s="462" t="s">
        <v>67</v>
      </c>
      <c r="K282" s="463"/>
      <c r="L282" s="463"/>
      <c r="M282" s="463">
        <v>2</v>
      </c>
      <c r="N282" s="798"/>
      <c r="O282" s="798"/>
      <c r="P282" s="799">
        <f>ROUND(N282*M282,2)</f>
        <v>0</v>
      </c>
      <c r="Q282" s="799"/>
      <c r="R282" s="799"/>
      <c r="S282" s="799"/>
      <c r="T282" s="464"/>
      <c r="U282" s="220"/>
    </row>
    <row r="283" spans="1:21">
      <c r="B283" s="274"/>
      <c r="C283" s="275"/>
      <c r="D283" s="275"/>
      <c r="E283" s="444"/>
      <c r="F283" s="275"/>
      <c r="G283" s="275"/>
      <c r="H283" s="275"/>
      <c r="I283" s="275"/>
      <c r="J283" s="275"/>
      <c r="K283" s="275"/>
      <c r="L283" s="275"/>
      <c r="M283" s="275"/>
      <c r="N283" s="275"/>
      <c r="O283" s="275"/>
      <c r="P283" s="275"/>
      <c r="Q283" s="275"/>
      <c r="R283" s="275"/>
      <c r="S283" s="275"/>
      <c r="T283" s="276"/>
      <c r="U283" s="45"/>
    </row>
    <row r="284" spans="1:21">
      <c r="U284" s="45"/>
    </row>
    <row r="285" spans="1:21">
      <c r="U285" s="45"/>
    </row>
    <row r="286" spans="1:21">
      <c r="U286" s="45"/>
    </row>
  </sheetData>
  <sheetProtection algorithmName="SHA-512" hashValue="Kr5xAcGfNGdtEsrFkPx2KofI9RGLfePsbGJ/cZrhy74mitDEpy1TZh3jMaNbahYA3+f3mMY11/A+o1eOyWc0DQ==" saltValue="1YvIu7l5vuAftZiJwMhLrg==" spinCount="100000" sheet="1"/>
  <mergeCells count="508">
    <mergeCell ref="F282:I282"/>
    <mergeCell ref="N282:O282"/>
    <mergeCell ref="P282:S282"/>
    <mergeCell ref="F275:I275"/>
    <mergeCell ref="N275:O275"/>
    <mergeCell ref="P275:S275"/>
    <mergeCell ref="F276:I276"/>
    <mergeCell ref="N276:O276"/>
    <mergeCell ref="P276:S276"/>
    <mergeCell ref="F279:I279"/>
    <mergeCell ref="N279:O279"/>
    <mergeCell ref="P279:S279"/>
    <mergeCell ref="F277:I277"/>
    <mergeCell ref="N277:O277"/>
    <mergeCell ref="P277:S277"/>
    <mergeCell ref="F278:I278"/>
    <mergeCell ref="N278:O278"/>
    <mergeCell ref="P278:S278"/>
    <mergeCell ref="F281:I281"/>
    <mergeCell ref="N281:O281"/>
    <mergeCell ref="P281:S281"/>
    <mergeCell ref="F271:I271"/>
    <mergeCell ref="N271:O271"/>
    <mergeCell ref="P271:S271"/>
    <mergeCell ref="P268:S268"/>
    <mergeCell ref="F280:I280"/>
    <mergeCell ref="N280:O280"/>
    <mergeCell ref="P280:S280"/>
    <mergeCell ref="F269:I269"/>
    <mergeCell ref="N269:O269"/>
    <mergeCell ref="P269:S269"/>
    <mergeCell ref="F272:I272"/>
    <mergeCell ref="N272:O272"/>
    <mergeCell ref="P272:S272"/>
    <mergeCell ref="F273:I273"/>
    <mergeCell ref="N273:O273"/>
    <mergeCell ref="P273:S273"/>
    <mergeCell ref="F274:I274"/>
    <mergeCell ref="N274:O274"/>
    <mergeCell ref="P274:S274"/>
    <mergeCell ref="F270:I270"/>
    <mergeCell ref="N270:O270"/>
    <mergeCell ref="P270:S270"/>
    <mergeCell ref="N249:O249"/>
    <mergeCell ref="P249:S249"/>
    <mergeCell ref="F250:I250"/>
    <mergeCell ref="N250:O250"/>
    <mergeCell ref="P250:S250"/>
    <mergeCell ref="F256:I256"/>
    <mergeCell ref="N256:O256"/>
    <mergeCell ref="P256:S256"/>
    <mergeCell ref="F257:I257"/>
    <mergeCell ref="N257:O257"/>
    <mergeCell ref="P257:S257"/>
    <mergeCell ref="N263:O263"/>
    <mergeCell ref="P263:S263"/>
    <mergeCell ref="F264:I264"/>
    <mergeCell ref="N264:O264"/>
    <mergeCell ref="P264:S264"/>
    <mergeCell ref="F261:I261"/>
    <mergeCell ref="N261:O261"/>
    <mergeCell ref="P261:S261"/>
    <mergeCell ref="F268:I268"/>
    <mergeCell ref="P262:S262"/>
    <mergeCell ref="F263:I263"/>
    <mergeCell ref="F265:I265"/>
    <mergeCell ref="N265:O265"/>
    <mergeCell ref="P265:S265"/>
    <mergeCell ref="F266:I266"/>
    <mergeCell ref="N266:O266"/>
    <mergeCell ref="P266:S266"/>
    <mergeCell ref="N268:O268"/>
    <mergeCell ref="P267:S267"/>
    <mergeCell ref="F258:I258"/>
    <mergeCell ref="N258:O258"/>
    <mergeCell ref="P258:S258"/>
    <mergeCell ref="F254:I254"/>
    <mergeCell ref="N254:O254"/>
    <mergeCell ref="P254:S254"/>
    <mergeCell ref="F251:I251"/>
    <mergeCell ref="N251:O251"/>
    <mergeCell ref="P251:S251"/>
    <mergeCell ref="F252:I252"/>
    <mergeCell ref="N252:O252"/>
    <mergeCell ref="P252:S252"/>
    <mergeCell ref="F253:I253"/>
    <mergeCell ref="N253:O253"/>
    <mergeCell ref="P253:S253"/>
    <mergeCell ref="N242:O242"/>
    <mergeCell ref="P242:S242"/>
    <mergeCell ref="F243:I243"/>
    <mergeCell ref="N243:O243"/>
    <mergeCell ref="P243:S243"/>
    <mergeCell ref="F247:I247"/>
    <mergeCell ref="N247:O247"/>
    <mergeCell ref="P247:S247"/>
    <mergeCell ref="F255:I255"/>
    <mergeCell ref="N255:O255"/>
    <mergeCell ref="P255:S255"/>
    <mergeCell ref="F248:I248"/>
    <mergeCell ref="N248:O248"/>
    <mergeCell ref="P248:S248"/>
    <mergeCell ref="F244:I244"/>
    <mergeCell ref="N244:O244"/>
    <mergeCell ref="P244:S244"/>
    <mergeCell ref="F245:I245"/>
    <mergeCell ref="N245:O245"/>
    <mergeCell ref="P245:S245"/>
    <mergeCell ref="F246:I246"/>
    <mergeCell ref="N246:O246"/>
    <mergeCell ref="P246:S246"/>
    <mergeCell ref="F249:I249"/>
    <mergeCell ref="F230:I230"/>
    <mergeCell ref="N230:O230"/>
    <mergeCell ref="P230:S230"/>
    <mergeCell ref="F222:I222"/>
    <mergeCell ref="N222:O222"/>
    <mergeCell ref="P222:S222"/>
    <mergeCell ref="F225:I225"/>
    <mergeCell ref="N225:O225"/>
    <mergeCell ref="P225:S225"/>
    <mergeCell ref="F226:I226"/>
    <mergeCell ref="N226:O226"/>
    <mergeCell ref="P226:S226"/>
    <mergeCell ref="F227:I227"/>
    <mergeCell ref="N227:O227"/>
    <mergeCell ref="P227:S227"/>
    <mergeCell ref="F228:I228"/>
    <mergeCell ref="N228:O228"/>
    <mergeCell ref="P228:S228"/>
    <mergeCell ref="F223:I223"/>
    <mergeCell ref="N223:O223"/>
    <mergeCell ref="P223:S223"/>
    <mergeCell ref="F224:I224"/>
    <mergeCell ref="N224:O224"/>
    <mergeCell ref="P224:S224"/>
    <mergeCell ref="F229:I229"/>
    <mergeCell ref="N229:O229"/>
    <mergeCell ref="P229:S229"/>
    <mergeCell ref="F219:I219"/>
    <mergeCell ref="N219:O219"/>
    <mergeCell ref="P219:S219"/>
    <mergeCell ref="F220:I220"/>
    <mergeCell ref="N220:O220"/>
    <mergeCell ref="P220:S220"/>
    <mergeCell ref="F221:I221"/>
    <mergeCell ref="N221:O221"/>
    <mergeCell ref="P221:S221"/>
    <mergeCell ref="C2:S2"/>
    <mergeCell ref="F4:R4"/>
    <mergeCell ref="F5:R5"/>
    <mergeCell ref="Q7:R7"/>
    <mergeCell ref="Q9:R9"/>
    <mergeCell ref="Q10:R10"/>
    <mergeCell ref="F234:I234"/>
    <mergeCell ref="N234:O234"/>
    <mergeCell ref="P234:S234"/>
    <mergeCell ref="Q19:R19"/>
    <mergeCell ref="Q21:R21"/>
    <mergeCell ref="E22:R22"/>
    <mergeCell ref="D25:E25"/>
    <mergeCell ref="G25:R25"/>
    <mergeCell ref="D26:E26"/>
    <mergeCell ref="G26:R26"/>
    <mergeCell ref="F12:I12"/>
    <mergeCell ref="Q12:R12"/>
    <mergeCell ref="Q13:R13"/>
    <mergeCell ref="Q15:R15"/>
    <mergeCell ref="Q16:R16"/>
    <mergeCell ref="Q18:R18"/>
    <mergeCell ref="N37:R37"/>
    <mergeCell ref="C75:S75"/>
    <mergeCell ref="F77:R77"/>
    <mergeCell ref="F78:R78"/>
    <mergeCell ref="O80:R80"/>
    <mergeCell ref="O82:S82"/>
    <mergeCell ref="O29:R29"/>
    <mergeCell ref="O32:R32"/>
    <mergeCell ref="H34:J34"/>
    <mergeCell ref="O34:R34"/>
    <mergeCell ref="H35:J35"/>
    <mergeCell ref="O35:R35"/>
    <mergeCell ref="O30:R30"/>
    <mergeCell ref="P93:S93"/>
    <mergeCell ref="P95:S95"/>
    <mergeCell ref="N105:S105"/>
    <mergeCell ref="C111:S111"/>
    <mergeCell ref="O83:S83"/>
    <mergeCell ref="F85:R85"/>
    <mergeCell ref="C87:G87"/>
    <mergeCell ref="P87:S87"/>
    <mergeCell ref="P89:S89"/>
    <mergeCell ref="P90:S90"/>
    <mergeCell ref="P97:S97"/>
    <mergeCell ref="P98:S98"/>
    <mergeCell ref="P99:S99"/>
    <mergeCell ref="P100:S100"/>
    <mergeCell ref="P101:S101"/>
    <mergeCell ref="P102:S102"/>
    <mergeCell ref="P103:S103"/>
    <mergeCell ref="P91:S91"/>
    <mergeCell ref="P92:S92"/>
    <mergeCell ref="P94:S94"/>
    <mergeCell ref="F123:I123"/>
    <mergeCell ref="N123:O123"/>
    <mergeCell ref="P123:S123"/>
    <mergeCell ref="P157:S157"/>
    <mergeCell ref="P158:S158"/>
    <mergeCell ref="F160:I160"/>
    <mergeCell ref="N160:O160"/>
    <mergeCell ref="P160:S160"/>
    <mergeCell ref="F113:R113"/>
    <mergeCell ref="F114:R114"/>
    <mergeCell ref="O116:R116"/>
    <mergeCell ref="O118:S118"/>
    <mergeCell ref="O119:S119"/>
    <mergeCell ref="F121:R121"/>
    <mergeCell ref="N159:O159"/>
    <mergeCell ref="P159:S159"/>
    <mergeCell ref="E159:I159"/>
    <mergeCell ref="P124:S124"/>
    <mergeCell ref="P125:S125"/>
    <mergeCell ref="E126:I126"/>
    <mergeCell ref="N126:O126"/>
    <mergeCell ref="P126:S126"/>
    <mergeCell ref="F147:I147"/>
    <mergeCell ref="N147:O147"/>
    <mergeCell ref="F217:I217"/>
    <mergeCell ref="N217:O217"/>
    <mergeCell ref="P217:S217"/>
    <mergeCell ref="P216:S216"/>
    <mergeCell ref="F218:I218"/>
    <mergeCell ref="N218:O218"/>
    <mergeCell ref="P218:S218"/>
    <mergeCell ref="F195:I195"/>
    <mergeCell ref="N195:O195"/>
    <mergeCell ref="P195:S195"/>
    <mergeCell ref="F197:I197"/>
    <mergeCell ref="N197:O197"/>
    <mergeCell ref="P197:S197"/>
    <mergeCell ref="F198:I198"/>
    <mergeCell ref="N198:O198"/>
    <mergeCell ref="F196:I196"/>
    <mergeCell ref="N196:O196"/>
    <mergeCell ref="P196:S196"/>
    <mergeCell ref="P198:S198"/>
    <mergeCell ref="F199:I199"/>
    <mergeCell ref="N199:O199"/>
    <mergeCell ref="P199:S199"/>
    <mergeCell ref="F200:I200"/>
    <mergeCell ref="N200:O200"/>
    <mergeCell ref="F233:I233"/>
    <mergeCell ref="N233:O233"/>
    <mergeCell ref="P233:S233"/>
    <mergeCell ref="F238:I238"/>
    <mergeCell ref="N238:O238"/>
    <mergeCell ref="P238:S238"/>
    <mergeCell ref="F237:I237"/>
    <mergeCell ref="N237:O237"/>
    <mergeCell ref="P237:S237"/>
    <mergeCell ref="F240:I240"/>
    <mergeCell ref="N240:O240"/>
    <mergeCell ref="P240:S240"/>
    <mergeCell ref="F241:I241"/>
    <mergeCell ref="N241:O241"/>
    <mergeCell ref="P241:S241"/>
    <mergeCell ref="P235:S235"/>
    <mergeCell ref="F236:I236"/>
    <mergeCell ref="N236:O236"/>
    <mergeCell ref="P236:S236"/>
    <mergeCell ref="F169:I169"/>
    <mergeCell ref="N169:O169"/>
    <mergeCell ref="P169:S169"/>
    <mergeCell ref="F242:I242"/>
    <mergeCell ref="F161:I161"/>
    <mergeCell ref="N161:O161"/>
    <mergeCell ref="P161:S161"/>
    <mergeCell ref="F162:I162"/>
    <mergeCell ref="N162:O162"/>
    <mergeCell ref="P162:S162"/>
    <mergeCell ref="F163:I163"/>
    <mergeCell ref="N163:O163"/>
    <mergeCell ref="P163:S163"/>
    <mergeCell ref="F170:I170"/>
    <mergeCell ref="N170:O170"/>
    <mergeCell ref="P170:S170"/>
    <mergeCell ref="F171:I171"/>
    <mergeCell ref="N171:O171"/>
    <mergeCell ref="P171:S171"/>
    <mergeCell ref="F165:I165"/>
    <mergeCell ref="N165:O165"/>
    <mergeCell ref="P165:S165"/>
    <mergeCell ref="F166:I166"/>
    <mergeCell ref="N166:O166"/>
    <mergeCell ref="F181:I181"/>
    <mergeCell ref="N181:O181"/>
    <mergeCell ref="P181:S181"/>
    <mergeCell ref="E178:I178"/>
    <mergeCell ref="N178:O178"/>
    <mergeCell ref="P178:S178"/>
    <mergeCell ref="F172:I172"/>
    <mergeCell ref="N172:O172"/>
    <mergeCell ref="P172:S172"/>
    <mergeCell ref="F175:I175"/>
    <mergeCell ref="N175:O175"/>
    <mergeCell ref="P175:S175"/>
    <mergeCell ref="F176:I176"/>
    <mergeCell ref="N176:O176"/>
    <mergeCell ref="P176:S176"/>
    <mergeCell ref="F174:I174"/>
    <mergeCell ref="N174:O174"/>
    <mergeCell ref="P174:S174"/>
    <mergeCell ref="E173:I173"/>
    <mergeCell ref="N173:O173"/>
    <mergeCell ref="P173:S173"/>
    <mergeCell ref="F179:I179"/>
    <mergeCell ref="N179:O179"/>
    <mergeCell ref="P179:S179"/>
    <mergeCell ref="F180:I180"/>
    <mergeCell ref="N180:O180"/>
    <mergeCell ref="P180:S180"/>
    <mergeCell ref="F177:I177"/>
    <mergeCell ref="N177:O177"/>
    <mergeCell ref="P177:S177"/>
    <mergeCell ref="F194:I194"/>
    <mergeCell ref="N194:O194"/>
    <mergeCell ref="P194:S194"/>
    <mergeCell ref="F188:I188"/>
    <mergeCell ref="N188:O188"/>
    <mergeCell ref="P188:S188"/>
    <mergeCell ref="F189:I189"/>
    <mergeCell ref="N189:O189"/>
    <mergeCell ref="P189:S189"/>
    <mergeCell ref="F192:I192"/>
    <mergeCell ref="N192:O192"/>
    <mergeCell ref="P192:S192"/>
    <mergeCell ref="E191:I191"/>
    <mergeCell ref="N191:O191"/>
    <mergeCell ref="P191:S191"/>
    <mergeCell ref="F193:I193"/>
    <mergeCell ref="N193:O193"/>
    <mergeCell ref="P193:S193"/>
    <mergeCell ref="P190:S190"/>
    <mergeCell ref="E187:I187"/>
    <mergeCell ref="N187:O187"/>
    <mergeCell ref="P187:S187"/>
    <mergeCell ref="F182:I182"/>
    <mergeCell ref="N182:O182"/>
    <mergeCell ref="P182:S182"/>
    <mergeCell ref="F183:I183"/>
    <mergeCell ref="N183:O183"/>
    <mergeCell ref="P183:S183"/>
    <mergeCell ref="F184:I184"/>
    <mergeCell ref="N184:O184"/>
    <mergeCell ref="P184:S184"/>
    <mergeCell ref="F185:I185"/>
    <mergeCell ref="N185:O185"/>
    <mergeCell ref="P185:S185"/>
    <mergeCell ref="F186:I186"/>
    <mergeCell ref="N186:O186"/>
    <mergeCell ref="P186:S186"/>
    <mergeCell ref="F209:I209"/>
    <mergeCell ref="N209:O209"/>
    <mergeCell ref="P209:S209"/>
    <mergeCell ref="E208:I208"/>
    <mergeCell ref="N208:O208"/>
    <mergeCell ref="P208:S208"/>
    <mergeCell ref="P200:S200"/>
    <mergeCell ref="F202:I202"/>
    <mergeCell ref="N202:O202"/>
    <mergeCell ref="P202:S202"/>
    <mergeCell ref="F203:I203"/>
    <mergeCell ref="N203:O203"/>
    <mergeCell ref="P203:S203"/>
    <mergeCell ref="F204:I204"/>
    <mergeCell ref="N204:O204"/>
    <mergeCell ref="P204:S204"/>
    <mergeCell ref="E201:I201"/>
    <mergeCell ref="N201:O201"/>
    <mergeCell ref="P201:S201"/>
    <mergeCell ref="F260:I260"/>
    <mergeCell ref="N260:O260"/>
    <mergeCell ref="P260:S260"/>
    <mergeCell ref="P212:S212"/>
    <mergeCell ref="F214:I214"/>
    <mergeCell ref="N214:O214"/>
    <mergeCell ref="P214:S214"/>
    <mergeCell ref="F215:I215"/>
    <mergeCell ref="N215:O215"/>
    <mergeCell ref="P215:S215"/>
    <mergeCell ref="F213:I213"/>
    <mergeCell ref="N213:O213"/>
    <mergeCell ref="P213:S213"/>
    <mergeCell ref="E212:I212"/>
    <mergeCell ref="N212:O212"/>
    <mergeCell ref="F231:I231"/>
    <mergeCell ref="N231:O231"/>
    <mergeCell ref="P231:S231"/>
    <mergeCell ref="F232:I232"/>
    <mergeCell ref="N232:O232"/>
    <mergeCell ref="P232:S232"/>
    <mergeCell ref="F239:I239"/>
    <mergeCell ref="N239:O239"/>
    <mergeCell ref="P239:S239"/>
    <mergeCell ref="F155:I155"/>
    <mergeCell ref="N155:O155"/>
    <mergeCell ref="P155:S155"/>
    <mergeCell ref="F153:I153"/>
    <mergeCell ref="N153:O153"/>
    <mergeCell ref="P153:S153"/>
    <mergeCell ref="F259:I259"/>
    <mergeCell ref="N259:O259"/>
    <mergeCell ref="P259:S259"/>
    <mergeCell ref="F210:I210"/>
    <mergeCell ref="N210:O210"/>
    <mergeCell ref="F205:I205"/>
    <mergeCell ref="N205:O205"/>
    <mergeCell ref="P205:S205"/>
    <mergeCell ref="P210:S210"/>
    <mergeCell ref="F211:I211"/>
    <mergeCell ref="N211:O211"/>
    <mergeCell ref="P211:S211"/>
    <mergeCell ref="F206:I206"/>
    <mergeCell ref="N206:O206"/>
    <mergeCell ref="P206:S206"/>
    <mergeCell ref="F207:I207"/>
    <mergeCell ref="N207:O207"/>
    <mergeCell ref="P207:S207"/>
    <mergeCell ref="N134:O134"/>
    <mergeCell ref="P134:S134"/>
    <mergeCell ref="P135:S135"/>
    <mergeCell ref="N136:O136"/>
    <mergeCell ref="P136:S136"/>
    <mergeCell ref="F137:I137"/>
    <mergeCell ref="F168:I168"/>
    <mergeCell ref="N168:O168"/>
    <mergeCell ref="P168:S168"/>
    <mergeCell ref="P152:S152"/>
    <mergeCell ref="F149:I149"/>
    <mergeCell ref="N149:O149"/>
    <mergeCell ref="P149:S149"/>
    <mergeCell ref="F148:I148"/>
    <mergeCell ref="N148:O148"/>
    <mergeCell ref="P148:S148"/>
    <mergeCell ref="E164:I164"/>
    <mergeCell ref="N164:O164"/>
    <mergeCell ref="P164:S164"/>
    <mergeCell ref="E167:I167"/>
    <mergeCell ref="N167:O167"/>
    <mergeCell ref="P167:S167"/>
    <mergeCell ref="P166:S166"/>
    <mergeCell ref="P156:S156"/>
    <mergeCell ref="F127:I127"/>
    <mergeCell ref="N127:O127"/>
    <mergeCell ref="P127:S127"/>
    <mergeCell ref="E131:I131"/>
    <mergeCell ref="N131:O131"/>
    <mergeCell ref="P131:S131"/>
    <mergeCell ref="P147:S147"/>
    <mergeCell ref="P146:S146"/>
    <mergeCell ref="E129:I129"/>
    <mergeCell ref="N129:O129"/>
    <mergeCell ref="P129:S129"/>
    <mergeCell ref="F130:I130"/>
    <mergeCell ref="N130:O130"/>
    <mergeCell ref="P130:S130"/>
    <mergeCell ref="F128:I128"/>
    <mergeCell ref="N128:O128"/>
    <mergeCell ref="P128:S128"/>
    <mergeCell ref="F132:I132"/>
    <mergeCell ref="N132:O132"/>
    <mergeCell ref="P132:S132"/>
    <mergeCell ref="F133:I133"/>
    <mergeCell ref="N133:O133"/>
    <mergeCell ref="P133:S133"/>
    <mergeCell ref="F134:I134"/>
    <mergeCell ref="F138:I138"/>
    <mergeCell ref="N138:O138"/>
    <mergeCell ref="P138:S138"/>
    <mergeCell ref="F139:I139"/>
    <mergeCell ref="N139:O139"/>
    <mergeCell ref="P139:S139"/>
    <mergeCell ref="N137:O137"/>
    <mergeCell ref="P137:S137"/>
    <mergeCell ref="E136:I136"/>
    <mergeCell ref="F143:I143"/>
    <mergeCell ref="N143:O143"/>
    <mergeCell ref="P143:S143"/>
    <mergeCell ref="P142:S142"/>
    <mergeCell ref="E140:I140"/>
    <mergeCell ref="N140:O140"/>
    <mergeCell ref="P140:S140"/>
    <mergeCell ref="F141:I141"/>
    <mergeCell ref="N141:O141"/>
    <mergeCell ref="P141:S141"/>
    <mergeCell ref="F154:I154"/>
    <mergeCell ref="N154:O154"/>
    <mergeCell ref="P154:S154"/>
    <mergeCell ref="P150:S150"/>
    <mergeCell ref="F151:I151"/>
    <mergeCell ref="N151:O151"/>
    <mergeCell ref="P151:S151"/>
    <mergeCell ref="F144:I144"/>
    <mergeCell ref="N144:O144"/>
    <mergeCell ref="P144:S144"/>
    <mergeCell ref="F145:I145"/>
    <mergeCell ref="N145:O145"/>
    <mergeCell ref="P145:S145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Header>&amp;LBD Hübnerové&amp;ROdhad stavebních nákladů</oddHeader>
    <oddFooter>Stránka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79"/>
  <sheetViews>
    <sheetView view="pageBreakPreview" topLeftCell="A94" zoomScale="115" zoomScaleNormal="100" zoomScaleSheetLayoutView="115" workbookViewId="0">
      <selection activeCell="F96" sqref="F96"/>
    </sheetView>
  </sheetViews>
  <sheetFormatPr defaultRowHeight="12" outlineLevelCol="1"/>
  <cols>
    <col min="1" max="1" width="56.83203125" style="517" customWidth="1"/>
    <col min="2" max="2" width="8" style="518" customWidth="1"/>
    <col min="3" max="3" width="14.5" style="29" customWidth="1" outlineLevel="1"/>
    <col min="4" max="5" width="14.5" style="29" customWidth="1"/>
    <col min="6" max="6" width="20.6640625" style="30" customWidth="1"/>
    <col min="7" max="7" width="22" style="30" customWidth="1"/>
    <col min="8" max="8" width="21.1640625" style="30" customWidth="1"/>
    <col min="9" max="9" width="10.6640625" style="519" customWidth="1"/>
    <col min="10" max="10" width="2" style="473" customWidth="1"/>
    <col min="11" max="11" width="27.83203125" style="473" customWidth="1"/>
    <col min="12" max="259" width="9.33203125" style="473"/>
    <col min="260" max="260" width="55.33203125" style="473" customWidth="1"/>
    <col min="261" max="261" width="8" style="473" customWidth="1"/>
    <col min="262" max="262" width="9.83203125" style="473" customWidth="1"/>
    <col min="263" max="263" width="11.33203125" style="473" customWidth="1"/>
    <col min="264" max="264" width="17.6640625" style="473" customWidth="1"/>
    <col min="265" max="265" width="10.6640625" style="473" customWidth="1"/>
    <col min="266" max="515" width="9.33203125" style="473"/>
    <col min="516" max="516" width="55.33203125" style="473" customWidth="1"/>
    <col min="517" max="517" width="8" style="473" customWidth="1"/>
    <col min="518" max="518" width="9.83203125" style="473" customWidth="1"/>
    <col min="519" max="519" width="11.33203125" style="473" customWidth="1"/>
    <col min="520" max="520" width="17.6640625" style="473" customWidth="1"/>
    <col min="521" max="521" width="10.6640625" style="473" customWidth="1"/>
    <col min="522" max="771" width="9.33203125" style="473"/>
    <col min="772" max="772" width="55.33203125" style="473" customWidth="1"/>
    <col min="773" max="773" width="8" style="473" customWidth="1"/>
    <col min="774" max="774" width="9.83203125" style="473" customWidth="1"/>
    <col min="775" max="775" width="11.33203125" style="473" customWidth="1"/>
    <col min="776" max="776" width="17.6640625" style="473" customWidth="1"/>
    <col min="777" max="777" width="10.6640625" style="473" customWidth="1"/>
    <col min="778" max="1027" width="9.33203125" style="473"/>
    <col min="1028" max="1028" width="55.33203125" style="473" customWidth="1"/>
    <col min="1029" max="1029" width="8" style="473" customWidth="1"/>
    <col min="1030" max="1030" width="9.83203125" style="473" customWidth="1"/>
    <col min="1031" max="1031" width="11.33203125" style="473" customWidth="1"/>
    <col min="1032" max="1032" width="17.6640625" style="473" customWidth="1"/>
    <col min="1033" max="1033" width="10.6640625" style="473" customWidth="1"/>
    <col min="1034" max="1283" width="9.33203125" style="473"/>
    <col min="1284" max="1284" width="55.33203125" style="473" customWidth="1"/>
    <col min="1285" max="1285" width="8" style="473" customWidth="1"/>
    <col min="1286" max="1286" width="9.83203125" style="473" customWidth="1"/>
    <col min="1287" max="1287" width="11.33203125" style="473" customWidth="1"/>
    <col min="1288" max="1288" width="17.6640625" style="473" customWidth="1"/>
    <col min="1289" max="1289" width="10.6640625" style="473" customWidth="1"/>
    <col min="1290" max="1539" width="9.33203125" style="473"/>
    <col min="1540" max="1540" width="55.33203125" style="473" customWidth="1"/>
    <col min="1541" max="1541" width="8" style="473" customWidth="1"/>
    <col min="1542" max="1542" width="9.83203125" style="473" customWidth="1"/>
    <col min="1543" max="1543" width="11.33203125" style="473" customWidth="1"/>
    <col min="1544" max="1544" width="17.6640625" style="473" customWidth="1"/>
    <col min="1545" max="1545" width="10.6640625" style="473" customWidth="1"/>
    <col min="1546" max="1795" width="9.33203125" style="473"/>
    <col min="1796" max="1796" width="55.33203125" style="473" customWidth="1"/>
    <col min="1797" max="1797" width="8" style="473" customWidth="1"/>
    <col min="1798" max="1798" width="9.83203125" style="473" customWidth="1"/>
    <col min="1799" max="1799" width="11.33203125" style="473" customWidth="1"/>
    <col min="1800" max="1800" width="17.6640625" style="473" customWidth="1"/>
    <col min="1801" max="1801" width="10.6640625" style="473" customWidth="1"/>
    <col min="1802" max="2051" width="9.33203125" style="473"/>
    <col min="2052" max="2052" width="55.33203125" style="473" customWidth="1"/>
    <col min="2053" max="2053" width="8" style="473" customWidth="1"/>
    <col min="2054" max="2054" width="9.83203125" style="473" customWidth="1"/>
    <col min="2055" max="2055" width="11.33203125" style="473" customWidth="1"/>
    <col min="2056" max="2056" width="17.6640625" style="473" customWidth="1"/>
    <col min="2057" max="2057" width="10.6640625" style="473" customWidth="1"/>
    <col min="2058" max="2307" width="9.33203125" style="473"/>
    <col min="2308" max="2308" width="55.33203125" style="473" customWidth="1"/>
    <col min="2309" max="2309" width="8" style="473" customWidth="1"/>
    <col min="2310" max="2310" width="9.83203125" style="473" customWidth="1"/>
    <col min="2311" max="2311" width="11.33203125" style="473" customWidth="1"/>
    <col min="2312" max="2312" width="17.6640625" style="473" customWidth="1"/>
    <col min="2313" max="2313" width="10.6640625" style="473" customWidth="1"/>
    <col min="2314" max="2563" width="9.33203125" style="473"/>
    <col min="2564" max="2564" width="55.33203125" style="473" customWidth="1"/>
    <col min="2565" max="2565" width="8" style="473" customWidth="1"/>
    <col min="2566" max="2566" width="9.83203125" style="473" customWidth="1"/>
    <col min="2567" max="2567" width="11.33203125" style="473" customWidth="1"/>
    <col min="2568" max="2568" width="17.6640625" style="473" customWidth="1"/>
    <col min="2569" max="2569" width="10.6640625" style="473" customWidth="1"/>
    <col min="2570" max="2819" width="9.33203125" style="473"/>
    <col min="2820" max="2820" width="55.33203125" style="473" customWidth="1"/>
    <col min="2821" max="2821" width="8" style="473" customWidth="1"/>
    <col min="2822" max="2822" width="9.83203125" style="473" customWidth="1"/>
    <col min="2823" max="2823" width="11.33203125" style="473" customWidth="1"/>
    <col min="2824" max="2824" width="17.6640625" style="473" customWidth="1"/>
    <col min="2825" max="2825" width="10.6640625" style="473" customWidth="1"/>
    <col min="2826" max="3075" width="9.33203125" style="473"/>
    <col min="3076" max="3076" width="55.33203125" style="473" customWidth="1"/>
    <col min="3077" max="3077" width="8" style="473" customWidth="1"/>
    <col min="3078" max="3078" width="9.83203125" style="473" customWidth="1"/>
    <col min="3079" max="3079" width="11.33203125" style="473" customWidth="1"/>
    <col min="3080" max="3080" width="17.6640625" style="473" customWidth="1"/>
    <col min="3081" max="3081" width="10.6640625" style="473" customWidth="1"/>
    <col min="3082" max="3331" width="9.33203125" style="473"/>
    <col min="3332" max="3332" width="55.33203125" style="473" customWidth="1"/>
    <col min="3333" max="3333" width="8" style="473" customWidth="1"/>
    <col min="3334" max="3334" width="9.83203125" style="473" customWidth="1"/>
    <col min="3335" max="3335" width="11.33203125" style="473" customWidth="1"/>
    <col min="3336" max="3336" width="17.6640625" style="473" customWidth="1"/>
    <col min="3337" max="3337" width="10.6640625" style="473" customWidth="1"/>
    <col min="3338" max="3587" width="9.33203125" style="473"/>
    <col min="3588" max="3588" width="55.33203125" style="473" customWidth="1"/>
    <col min="3589" max="3589" width="8" style="473" customWidth="1"/>
    <col min="3590" max="3590" width="9.83203125" style="473" customWidth="1"/>
    <col min="3591" max="3591" width="11.33203125" style="473" customWidth="1"/>
    <col min="3592" max="3592" width="17.6640625" style="473" customWidth="1"/>
    <col min="3593" max="3593" width="10.6640625" style="473" customWidth="1"/>
    <col min="3594" max="3843" width="9.33203125" style="473"/>
    <col min="3844" max="3844" width="55.33203125" style="473" customWidth="1"/>
    <col min="3845" max="3845" width="8" style="473" customWidth="1"/>
    <col min="3846" max="3846" width="9.83203125" style="473" customWidth="1"/>
    <col min="3847" max="3847" width="11.33203125" style="473" customWidth="1"/>
    <col min="3848" max="3848" width="17.6640625" style="473" customWidth="1"/>
    <col min="3849" max="3849" width="10.6640625" style="473" customWidth="1"/>
    <col min="3850" max="4099" width="9.33203125" style="473"/>
    <col min="4100" max="4100" width="55.33203125" style="473" customWidth="1"/>
    <col min="4101" max="4101" width="8" style="473" customWidth="1"/>
    <col min="4102" max="4102" width="9.83203125" style="473" customWidth="1"/>
    <col min="4103" max="4103" width="11.33203125" style="473" customWidth="1"/>
    <col min="4104" max="4104" width="17.6640625" style="473" customWidth="1"/>
    <col min="4105" max="4105" width="10.6640625" style="473" customWidth="1"/>
    <col min="4106" max="4355" width="9.33203125" style="473"/>
    <col min="4356" max="4356" width="55.33203125" style="473" customWidth="1"/>
    <col min="4357" max="4357" width="8" style="473" customWidth="1"/>
    <col min="4358" max="4358" width="9.83203125" style="473" customWidth="1"/>
    <col min="4359" max="4359" width="11.33203125" style="473" customWidth="1"/>
    <col min="4360" max="4360" width="17.6640625" style="473" customWidth="1"/>
    <col min="4361" max="4361" width="10.6640625" style="473" customWidth="1"/>
    <col min="4362" max="4611" width="9.33203125" style="473"/>
    <col min="4612" max="4612" width="55.33203125" style="473" customWidth="1"/>
    <col min="4613" max="4613" width="8" style="473" customWidth="1"/>
    <col min="4614" max="4614" width="9.83203125" style="473" customWidth="1"/>
    <col min="4615" max="4615" width="11.33203125" style="473" customWidth="1"/>
    <col min="4616" max="4616" width="17.6640625" style="473" customWidth="1"/>
    <col min="4617" max="4617" width="10.6640625" style="473" customWidth="1"/>
    <col min="4618" max="4867" width="9.33203125" style="473"/>
    <col min="4868" max="4868" width="55.33203125" style="473" customWidth="1"/>
    <col min="4869" max="4869" width="8" style="473" customWidth="1"/>
    <col min="4870" max="4870" width="9.83203125" style="473" customWidth="1"/>
    <col min="4871" max="4871" width="11.33203125" style="473" customWidth="1"/>
    <col min="4872" max="4872" width="17.6640625" style="473" customWidth="1"/>
    <col min="4873" max="4873" width="10.6640625" style="473" customWidth="1"/>
    <col min="4874" max="5123" width="9.33203125" style="473"/>
    <col min="5124" max="5124" width="55.33203125" style="473" customWidth="1"/>
    <col min="5125" max="5125" width="8" style="473" customWidth="1"/>
    <col min="5126" max="5126" width="9.83203125" style="473" customWidth="1"/>
    <col min="5127" max="5127" width="11.33203125" style="473" customWidth="1"/>
    <col min="5128" max="5128" width="17.6640625" style="473" customWidth="1"/>
    <col min="5129" max="5129" width="10.6640625" style="473" customWidth="1"/>
    <col min="5130" max="5379" width="9.33203125" style="473"/>
    <col min="5380" max="5380" width="55.33203125" style="473" customWidth="1"/>
    <col min="5381" max="5381" width="8" style="473" customWidth="1"/>
    <col min="5382" max="5382" width="9.83203125" style="473" customWidth="1"/>
    <col min="5383" max="5383" width="11.33203125" style="473" customWidth="1"/>
    <col min="5384" max="5384" width="17.6640625" style="473" customWidth="1"/>
    <col min="5385" max="5385" width="10.6640625" style="473" customWidth="1"/>
    <col min="5386" max="5635" width="9.33203125" style="473"/>
    <col min="5636" max="5636" width="55.33203125" style="473" customWidth="1"/>
    <col min="5637" max="5637" width="8" style="473" customWidth="1"/>
    <col min="5638" max="5638" width="9.83203125" style="473" customWidth="1"/>
    <col min="5639" max="5639" width="11.33203125" style="473" customWidth="1"/>
    <col min="5640" max="5640" width="17.6640625" style="473" customWidth="1"/>
    <col min="5641" max="5641" width="10.6640625" style="473" customWidth="1"/>
    <col min="5642" max="5891" width="9.33203125" style="473"/>
    <col min="5892" max="5892" width="55.33203125" style="473" customWidth="1"/>
    <col min="5893" max="5893" width="8" style="473" customWidth="1"/>
    <col min="5894" max="5894" width="9.83203125" style="473" customWidth="1"/>
    <col min="5895" max="5895" width="11.33203125" style="473" customWidth="1"/>
    <col min="5896" max="5896" width="17.6640625" style="473" customWidth="1"/>
    <col min="5897" max="5897" width="10.6640625" style="473" customWidth="1"/>
    <col min="5898" max="6147" width="9.33203125" style="473"/>
    <col min="6148" max="6148" width="55.33203125" style="473" customWidth="1"/>
    <col min="6149" max="6149" width="8" style="473" customWidth="1"/>
    <col min="6150" max="6150" width="9.83203125" style="473" customWidth="1"/>
    <col min="6151" max="6151" width="11.33203125" style="473" customWidth="1"/>
    <col min="6152" max="6152" width="17.6640625" style="473" customWidth="1"/>
    <col min="6153" max="6153" width="10.6640625" style="473" customWidth="1"/>
    <col min="6154" max="6403" width="9.33203125" style="473"/>
    <col min="6404" max="6404" width="55.33203125" style="473" customWidth="1"/>
    <col min="6405" max="6405" width="8" style="473" customWidth="1"/>
    <col min="6406" max="6406" width="9.83203125" style="473" customWidth="1"/>
    <col min="6407" max="6407" width="11.33203125" style="473" customWidth="1"/>
    <col min="6408" max="6408" width="17.6640625" style="473" customWidth="1"/>
    <col min="6409" max="6409" width="10.6640625" style="473" customWidth="1"/>
    <col min="6410" max="6659" width="9.33203125" style="473"/>
    <col min="6660" max="6660" width="55.33203125" style="473" customWidth="1"/>
    <col min="6661" max="6661" width="8" style="473" customWidth="1"/>
    <col min="6662" max="6662" width="9.83203125" style="473" customWidth="1"/>
    <col min="6663" max="6663" width="11.33203125" style="473" customWidth="1"/>
    <col min="6664" max="6664" width="17.6640625" style="473" customWidth="1"/>
    <col min="6665" max="6665" width="10.6640625" style="473" customWidth="1"/>
    <col min="6666" max="6915" width="9.33203125" style="473"/>
    <col min="6916" max="6916" width="55.33203125" style="473" customWidth="1"/>
    <col min="6917" max="6917" width="8" style="473" customWidth="1"/>
    <col min="6918" max="6918" width="9.83203125" style="473" customWidth="1"/>
    <col min="6919" max="6919" width="11.33203125" style="473" customWidth="1"/>
    <col min="6920" max="6920" width="17.6640625" style="473" customWidth="1"/>
    <col min="6921" max="6921" width="10.6640625" style="473" customWidth="1"/>
    <col min="6922" max="7171" width="9.33203125" style="473"/>
    <col min="7172" max="7172" width="55.33203125" style="473" customWidth="1"/>
    <col min="7173" max="7173" width="8" style="473" customWidth="1"/>
    <col min="7174" max="7174" width="9.83203125" style="473" customWidth="1"/>
    <col min="7175" max="7175" width="11.33203125" style="473" customWidth="1"/>
    <col min="7176" max="7176" width="17.6640625" style="473" customWidth="1"/>
    <col min="7177" max="7177" width="10.6640625" style="473" customWidth="1"/>
    <col min="7178" max="7427" width="9.33203125" style="473"/>
    <col min="7428" max="7428" width="55.33203125" style="473" customWidth="1"/>
    <col min="7429" max="7429" width="8" style="473" customWidth="1"/>
    <col min="7430" max="7430" width="9.83203125" style="473" customWidth="1"/>
    <col min="7431" max="7431" width="11.33203125" style="473" customWidth="1"/>
    <col min="7432" max="7432" width="17.6640625" style="473" customWidth="1"/>
    <col min="7433" max="7433" width="10.6640625" style="473" customWidth="1"/>
    <col min="7434" max="7683" width="9.33203125" style="473"/>
    <col min="7684" max="7684" width="55.33203125" style="473" customWidth="1"/>
    <col min="7685" max="7685" width="8" style="473" customWidth="1"/>
    <col min="7686" max="7686" width="9.83203125" style="473" customWidth="1"/>
    <col min="7687" max="7687" width="11.33203125" style="473" customWidth="1"/>
    <col min="7688" max="7688" width="17.6640625" style="473" customWidth="1"/>
    <col min="7689" max="7689" width="10.6640625" style="473" customWidth="1"/>
    <col min="7690" max="7939" width="9.33203125" style="473"/>
    <col min="7940" max="7940" width="55.33203125" style="473" customWidth="1"/>
    <col min="7941" max="7941" width="8" style="473" customWidth="1"/>
    <col min="7942" max="7942" width="9.83203125" style="473" customWidth="1"/>
    <col min="7943" max="7943" width="11.33203125" style="473" customWidth="1"/>
    <col min="7944" max="7944" width="17.6640625" style="473" customWidth="1"/>
    <col min="7945" max="7945" width="10.6640625" style="473" customWidth="1"/>
    <col min="7946" max="8195" width="9.33203125" style="473"/>
    <col min="8196" max="8196" width="55.33203125" style="473" customWidth="1"/>
    <col min="8197" max="8197" width="8" style="473" customWidth="1"/>
    <col min="8198" max="8198" width="9.83203125" style="473" customWidth="1"/>
    <col min="8199" max="8199" width="11.33203125" style="473" customWidth="1"/>
    <col min="8200" max="8200" width="17.6640625" style="473" customWidth="1"/>
    <col min="8201" max="8201" width="10.6640625" style="473" customWidth="1"/>
    <col min="8202" max="8451" width="9.33203125" style="473"/>
    <col min="8452" max="8452" width="55.33203125" style="473" customWidth="1"/>
    <col min="8453" max="8453" width="8" style="473" customWidth="1"/>
    <col min="8454" max="8454" width="9.83203125" style="473" customWidth="1"/>
    <col min="8455" max="8455" width="11.33203125" style="473" customWidth="1"/>
    <col min="8456" max="8456" width="17.6640625" style="473" customWidth="1"/>
    <col min="8457" max="8457" width="10.6640625" style="473" customWidth="1"/>
    <col min="8458" max="8707" width="9.33203125" style="473"/>
    <col min="8708" max="8708" width="55.33203125" style="473" customWidth="1"/>
    <col min="8709" max="8709" width="8" style="473" customWidth="1"/>
    <col min="8710" max="8710" width="9.83203125" style="473" customWidth="1"/>
    <col min="8711" max="8711" width="11.33203125" style="473" customWidth="1"/>
    <col min="8712" max="8712" width="17.6640625" style="473" customWidth="1"/>
    <col min="8713" max="8713" width="10.6640625" style="473" customWidth="1"/>
    <col min="8714" max="8963" width="9.33203125" style="473"/>
    <col min="8964" max="8964" width="55.33203125" style="473" customWidth="1"/>
    <col min="8965" max="8965" width="8" style="473" customWidth="1"/>
    <col min="8966" max="8966" width="9.83203125" style="473" customWidth="1"/>
    <col min="8967" max="8967" width="11.33203125" style="473" customWidth="1"/>
    <col min="8968" max="8968" width="17.6640625" style="473" customWidth="1"/>
    <col min="8969" max="8969" width="10.6640625" style="473" customWidth="1"/>
    <col min="8970" max="9219" width="9.33203125" style="473"/>
    <col min="9220" max="9220" width="55.33203125" style="473" customWidth="1"/>
    <col min="9221" max="9221" width="8" style="473" customWidth="1"/>
    <col min="9222" max="9222" width="9.83203125" style="473" customWidth="1"/>
    <col min="9223" max="9223" width="11.33203125" style="473" customWidth="1"/>
    <col min="9224" max="9224" width="17.6640625" style="473" customWidth="1"/>
    <col min="9225" max="9225" width="10.6640625" style="473" customWidth="1"/>
    <col min="9226" max="9475" width="9.33203125" style="473"/>
    <col min="9476" max="9476" width="55.33203125" style="473" customWidth="1"/>
    <col min="9477" max="9477" width="8" style="473" customWidth="1"/>
    <col min="9478" max="9478" width="9.83203125" style="473" customWidth="1"/>
    <col min="9479" max="9479" width="11.33203125" style="473" customWidth="1"/>
    <col min="9480" max="9480" width="17.6640625" style="473" customWidth="1"/>
    <col min="9481" max="9481" width="10.6640625" style="473" customWidth="1"/>
    <col min="9482" max="9731" width="9.33203125" style="473"/>
    <col min="9732" max="9732" width="55.33203125" style="473" customWidth="1"/>
    <col min="9733" max="9733" width="8" style="473" customWidth="1"/>
    <col min="9734" max="9734" width="9.83203125" style="473" customWidth="1"/>
    <col min="9735" max="9735" width="11.33203125" style="473" customWidth="1"/>
    <col min="9736" max="9736" width="17.6640625" style="473" customWidth="1"/>
    <col min="9737" max="9737" width="10.6640625" style="473" customWidth="1"/>
    <col min="9738" max="9987" width="9.33203125" style="473"/>
    <col min="9988" max="9988" width="55.33203125" style="473" customWidth="1"/>
    <col min="9989" max="9989" width="8" style="473" customWidth="1"/>
    <col min="9990" max="9990" width="9.83203125" style="473" customWidth="1"/>
    <col min="9991" max="9991" width="11.33203125" style="473" customWidth="1"/>
    <col min="9992" max="9992" width="17.6640625" style="473" customWidth="1"/>
    <col min="9993" max="9993" width="10.6640625" style="473" customWidth="1"/>
    <col min="9994" max="10243" width="9.33203125" style="473"/>
    <col min="10244" max="10244" width="55.33203125" style="473" customWidth="1"/>
    <col min="10245" max="10245" width="8" style="473" customWidth="1"/>
    <col min="10246" max="10246" width="9.83203125" style="473" customWidth="1"/>
    <col min="10247" max="10247" width="11.33203125" style="473" customWidth="1"/>
    <col min="10248" max="10248" width="17.6640625" style="473" customWidth="1"/>
    <col min="10249" max="10249" width="10.6640625" style="473" customWidth="1"/>
    <col min="10250" max="10499" width="9.33203125" style="473"/>
    <col min="10500" max="10500" width="55.33203125" style="473" customWidth="1"/>
    <col min="10501" max="10501" width="8" style="473" customWidth="1"/>
    <col min="10502" max="10502" width="9.83203125" style="473" customWidth="1"/>
    <col min="10503" max="10503" width="11.33203125" style="473" customWidth="1"/>
    <col min="10504" max="10504" width="17.6640625" style="473" customWidth="1"/>
    <col min="10505" max="10505" width="10.6640625" style="473" customWidth="1"/>
    <col min="10506" max="10755" width="9.33203125" style="473"/>
    <col min="10756" max="10756" width="55.33203125" style="473" customWidth="1"/>
    <col min="10757" max="10757" width="8" style="473" customWidth="1"/>
    <col min="10758" max="10758" width="9.83203125" style="473" customWidth="1"/>
    <col min="10759" max="10759" width="11.33203125" style="473" customWidth="1"/>
    <col min="10760" max="10760" width="17.6640625" style="473" customWidth="1"/>
    <col min="10761" max="10761" width="10.6640625" style="473" customWidth="1"/>
    <col min="10762" max="11011" width="9.33203125" style="473"/>
    <col min="11012" max="11012" width="55.33203125" style="473" customWidth="1"/>
    <col min="11013" max="11013" width="8" style="473" customWidth="1"/>
    <col min="11014" max="11014" width="9.83203125" style="473" customWidth="1"/>
    <col min="11015" max="11015" width="11.33203125" style="473" customWidth="1"/>
    <col min="11016" max="11016" width="17.6640625" style="473" customWidth="1"/>
    <col min="11017" max="11017" width="10.6640625" style="473" customWidth="1"/>
    <col min="11018" max="11267" width="9.33203125" style="473"/>
    <col min="11268" max="11268" width="55.33203125" style="473" customWidth="1"/>
    <col min="11269" max="11269" width="8" style="473" customWidth="1"/>
    <col min="11270" max="11270" width="9.83203125" style="473" customWidth="1"/>
    <col min="11271" max="11271" width="11.33203125" style="473" customWidth="1"/>
    <col min="11272" max="11272" width="17.6640625" style="473" customWidth="1"/>
    <col min="11273" max="11273" width="10.6640625" style="473" customWidth="1"/>
    <col min="11274" max="11523" width="9.33203125" style="473"/>
    <col min="11524" max="11524" width="55.33203125" style="473" customWidth="1"/>
    <col min="11525" max="11525" width="8" style="473" customWidth="1"/>
    <col min="11526" max="11526" width="9.83203125" style="473" customWidth="1"/>
    <col min="11527" max="11527" width="11.33203125" style="473" customWidth="1"/>
    <col min="11528" max="11528" width="17.6640625" style="473" customWidth="1"/>
    <col min="11529" max="11529" width="10.6640625" style="473" customWidth="1"/>
    <col min="11530" max="11779" width="9.33203125" style="473"/>
    <col min="11780" max="11780" width="55.33203125" style="473" customWidth="1"/>
    <col min="11781" max="11781" width="8" style="473" customWidth="1"/>
    <col min="11782" max="11782" width="9.83203125" style="473" customWidth="1"/>
    <col min="11783" max="11783" width="11.33203125" style="473" customWidth="1"/>
    <col min="11784" max="11784" width="17.6640625" style="473" customWidth="1"/>
    <col min="11785" max="11785" width="10.6640625" style="473" customWidth="1"/>
    <col min="11786" max="12035" width="9.33203125" style="473"/>
    <col min="12036" max="12036" width="55.33203125" style="473" customWidth="1"/>
    <col min="12037" max="12037" width="8" style="473" customWidth="1"/>
    <col min="12038" max="12038" width="9.83203125" style="473" customWidth="1"/>
    <col min="12039" max="12039" width="11.33203125" style="473" customWidth="1"/>
    <col min="12040" max="12040" width="17.6640625" style="473" customWidth="1"/>
    <col min="12041" max="12041" width="10.6640625" style="473" customWidth="1"/>
    <col min="12042" max="12291" width="9.33203125" style="473"/>
    <col min="12292" max="12292" width="55.33203125" style="473" customWidth="1"/>
    <col min="12293" max="12293" width="8" style="473" customWidth="1"/>
    <col min="12294" max="12294" width="9.83203125" style="473" customWidth="1"/>
    <col min="12295" max="12295" width="11.33203125" style="473" customWidth="1"/>
    <col min="12296" max="12296" width="17.6640625" style="473" customWidth="1"/>
    <col min="12297" max="12297" width="10.6640625" style="473" customWidth="1"/>
    <col min="12298" max="12547" width="9.33203125" style="473"/>
    <col min="12548" max="12548" width="55.33203125" style="473" customWidth="1"/>
    <col min="12549" max="12549" width="8" style="473" customWidth="1"/>
    <col min="12550" max="12550" width="9.83203125" style="473" customWidth="1"/>
    <col min="12551" max="12551" width="11.33203125" style="473" customWidth="1"/>
    <col min="12552" max="12552" width="17.6640625" style="473" customWidth="1"/>
    <col min="12553" max="12553" width="10.6640625" style="473" customWidth="1"/>
    <col min="12554" max="12803" width="9.33203125" style="473"/>
    <col min="12804" max="12804" width="55.33203125" style="473" customWidth="1"/>
    <col min="12805" max="12805" width="8" style="473" customWidth="1"/>
    <col min="12806" max="12806" width="9.83203125" style="473" customWidth="1"/>
    <col min="12807" max="12807" width="11.33203125" style="473" customWidth="1"/>
    <col min="12808" max="12808" width="17.6640625" style="473" customWidth="1"/>
    <col min="12809" max="12809" width="10.6640625" style="473" customWidth="1"/>
    <col min="12810" max="13059" width="9.33203125" style="473"/>
    <col min="13060" max="13060" width="55.33203125" style="473" customWidth="1"/>
    <col min="13061" max="13061" width="8" style="473" customWidth="1"/>
    <col min="13062" max="13062" width="9.83203125" style="473" customWidth="1"/>
    <col min="13063" max="13063" width="11.33203125" style="473" customWidth="1"/>
    <col min="13064" max="13064" width="17.6640625" style="473" customWidth="1"/>
    <col min="13065" max="13065" width="10.6640625" style="473" customWidth="1"/>
    <col min="13066" max="13315" width="9.33203125" style="473"/>
    <col min="13316" max="13316" width="55.33203125" style="473" customWidth="1"/>
    <col min="13317" max="13317" width="8" style="473" customWidth="1"/>
    <col min="13318" max="13318" width="9.83203125" style="473" customWidth="1"/>
    <col min="13319" max="13319" width="11.33203125" style="473" customWidth="1"/>
    <col min="13320" max="13320" width="17.6640625" style="473" customWidth="1"/>
    <col min="13321" max="13321" width="10.6640625" style="473" customWidth="1"/>
    <col min="13322" max="13571" width="9.33203125" style="473"/>
    <col min="13572" max="13572" width="55.33203125" style="473" customWidth="1"/>
    <col min="13573" max="13573" width="8" style="473" customWidth="1"/>
    <col min="13574" max="13574" width="9.83203125" style="473" customWidth="1"/>
    <col min="13575" max="13575" width="11.33203125" style="473" customWidth="1"/>
    <col min="13576" max="13576" width="17.6640625" style="473" customWidth="1"/>
    <col min="13577" max="13577" width="10.6640625" style="473" customWidth="1"/>
    <col min="13578" max="13827" width="9.33203125" style="473"/>
    <col min="13828" max="13828" width="55.33203125" style="473" customWidth="1"/>
    <col min="13829" max="13829" width="8" style="473" customWidth="1"/>
    <col min="13830" max="13830" width="9.83203125" style="473" customWidth="1"/>
    <col min="13831" max="13831" width="11.33203125" style="473" customWidth="1"/>
    <col min="13832" max="13832" width="17.6640625" style="473" customWidth="1"/>
    <col min="13833" max="13833" width="10.6640625" style="473" customWidth="1"/>
    <col min="13834" max="14083" width="9.33203125" style="473"/>
    <col min="14084" max="14084" width="55.33203125" style="473" customWidth="1"/>
    <col min="14085" max="14085" width="8" style="473" customWidth="1"/>
    <col min="14086" max="14086" width="9.83203125" style="473" customWidth="1"/>
    <col min="14087" max="14087" width="11.33203125" style="473" customWidth="1"/>
    <col min="14088" max="14088" width="17.6640625" style="473" customWidth="1"/>
    <col min="14089" max="14089" width="10.6640625" style="473" customWidth="1"/>
    <col min="14090" max="14339" width="9.33203125" style="473"/>
    <col min="14340" max="14340" width="55.33203125" style="473" customWidth="1"/>
    <col min="14341" max="14341" width="8" style="473" customWidth="1"/>
    <col min="14342" max="14342" width="9.83203125" style="473" customWidth="1"/>
    <col min="14343" max="14343" width="11.33203125" style="473" customWidth="1"/>
    <col min="14344" max="14344" width="17.6640625" style="473" customWidth="1"/>
    <col min="14345" max="14345" width="10.6640625" style="473" customWidth="1"/>
    <col min="14346" max="14595" width="9.33203125" style="473"/>
    <col min="14596" max="14596" width="55.33203125" style="473" customWidth="1"/>
    <col min="14597" max="14597" width="8" style="473" customWidth="1"/>
    <col min="14598" max="14598" width="9.83203125" style="473" customWidth="1"/>
    <col min="14599" max="14599" width="11.33203125" style="473" customWidth="1"/>
    <col min="14600" max="14600" width="17.6640625" style="473" customWidth="1"/>
    <col min="14601" max="14601" width="10.6640625" style="473" customWidth="1"/>
    <col min="14602" max="14851" width="9.33203125" style="473"/>
    <col min="14852" max="14852" width="55.33203125" style="473" customWidth="1"/>
    <col min="14853" max="14853" width="8" style="473" customWidth="1"/>
    <col min="14854" max="14854" width="9.83203125" style="473" customWidth="1"/>
    <col min="14855" max="14855" width="11.33203125" style="473" customWidth="1"/>
    <col min="14856" max="14856" width="17.6640625" style="473" customWidth="1"/>
    <col min="14857" max="14857" width="10.6640625" style="473" customWidth="1"/>
    <col min="14858" max="15107" width="9.33203125" style="473"/>
    <col min="15108" max="15108" width="55.33203125" style="473" customWidth="1"/>
    <col min="15109" max="15109" width="8" style="473" customWidth="1"/>
    <col min="15110" max="15110" width="9.83203125" style="473" customWidth="1"/>
    <col min="15111" max="15111" width="11.33203125" style="473" customWidth="1"/>
    <col min="15112" max="15112" width="17.6640625" style="473" customWidth="1"/>
    <col min="15113" max="15113" width="10.6640625" style="473" customWidth="1"/>
    <col min="15114" max="15363" width="9.33203125" style="473"/>
    <col min="15364" max="15364" width="55.33203125" style="473" customWidth="1"/>
    <col min="15365" max="15365" width="8" style="473" customWidth="1"/>
    <col min="15366" max="15366" width="9.83203125" style="473" customWidth="1"/>
    <col min="15367" max="15367" width="11.33203125" style="473" customWidth="1"/>
    <col min="15368" max="15368" width="17.6640625" style="473" customWidth="1"/>
    <col min="15369" max="15369" width="10.6640625" style="473" customWidth="1"/>
    <col min="15370" max="15619" width="9.33203125" style="473"/>
    <col min="15620" max="15620" width="55.33203125" style="473" customWidth="1"/>
    <col min="15621" max="15621" width="8" style="473" customWidth="1"/>
    <col min="15622" max="15622" width="9.83203125" style="473" customWidth="1"/>
    <col min="15623" max="15623" width="11.33203125" style="473" customWidth="1"/>
    <col min="15624" max="15624" width="17.6640625" style="473" customWidth="1"/>
    <col min="15625" max="15625" width="10.6640625" style="473" customWidth="1"/>
    <col min="15626" max="15875" width="9.33203125" style="473"/>
    <col min="15876" max="15876" width="55.33203125" style="473" customWidth="1"/>
    <col min="15877" max="15877" width="8" style="473" customWidth="1"/>
    <col min="15878" max="15878" width="9.83203125" style="473" customWidth="1"/>
    <col min="15879" max="15879" width="11.33203125" style="473" customWidth="1"/>
    <col min="15880" max="15880" width="17.6640625" style="473" customWidth="1"/>
    <col min="15881" max="15881" width="10.6640625" style="473" customWidth="1"/>
    <col min="15882" max="16131" width="9.33203125" style="473"/>
    <col min="16132" max="16132" width="55.33203125" style="473" customWidth="1"/>
    <col min="16133" max="16133" width="8" style="473" customWidth="1"/>
    <col min="16134" max="16134" width="9.83203125" style="473" customWidth="1"/>
    <col min="16135" max="16135" width="11.33203125" style="473" customWidth="1"/>
    <col min="16136" max="16136" width="17.6640625" style="473" customWidth="1"/>
    <col min="16137" max="16137" width="10.6640625" style="473" customWidth="1"/>
    <col min="16138" max="16384" width="9.33203125" style="473"/>
  </cols>
  <sheetData>
    <row r="1" spans="1:9" s="472" customFormat="1" ht="15.75" customHeight="1">
      <c r="A1" s="471" t="s">
        <v>3</v>
      </c>
      <c r="B1" s="807" t="str">
        <f>Rekapitulace!K4</f>
        <v>Stavební úpravy, vestavba a přístavba stávajícího objektu</v>
      </c>
      <c r="C1" s="807"/>
      <c r="D1" s="807"/>
      <c r="E1" s="807"/>
      <c r="F1" s="807"/>
      <c r="G1" s="807"/>
      <c r="H1" s="808"/>
      <c r="I1" s="809"/>
    </row>
    <row r="2" spans="1:9" ht="12.75" customHeight="1">
      <c r="A2" s="803"/>
      <c r="B2" s="804"/>
      <c r="C2" s="804"/>
      <c r="D2" s="804"/>
      <c r="E2" s="804"/>
      <c r="F2" s="804"/>
      <c r="G2" s="804"/>
      <c r="H2" s="805"/>
      <c r="I2" s="806"/>
    </row>
    <row r="3" spans="1:9" ht="12.75" customHeight="1">
      <c r="A3" s="816" t="s">
        <v>124</v>
      </c>
      <c r="B3" s="817"/>
      <c r="C3" s="817"/>
      <c r="D3" s="817"/>
      <c r="E3" s="817"/>
      <c r="F3" s="817"/>
      <c r="G3" s="817"/>
      <c r="H3" s="818"/>
      <c r="I3" s="819"/>
    </row>
    <row r="4" spans="1:9" ht="12.75" customHeight="1">
      <c r="A4" s="803"/>
      <c r="B4" s="804"/>
      <c r="C4" s="804"/>
      <c r="D4" s="804"/>
      <c r="E4" s="804"/>
      <c r="F4" s="804"/>
      <c r="G4" s="804"/>
      <c r="H4" s="805"/>
      <c r="I4" s="806"/>
    </row>
    <row r="5" spans="1:9" s="472" customFormat="1" ht="15.75" thickBot="1">
      <c r="A5" s="820" t="s">
        <v>526</v>
      </c>
      <c r="B5" s="821"/>
      <c r="C5" s="821"/>
      <c r="D5" s="821"/>
      <c r="E5" s="821"/>
      <c r="F5" s="821"/>
      <c r="G5" s="821"/>
      <c r="H5" s="821"/>
      <c r="I5" s="822"/>
    </row>
    <row r="6" spans="1:9" s="472" customFormat="1" ht="16.5" customHeight="1" thickBot="1">
      <c r="A6" s="474" t="s">
        <v>11</v>
      </c>
      <c r="B6" s="828">
        <f>Rekapitulace!K11</f>
        <v>0</v>
      </c>
      <c r="C6" s="828"/>
      <c r="D6" s="828"/>
      <c r="E6" s="828"/>
      <c r="F6" s="828"/>
      <c r="G6" s="828"/>
      <c r="H6" s="828"/>
      <c r="I6" s="829"/>
    </row>
    <row r="7" spans="1:9" s="472" customFormat="1" ht="3.75" customHeight="1">
      <c r="A7" s="823"/>
      <c r="B7" s="823"/>
      <c r="C7" s="823"/>
      <c r="D7" s="823"/>
      <c r="E7" s="823"/>
      <c r="F7" s="823"/>
      <c r="G7" s="823"/>
      <c r="H7" s="823"/>
      <c r="I7" s="823"/>
    </row>
    <row r="8" spans="1:9" s="475" customFormat="1" ht="42.75" customHeight="1">
      <c r="A8" s="824" t="s">
        <v>125</v>
      </c>
      <c r="B8" s="825"/>
      <c r="C8" s="825"/>
      <c r="D8" s="825"/>
      <c r="E8" s="825"/>
      <c r="F8" s="825"/>
      <c r="G8" s="825"/>
      <c r="H8" s="825"/>
      <c r="I8" s="826"/>
    </row>
    <row r="9" spans="1:9" ht="6" customHeight="1">
      <c r="A9" s="827"/>
      <c r="B9" s="827"/>
      <c r="C9" s="827"/>
      <c r="D9" s="827"/>
      <c r="E9" s="827"/>
      <c r="F9" s="827"/>
      <c r="G9" s="827"/>
      <c r="H9" s="827"/>
      <c r="I9" s="827"/>
    </row>
    <row r="10" spans="1:9" s="478" customFormat="1" ht="33.75">
      <c r="A10" s="476" t="s">
        <v>126</v>
      </c>
      <c r="B10" s="476" t="s">
        <v>127</v>
      </c>
      <c r="C10" s="31" t="s">
        <v>2479</v>
      </c>
      <c r="D10" s="31" t="s">
        <v>2487</v>
      </c>
      <c r="E10" s="31" t="s">
        <v>2478</v>
      </c>
      <c r="F10" s="32" t="s">
        <v>128</v>
      </c>
      <c r="G10" s="33" t="s">
        <v>2488</v>
      </c>
      <c r="H10" s="33" t="s">
        <v>2477</v>
      </c>
      <c r="I10" s="477" t="s">
        <v>129</v>
      </c>
    </row>
    <row r="11" spans="1:9" ht="5.25" customHeight="1" thickBot="1">
      <c r="A11" s="479"/>
      <c r="B11" s="480"/>
      <c r="C11" s="34"/>
      <c r="D11" s="34"/>
      <c r="E11" s="34"/>
      <c r="F11" s="22"/>
      <c r="G11" s="35"/>
      <c r="H11" s="35"/>
      <c r="I11" s="481"/>
    </row>
    <row r="12" spans="1:9" ht="17.45" customHeight="1" thickBot="1">
      <c r="A12" s="810" t="s">
        <v>130</v>
      </c>
      <c r="B12" s="811"/>
      <c r="C12" s="811"/>
      <c r="D12" s="811"/>
      <c r="E12" s="811"/>
      <c r="F12" s="811"/>
      <c r="G12" s="811"/>
      <c r="H12" s="811"/>
      <c r="I12" s="812"/>
    </row>
    <row r="13" spans="1:9" ht="13.5" thickBot="1">
      <c r="A13" s="482" t="s">
        <v>266</v>
      </c>
      <c r="B13" s="483"/>
      <c r="C13" s="36"/>
      <c r="D13" s="36"/>
      <c r="E13" s="36"/>
      <c r="F13" s="484"/>
      <c r="G13" s="37">
        <f>SUM(G15:G34)</f>
        <v>0</v>
      </c>
      <c r="H13" s="37">
        <f>SUM(H15:H34)</f>
        <v>0</v>
      </c>
      <c r="I13" s="485" t="s">
        <v>131</v>
      </c>
    </row>
    <row r="14" spans="1:9" s="489" customFormat="1">
      <c r="A14" s="486" t="s">
        <v>1239</v>
      </c>
      <c r="B14" s="487"/>
      <c r="C14" s="136"/>
      <c r="D14" s="136"/>
      <c r="E14" s="136"/>
      <c r="F14" s="137"/>
      <c r="G14" s="138"/>
      <c r="H14" s="138"/>
      <c r="I14" s="488"/>
    </row>
    <row r="15" spans="1:9" ht="22.5">
      <c r="A15" s="490" t="s">
        <v>2335</v>
      </c>
      <c r="B15" s="491" t="s">
        <v>67</v>
      </c>
      <c r="C15" s="87">
        <v>2</v>
      </c>
      <c r="D15" s="87"/>
      <c r="E15" s="87">
        <f>C15-D15</f>
        <v>2</v>
      </c>
      <c r="F15" s="88"/>
      <c r="G15" s="89">
        <f>F15*D15</f>
        <v>0</v>
      </c>
      <c r="H15" s="89">
        <f>F15*E15</f>
        <v>0</v>
      </c>
      <c r="I15" s="492"/>
    </row>
    <row r="16" spans="1:9" ht="22.5">
      <c r="A16" s="490" t="s">
        <v>2336</v>
      </c>
      <c r="B16" s="491" t="s">
        <v>67</v>
      </c>
      <c r="C16" s="87">
        <v>1</v>
      </c>
      <c r="D16" s="87"/>
      <c r="E16" s="87">
        <f>C16-D16</f>
        <v>1</v>
      </c>
      <c r="F16" s="88"/>
      <c r="G16" s="89">
        <f>F16*D16</f>
        <v>0</v>
      </c>
      <c r="H16" s="89">
        <f>F16*E16</f>
        <v>0</v>
      </c>
      <c r="I16" s="492"/>
    </row>
    <row r="17" spans="1:9" ht="22.5">
      <c r="A17" s="490" t="s">
        <v>2337</v>
      </c>
      <c r="B17" s="491" t="s">
        <v>67</v>
      </c>
      <c r="C17" s="87">
        <v>1</v>
      </c>
      <c r="D17" s="87"/>
      <c r="E17" s="87">
        <f>C17-D17</f>
        <v>1</v>
      </c>
      <c r="F17" s="88"/>
      <c r="G17" s="89">
        <f>F17*D17</f>
        <v>0</v>
      </c>
      <c r="H17" s="89">
        <f>F17*E17</f>
        <v>0</v>
      </c>
      <c r="I17" s="492"/>
    </row>
    <row r="18" spans="1:9" ht="22.5">
      <c r="A18" s="490" t="s">
        <v>2338</v>
      </c>
      <c r="B18" s="491" t="s">
        <v>67</v>
      </c>
      <c r="C18" s="87">
        <v>2</v>
      </c>
      <c r="D18" s="87">
        <v>1</v>
      </c>
      <c r="E18" s="87">
        <f>C18-D18</f>
        <v>1</v>
      </c>
      <c r="F18" s="88"/>
      <c r="G18" s="89">
        <f>F18*D18</f>
        <v>0</v>
      </c>
      <c r="H18" s="89">
        <f>F18*E18</f>
        <v>0</v>
      </c>
      <c r="I18" s="492"/>
    </row>
    <row r="19" spans="1:9" ht="22.5">
      <c r="A19" s="490" t="s">
        <v>2339</v>
      </c>
      <c r="B19" s="491" t="s">
        <v>67</v>
      </c>
      <c r="C19" s="87">
        <v>2</v>
      </c>
      <c r="D19" s="87"/>
      <c r="E19" s="87">
        <f>C19-D19</f>
        <v>2</v>
      </c>
      <c r="F19" s="88"/>
      <c r="G19" s="89">
        <f>F19*D19</f>
        <v>0</v>
      </c>
      <c r="H19" s="89">
        <f>F19*E19</f>
        <v>0</v>
      </c>
      <c r="I19" s="492"/>
    </row>
    <row r="20" spans="1:9" s="489" customFormat="1">
      <c r="A20" s="486" t="s">
        <v>1240</v>
      </c>
      <c r="B20" s="487"/>
      <c r="C20" s="136"/>
      <c r="D20" s="136"/>
      <c r="E20" s="136"/>
      <c r="F20" s="137"/>
      <c r="G20" s="138"/>
      <c r="H20" s="138"/>
      <c r="I20" s="488"/>
    </row>
    <row r="21" spans="1:9">
      <c r="A21" s="490" t="s">
        <v>1241</v>
      </c>
      <c r="B21" s="491" t="s">
        <v>67</v>
      </c>
      <c r="C21" s="87">
        <v>3</v>
      </c>
      <c r="D21" s="87"/>
      <c r="E21" s="87">
        <f t="shared" ref="E21:E26" si="0">C21-D21</f>
        <v>3</v>
      </c>
      <c r="F21" s="88"/>
      <c r="G21" s="89">
        <f t="shared" ref="G21:G26" si="1">F21*D21</f>
        <v>0</v>
      </c>
      <c r="H21" s="89">
        <f t="shared" ref="H21:H26" si="2">F21*E21</f>
        <v>0</v>
      </c>
      <c r="I21" s="492"/>
    </row>
    <row r="22" spans="1:9">
      <c r="A22" s="490" t="s">
        <v>1242</v>
      </c>
      <c r="B22" s="491" t="s">
        <v>67</v>
      </c>
      <c r="C22" s="87">
        <v>3</v>
      </c>
      <c r="D22" s="87"/>
      <c r="E22" s="87">
        <f t="shared" si="0"/>
        <v>3</v>
      </c>
      <c r="F22" s="88"/>
      <c r="G22" s="89">
        <f t="shared" si="1"/>
        <v>0</v>
      </c>
      <c r="H22" s="89">
        <f t="shared" si="2"/>
        <v>0</v>
      </c>
      <c r="I22" s="492"/>
    </row>
    <row r="23" spans="1:9" ht="22.5">
      <c r="A23" s="490" t="s">
        <v>2340</v>
      </c>
      <c r="B23" s="491" t="s">
        <v>67</v>
      </c>
      <c r="C23" s="87">
        <v>3</v>
      </c>
      <c r="D23" s="87"/>
      <c r="E23" s="87">
        <f t="shared" si="0"/>
        <v>3</v>
      </c>
      <c r="F23" s="88"/>
      <c r="G23" s="89">
        <f t="shared" si="1"/>
        <v>0</v>
      </c>
      <c r="H23" s="89">
        <f t="shared" si="2"/>
        <v>0</v>
      </c>
      <c r="I23" s="492"/>
    </row>
    <row r="24" spans="1:9">
      <c r="A24" s="490" t="s">
        <v>1243</v>
      </c>
      <c r="B24" s="491" t="s">
        <v>67</v>
      </c>
      <c r="C24" s="87">
        <v>5</v>
      </c>
      <c r="D24" s="87">
        <v>1</v>
      </c>
      <c r="E24" s="87">
        <f t="shared" si="0"/>
        <v>4</v>
      </c>
      <c r="F24" s="88"/>
      <c r="G24" s="89">
        <f t="shared" si="1"/>
        <v>0</v>
      </c>
      <c r="H24" s="89">
        <f t="shared" si="2"/>
        <v>0</v>
      </c>
      <c r="I24" s="492"/>
    </row>
    <row r="25" spans="1:9">
      <c r="A25" s="490" t="s">
        <v>1244</v>
      </c>
      <c r="B25" s="491" t="s">
        <v>67</v>
      </c>
      <c r="C25" s="87">
        <v>5</v>
      </c>
      <c r="D25" s="87">
        <v>1</v>
      </c>
      <c r="E25" s="87">
        <f t="shared" si="0"/>
        <v>4</v>
      </c>
      <c r="F25" s="88"/>
      <c r="G25" s="89">
        <f t="shared" si="1"/>
        <v>0</v>
      </c>
      <c r="H25" s="89">
        <f t="shared" si="2"/>
        <v>0</v>
      </c>
      <c r="I25" s="492"/>
    </row>
    <row r="26" spans="1:9" ht="22.5">
      <c r="A26" s="490" t="s">
        <v>2341</v>
      </c>
      <c r="B26" s="491" t="s">
        <v>67</v>
      </c>
      <c r="C26" s="87">
        <v>5</v>
      </c>
      <c r="D26" s="87">
        <v>1</v>
      </c>
      <c r="E26" s="87">
        <f t="shared" si="0"/>
        <v>4</v>
      </c>
      <c r="F26" s="88"/>
      <c r="G26" s="89">
        <f t="shared" si="1"/>
        <v>0</v>
      </c>
      <c r="H26" s="89">
        <f t="shared" si="2"/>
        <v>0</v>
      </c>
      <c r="I26" s="492"/>
    </row>
    <row r="27" spans="1:9" s="489" customFormat="1">
      <c r="A27" s="486" t="s">
        <v>1245</v>
      </c>
      <c r="B27" s="487"/>
      <c r="C27" s="136"/>
      <c r="D27" s="136"/>
      <c r="E27" s="136"/>
      <c r="F27" s="137"/>
      <c r="G27" s="138"/>
      <c r="H27" s="138"/>
      <c r="I27" s="488"/>
    </row>
    <row r="28" spans="1:9">
      <c r="A28" s="490" t="s">
        <v>1247</v>
      </c>
      <c r="B28" s="491" t="s">
        <v>67</v>
      </c>
      <c r="C28" s="87">
        <v>7</v>
      </c>
      <c r="D28" s="87"/>
      <c r="E28" s="87">
        <f>C28-D28</f>
        <v>7</v>
      </c>
      <c r="F28" s="88"/>
      <c r="G28" s="89">
        <f>F28*D28</f>
        <v>0</v>
      </c>
      <c r="H28" s="89">
        <f>F28*E28</f>
        <v>0</v>
      </c>
      <c r="I28" s="492"/>
    </row>
    <row r="29" spans="1:9">
      <c r="A29" s="490" t="s">
        <v>1248</v>
      </c>
      <c r="B29" s="491" t="s">
        <v>67</v>
      </c>
      <c r="C29" s="87">
        <v>7</v>
      </c>
      <c r="D29" s="87"/>
      <c r="E29" s="87">
        <f>C29-D29</f>
        <v>7</v>
      </c>
      <c r="F29" s="88"/>
      <c r="G29" s="89">
        <f>F29*D29</f>
        <v>0</v>
      </c>
      <c r="H29" s="89">
        <f>F29*E29</f>
        <v>0</v>
      </c>
      <c r="I29" s="492"/>
    </row>
    <row r="30" spans="1:9">
      <c r="A30" s="490" t="s">
        <v>1249</v>
      </c>
      <c r="B30" s="491" t="s">
        <v>67</v>
      </c>
      <c r="C30" s="87">
        <v>14</v>
      </c>
      <c r="D30" s="87"/>
      <c r="E30" s="87">
        <f>C30-D30</f>
        <v>14</v>
      </c>
      <c r="F30" s="88"/>
      <c r="G30" s="89">
        <f>F30*D30</f>
        <v>0</v>
      </c>
      <c r="H30" s="89">
        <f>F30*E30</f>
        <v>0</v>
      </c>
      <c r="I30" s="492"/>
    </row>
    <row r="31" spans="1:9" s="489" customFormat="1">
      <c r="A31" s="486" t="s">
        <v>1246</v>
      </c>
      <c r="B31" s="487"/>
      <c r="C31" s="136"/>
      <c r="D31" s="136"/>
      <c r="E31" s="136"/>
      <c r="F31" s="137"/>
      <c r="G31" s="138"/>
      <c r="H31" s="138"/>
      <c r="I31" s="488"/>
    </row>
    <row r="32" spans="1:9">
      <c r="A32" s="490" t="s">
        <v>1250</v>
      </c>
      <c r="B32" s="491" t="s">
        <v>67</v>
      </c>
      <c r="C32" s="87">
        <v>1</v>
      </c>
      <c r="D32" s="87"/>
      <c r="E32" s="87">
        <f>C32-D32</f>
        <v>1</v>
      </c>
      <c r="F32" s="88"/>
      <c r="G32" s="89">
        <f>F32*D32</f>
        <v>0</v>
      </c>
      <c r="H32" s="89">
        <f>F32*E32</f>
        <v>0</v>
      </c>
      <c r="I32" s="492"/>
    </row>
    <row r="33" spans="1:9">
      <c r="A33" s="490" t="s">
        <v>1251</v>
      </c>
      <c r="B33" s="491" t="s">
        <v>67</v>
      </c>
      <c r="C33" s="87">
        <v>1</v>
      </c>
      <c r="D33" s="87"/>
      <c r="E33" s="87">
        <f>C33-D33</f>
        <v>1</v>
      </c>
      <c r="F33" s="88"/>
      <c r="G33" s="89">
        <f>F33*D33</f>
        <v>0</v>
      </c>
      <c r="H33" s="89">
        <f>F33*E33</f>
        <v>0</v>
      </c>
      <c r="I33" s="492"/>
    </row>
    <row r="34" spans="1:9" ht="4.5" customHeight="1" thickBot="1">
      <c r="A34" s="493"/>
      <c r="B34" s="494"/>
      <c r="C34" s="38"/>
      <c r="D34" s="38"/>
      <c r="E34" s="38"/>
      <c r="F34" s="201"/>
      <c r="G34" s="22"/>
      <c r="H34" s="22"/>
      <c r="I34" s="495"/>
    </row>
    <row r="35" spans="1:9" ht="26.25" thickBot="1">
      <c r="A35" s="482" t="s">
        <v>267</v>
      </c>
      <c r="B35" s="496"/>
      <c r="C35" s="39"/>
      <c r="D35" s="39"/>
      <c r="E35" s="39"/>
      <c r="F35" s="202"/>
      <c r="G35" s="37">
        <f>SUM(G36:G42)</f>
        <v>0</v>
      </c>
      <c r="H35" s="37">
        <f>SUM(H36:H42)</f>
        <v>0</v>
      </c>
      <c r="I35" s="485" t="s">
        <v>131</v>
      </c>
    </row>
    <row r="36" spans="1:9">
      <c r="A36" s="497" t="s">
        <v>1252</v>
      </c>
      <c r="B36" s="498" t="s">
        <v>81</v>
      </c>
      <c r="C36" s="85">
        <v>25</v>
      </c>
      <c r="D36" s="85">
        <v>6</v>
      </c>
      <c r="E36" s="85">
        <f>C36-D36</f>
        <v>19</v>
      </c>
      <c r="F36" s="91"/>
      <c r="G36" s="86">
        <f>F36*D36</f>
        <v>0</v>
      </c>
      <c r="H36" s="86">
        <f>F36*E36</f>
        <v>0</v>
      </c>
      <c r="I36" s="499"/>
    </row>
    <row r="37" spans="1:9">
      <c r="A37" s="500" t="s">
        <v>1253</v>
      </c>
      <c r="B37" s="491" t="s">
        <v>67</v>
      </c>
      <c r="C37" s="87">
        <v>65</v>
      </c>
      <c r="D37" s="87">
        <v>8</v>
      </c>
      <c r="E37" s="87">
        <f>C37-D37</f>
        <v>57</v>
      </c>
      <c r="F37" s="90"/>
      <c r="G37" s="89">
        <f>F37*D37</f>
        <v>0</v>
      </c>
      <c r="H37" s="89">
        <f>F37*E37</f>
        <v>0</v>
      </c>
      <c r="I37" s="499"/>
    </row>
    <row r="38" spans="1:9" s="489" customFormat="1">
      <c r="A38" s="486"/>
      <c r="B38" s="487"/>
      <c r="C38" s="136"/>
      <c r="D38" s="136"/>
      <c r="E38" s="136"/>
      <c r="F38" s="137"/>
      <c r="G38" s="138"/>
      <c r="H38" s="138"/>
      <c r="I38" s="488"/>
    </row>
    <row r="39" spans="1:9">
      <c r="A39" s="490" t="s">
        <v>1254</v>
      </c>
      <c r="B39" s="491" t="s">
        <v>67</v>
      </c>
      <c r="C39" s="87">
        <v>3</v>
      </c>
      <c r="D39" s="87"/>
      <c r="E39" s="87">
        <f>C39-D39</f>
        <v>3</v>
      </c>
      <c r="F39" s="88"/>
      <c r="G39" s="89">
        <f>F39*D39</f>
        <v>0</v>
      </c>
      <c r="H39" s="89">
        <f>F39*E39</f>
        <v>0</v>
      </c>
      <c r="I39" s="492"/>
    </row>
    <row r="40" spans="1:9">
      <c r="A40" s="490" t="s">
        <v>1255</v>
      </c>
      <c r="B40" s="491" t="s">
        <v>67</v>
      </c>
      <c r="C40" s="87">
        <v>3</v>
      </c>
      <c r="D40" s="87"/>
      <c r="E40" s="87">
        <f>C40-D40</f>
        <v>3</v>
      </c>
      <c r="F40" s="88"/>
      <c r="G40" s="89">
        <f>F40*D40</f>
        <v>0</v>
      </c>
      <c r="H40" s="89">
        <f>F40*E40</f>
        <v>0</v>
      </c>
      <c r="I40" s="492"/>
    </row>
    <row r="41" spans="1:9">
      <c r="A41" s="490" t="s">
        <v>1256</v>
      </c>
      <c r="B41" s="491" t="s">
        <v>67</v>
      </c>
      <c r="C41" s="87">
        <v>1</v>
      </c>
      <c r="D41" s="87">
        <v>1</v>
      </c>
      <c r="E41" s="87">
        <f>C41-D41</f>
        <v>0</v>
      </c>
      <c r="F41" s="88"/>
      <c r="G41" s="89">
        <f>F41*D41</f>
        <v>0</v>
      </c>
      <c r="H41" s="89">
        <f>F41*E41</f>
        <v>0</v>
      </c>
      <c r="I41" s="492"/>
    </row>
    <row r="42" spans="1:9">
      <c r="A42" s="490" t="s">
        <v>1257</v>
      </c>
      <c r="B42" s="491" t="s">
        <v>67</v>
      </c>
      <c r="C42" s="87">
        <v>1</v>
      </c>
      <c r="D42" s="87"/>
      <c r="E42" s="87">
        <f>C42-D42</f>
        <v>1</v>
      </c>
      <c r="F42" s="88"/>
      <c r="G42" s="89">
        <f>F42*D42</f>
        <v>0</v>
      </c>
      <c r="H42" s="89">
        <f>F42*E42</f>
        <v>0</v>
      </c>
      <c r="I42" s="492"/>
    </row>
    <row r="43" spans="1:9" ht="6" customHeight="1" thickBot="1">
      <c r="A43" s="501"/>
      <c r="B43" s="502"/>
      <c r="C43" s="40"/>
      <c r="D43" s="40"/>
      <c r="E43" s="40"/>
      <c r="F43" s="201"/>
      <c r="G43" s="22"/>
      <c r="H43" s="22"/>
      <c r="I43" s="495"/>
    </row>
    <row r="44" spans="1:9" ht="13.5" thickBot="1">
      <c r="A44" s="482" t="s">
        <v>268</v>
      </c>
      <c r="B44" s="496"/>
      <c r="C44" s="39"/>
      <c r="D44" s="39"/>
      <c r="E44" s="39"/>
      <c r="F44" s="202"/>
      <c r="G44" s="37">
        <f>SUM(G45:G50)</f>
        <v>0</v>
      </c>
      <c r="H44" s="37">
        <f>SUM(H45:H50)</f>
        <v>0</v>
      </c>
      <c r="I44" s="485" t="s">
        <v>131</v>
      </c>
    </row>
    <row r="45" spans="1:9" s="489" customFormat="1">
      <c r="A45" s="503" t="s">
        <v>269</v>
      </c>
      <c r="B45" s="504"/>
      <c r="C45" s="133"/>
      <c r="D45" s="133"/>
      <c r="E45" s="133"/>
      <c r="F45" s="134"/>
      <c r="G45" s="135"/>
      <c r="H45" s="135"/>
      <c r="I45" s="488"/>
    </row>
    <row r="46" spans="1:9">
      <c r="A46" s="500" t="s">
        <v>497</v>
      </c>
      <c r="B46" s="491" t="s">
        <v>81</v>
      </c>
      <c r="C46" s="87">
        <v>120</v>
      </c>
      <c r="D46" s="87">
        <v>40</v>
      </c>
      <c r="E46" s="87">
        <f>C46-D46</f>
        <v>80</v>
      </c>
      <c r="F46" s="90"/>
      <c r="G46" s="89">
        <f>F46*D46</f>
        <v>0</v>
      </c>
      <c r="H46" s="89">
        <f>F46*E46</f>
        <v>0</v>
      </c>
      <c r="I46" s="499"/>
    </row>
    <row r="47" spans="1:9">
      <c r="A47" s="500" t="s">
        <v>498</v>
      </c>
      <c r="B47" s="491" t="s">
        <v>81</v>
      </c>
      <c r="C47" s="87">
        <v>18</v>
      </c>
      <c r="D47" s="87"/>
      <c r="E47" s="87">
        <f>C47-D47</f>
        <v>18</v>
      </c>
      <c r="F47" s="90"/>
      <c r="G47" s="89">
        <f>F47*D47</f>
        <v>0</v>
      </c>
      <c r="H47" s="89">
        <f>F47*E47</f>
        <v>0</v>
      </c>
      <c r="I47" s="499"/>
    </row>
    <row r="48" spans="1:9">
      <c r="A48" s="500" t="s">
        <v>499</v>
      </c>
      <c r="B48" s="491" t="s">
        <v>81</v>
      </c>
      <c r="C48" s="87">
        <v>18</v>
      </c>
      <c r="D48" s="87">
        <v>12</v>
      </c>
      <c r="E48" s="87">
        <f>C48-D48</f>
        <v>6</v>
      </c>
      <c r="F48" s="90"/>
      <c r="G48" s="89">
        <f>F48*D48</f>
        <v>0</v>
      </c>
      <c r="H48" s="89">
        <f>F48*E48</f>
        <v>0</v>
      </c>
      <c r="I48" s="499"/>
    </row>
    <row r="49" spans="1:9" s="489" customFormat="1">
      <c r="A49" s="486" t="s">
        <v>270</v>
      </c>
      <c r="B49" s="487"/>
      <c r="C49" s="136"/>
      <c r="D49" s="136"/>
      <c r="E49" s="136"/>
      <c r="F49" s="137"/>
      <c r="G49" s="138"/>
      <c r="H49" s="138"/>
      <c r="I49" s="488"/>
    </row>
    <row r="50" spans="1:9">
      <c r="A50" s="500" t="s">
        <v>497</v>
      </c>
      <c r="B50" s="491" t="s">
        <v>81</v>
      </c>
      <c r="C50" s="87">
        <v>61</v>
      </c>
      <c r="D50" s="87"/>
      <c r="E50" s="87">
        <f>C50-D50</f>
        <v>61</v>
      </c>
      <c r="F50" s="90"/>
      <c r="G50" s="89">
        <f>F50*D50</f>
        <v>0</v>
      </c>
      <c r="H50" s="89">
        <f>F50*E50</f>
        <v>0</v>
      </c>
      <c r="I50" s="499"/>
    </row>
    <row r="51" spans="1:9" ht="6" customHeight="1" thickBot="1">
      <c r="A51" s="501"/>
      <c r="B51" s="502"/>
      <c r="C51" s="40"/>
      <c r="D51" s="40"/>
      <c r="E51" s="40"/>
      <c r="F51" s="201"/>
      <c r="G51" s="22"/>
      <c r="H51" s="22"/>
      <c r="I51" s="495"/>
    </row>
    <row r="52" spans="1:9" ht="13.5" thickBot="1">
      <c r="A52" s="482" t="s">
        <v>271</v>
      </c>
      <c r="B52" s="496"/>
      <c r="C52" s="39"/>
      <c r="D52" s="39"/>
      <c r="E52" s="39"/>
      <c r="F52" s="202"/>
      <c r="G52" s="37">
        <f>SUM(G53:G62)</f>
        <v>0</v>
      </c>
      <c r="H52" s="37">
        <f>SUM(H53:H62)</f>
        <v>0</v>
      </c>
      <c r="I52" s="485" t="s">
        <v>131</v>
      </c>
    </row>
    <row r="53" spans="1:9" s="489" customFormat="1">
      <c r="A53" s="503" t="s">
        <v>272</v>
      </c>
      <c r="B53" s="504"/>
      <c r="C53" s="133"/>
      <c r="D53" s="133"/>
      <c r="E53" s="133"/>
      <c r="F53" s="134"/>
      <c r="G53" s="135"/>
      <c r="H53" s="135"/>
      <c r="I53" s="488"/>
    </row>
    <row r="54" spans="1:9">
      <c r="A54" s="500" t="s">
        <v>500</v>
      </c>
      <c r="B54" s="491" t="s">
        <v>81</v>
      </c>
      <c r="C54" s="87">
        <f>C46</f>
        <v>120</v>
      </c>
      <c r="D54" s="87">
        <f>D46</f>
        <v>40</v>
      </c>
      <c r="E54" s="87">
        <f>C54-D54</f>
        <v>80</v>
      </c>
      <c r="F54" s="90"/>
      <c r="G54" s="89">
        <f>F54*D54</f>
        <v>0</v>
      </c>
      <c r="H54" s="89">
        <f>F54*E54</f>
        <v>0</v>
      </c>
      <c r="I54" s="499"/>
    </row>
    <row r="55" spans="1:9">
      <c r="A55" s="500" t="s">
        <v>501</v>
      </c>
      <c r="B55" s="491" t="s">
        <v>81</v>
      </c>
      <c r="C55" s="87">
        <f>C47</f>
        <v>18</v>
      </c>
      <c r="D55" s="87"/>
      <c r="E55" s="87">
        <f>C55-D55</f>
        <v>18</v>
      </c>
      <c r="F55" s="90"/>
      <c r="G55" s="89">
        <f>F55*D55</f>
        <v>0</v>
      </c>
      <c r="H55" s="89">
        <f>F55*E55</f>
        <v>0</v>
      </c>
      <c r="I55" s="499"/>
    </row>
    <row r="56" spans="1:9">
      <c r="A56" s="500" t="s">
        <v>502</v>
      </c>
      <c r="B56" s="491" t="s">
        <v>81</v>
      </c>
      <c r="C56" s="87">
        <f>C36+C48</f>
        <v>43</v>
      </c>
      <c r="D56" s="87">
        <f>D48</f>
        <v>12</v>
      </c>
      <c r="E56" s="87">
        <f>C56-D56</f>
        <v>31</v>
      </c>
      <c r="F56" s="90"/>
      <c r="G56" s="89">
        <f>F56*D56</f>
        <v>0</v>
      </c>
      <c r="H56" s="89">
        <f>F56*E56</f>
        <v>0</v>
      </c>
      <c r="I56" s="499"/>
    </row>
    <row r="57" spans="1:9">
      <c r="A57" s="500" t="s">
        <v>1258</v>
      </c>
      <c r="B57" s="491" t="s">
        <v>81</v>
      </c>
      <c r="C57" s="87">
        <f>C37</f>
        <v>65</v>
      </c>
      <c r="D57" s="87"/>
      <c r="E57" s="87">
        <f>C57-D57</f>
        <v>65</v>
      </c>
      <c r="F57" s="90"/>
      <c r="G57" s="89">
        <f>F57*D57</f>
        <v>0</v>
      </c>
      <c r="H57" s="89">
        <f>F57*E57</f>
        <v>0</v>
      </c>
      <c r="I57" s="499"/>
    </row>
    <row r="58" spans="1:9">
      <c r="A58" s="500" t="s">
        <v>273</v>
      </c>
      <c r="B58" s="491" t="s">
        <v>81</v>
      </c>
      <c r="C58" s="87">
        <f>SUM(C54:C57)</f>
        <v>246</v>
      </c>
      <c r="D58" s="87">
        <f>SUM(D54:D57)</f>
        <v>52</v>
      </c>
      <c r="E58" s="87">
        <f>C58-D58</f>
        <v>194</v>
      </c>
      <c r="F58" s="90"/>
      <c r="G58" s="89">
        <f>F58*D58</f>
        <v>0</v>
      </c>
      <c r="H58" s="89">
        <f>F58*E58</f>
        <v>0</v>
      </c>
      <c r="I58" s="499"/>
    </row>
    <row r="59" spans="1:9" s="489" customFormat="1">
      <c r="A59" s="486" t="s">
        <v>274</v>
      </c>
      <c r="B59" s="487"/>
      <c r="C59" s="136"/>
      <c r="D59" s="136"/>
      <c r="E59" s="136"/>
      <c r="F59" s="137"/>
      <c r="G59" s="138"/>
      <c r="H59" s="138"/>
      <c r="I59" s="488"/>
    </row>
    <row r="60" spans="1:9">
      <c r="A60" s="500" t="s">
        <v>275</v>
      </c>
      <c r="B60" s="491" t="s">
        <v>81</v>
      </c>
      <c r="C60" s="87">
        <f>C50</f>
        <v>61</v>
      </c>
      <c r="D60" s="87"/>
      <c r="E60" s="87">
        <f>C60-D60</f>
        <v>61</v>
      </c>
      <c r="F60" s="90"/>
      <c r="G60" s="89">
        <f>F60*D60</f>
        <v>0</v>
      </c>
      <c r="H60" s="89">
        <f>F60*E60</f>
        <v>0</v>
      </c>
      <c r="I60" s="499"/>
    </row>
    <row r="61" spans="1:9">
      <c r="A61" s="500" t="s">
        <v>276</v>
      </c>
      <c r="B61" s="491" t="s">
        <v>67</v>
      </c>
      <c r="C61" s="87">
        <v>1</v>
      </c>
      <c r="D61" s="87"/>
      <c r="E61" s="87">
        <f>C61-D61</f>
        <v>1</v>
      </c>
      <c r="F61" s="90"/>
      <c r="G61" s="89">
        <f>F61*D61</f>
        <v>0</v>
      </c>
      <c r="H61" s="89">
        <f>F61*E61</f>
        <v>0</v>
      </c>
      <c r="I61" s="499"/>
    </row>
    <row r="62" spans="1:9">
      <c r="A62" s="500" t="s">
        <v>277</v>
      </c>
      <c r="B62" s="491" t="s">
        <v>67</v>
      </c>
      <c r="C62" s="87">
        <v>1</v>
      </c>
      <c r="D62" s="87"/>
      <c r="E62" s="87">
        <f>C62-D62</f>
        <v>1</v>
      </c>
      <c r="F62" s="90"/>
      <c r="G62" s="89">
        <f>F62*D62</f>
        <v>0</v>
      </c>
      <c r="H62" s="89">
        <f>F62*E62</f>
        <v>0</v>
      </c>
      <c r="I62" s="499"/>
    </row>
    <row r="63" spans="1:9" ht="6" customHeight="1" thickBot="1">
      <c r="A63" s="501"/>
      <c r="B63" s="502"/>
      <c r="C63" s="40"/>
      <c r="D63" s="40"/>
      <c r="E63" s="40"/>
      <c r="F63" s="201"/>
      <c r="G63" s="22"/>
      <c r="H63" s="22"/>
      <c r="I63" s="495"/>
    </row>
    <row r="64" spans="1:9" ht="13.5" thickBot="1">
      <c r="A64" s="482" t="s">
        <v>1259</v>
      </c>
      <c r="B64" s="496"/>
      <c r="C64" s="39"/>
      <c r="D64" s="39"/>
      <c r="E64" s="39"/>
      <c r="F64" s="202"/>
      <c r="G64" s="37">
        <f>SUM(G65:G69)</f>
        <v>0</v>
      </c>
      <c r="H64" s="37">
        <f>SUM(H65:H69)</f>
        <v>0</v>
      </c>
      <c r="I64" s="485" t="s">
        <v>131</v>
      </c>
    </row>
    <row r="65" spans="1:9">
      <c r="A65" s="500" t="s">
        <v>278</v>
      </c>
      <c r="B65" s="491" t="s">
        <v>67</v>
      </c>
      <c r="C65" s="87">
        <v>40</v>
      </c>
      <c r="D65" s="87">
        <v>10</v>
      </c>
      <c r="E65" s="87">
        <f>C65-D65</f>
        <v>30</v>
      </c>
      <c r="F65" s="90"/>
      <c r="G65" s="89">
        <f>F65*D65</f>
        <v>0</v>
      </c>
      <c r="H65" s="89">
        <f>F65*E65</f>
        <v>0</v>
      </c>
      <c r="I65" s="499"/>
    </row>
    <row r="66" spans="1:9">
      <c r="A66" s="500" t="s">
        <v>279</v>
      </c>
      <c r="B66" s="491" t="s">
        <v>67</v>
      </c>
      <c r="C66" s="87">
        <v>20</v>
      </c>
      <c r="D66" s="87"/>
      <c r="E66" s="87">
        <f>C66-D66</f>
        <v>20</v>
      </c>
      <c r="F66" s="90"/>
      <c r="G66" s="89">
        <f>F66*D66</f>
        <v>0</v>
      </c>
      <c r="H66" s="89">
        <f>F66*E66</f>
        <v>0</v>
      </c>
      <c r="I66" s="499"/>
    </row>
    <row r="67" spans="1:9">
      <c r="A67" s="500" t="s">
        <v>280</v>
      </c>
      <c r="B67" s="491" t="s">
        <v>67</v>
      </c>
      <c r="C67" s="87">
        <v>20</v>
      </c>
      <c r="D67" s="87">
        <v>4</v>
      </c>
      <c r="E67" s="87">
        <f>C67-D67</f>
        <v>16</v>
      </c>
      <c r="F67" s="90"/>
      <c r="G67" s="89">
        <f>F67*D67</f>
        <v>0</v>
      </c>
      <c r="H67" s="89">
        <f>F67*E67</f>
        <v>0</v>
      </c>
      <c r="I67" s="499"/>
    </row>
    <row r="68" spans="1:9">
      <c r="A68" s="500" t="s">
        <v>281</v>
      </c>
      <c r="B68" s="491" t="s">
        <v>67</v>
      </c>
      <c r="C68" s="87">
        <v>80</v>
      </c>
      <c r="D68" s="87">
        <f>SUM(D65:D67)</f>
        <v>14</v>
      </c>
      <c r="E68" s="87">
        <f>C68-D68</f>
        <v>66</v>
      </c>
      <c r="F68" s="90"/>
      <c r="G68" s="89">
        <f>F68*D68</f>
        <v>0</v>
      </c>
      <c r="H68" s="89">
        <f>F68*E68</f>
        <v>0</v>
      </c>
      <c r="I68" s="499"/>
    </row>
    <row r="69" spans="1:9">
      <c r="A69" s="500" t="s">
        <v>282</v>
      </c>
      <c r="B69" s="491" t="s">
        <v>67</v>
      </c>
      <c r="C69" s="87">
        <v>80</v>
      </c>
      <c r="D69" s="87">
        <f>D68</f>
        <v>14</v>
      </c>
      <c r="E69" s="87">
        <f>C69-D69</f>
        <v>66</v>
      </c>
      <c r="F69" s="90"/>
      <c r="G69" s="89">
        <f>F69*D69</f>
        <v>0</v>
      </c>
      <c r="H69" s="89">
        <f>F69*E69</f>
        <v>0</v>
      </c>
      <c r="I69" s="499"/>
    </row>
    <row r="70" spans="1:9" ht="6" customHeight="1" thickBot="1">
      <c r="A70" s="501"/>
      <c r="B70" s="502"/>
      <c r="C70" s="40"/>
      <c r="D70" s="40"/>
      <c r="E70" s="40"/>
      <c r="F70" s="201"/>
      <c r="G70" s="22"/>
      <c r="H70" s="22"/>
      <c r="I70" s="495"/>
    </row>
    <row r="71" spans="1:9" ht="13.5" thickBot="1">
      <c r="A71" s="482" t="s">
        <v>1261</v>
      </c>
      <c r="B71" s="496"/>
      <c r="C71" s="39"/>
      <c r="D71" s="39"/>
      <c r="E71" s="39"/>
      <c r="F71" s="202"/>
      <c r="G71" s="37">
        <f>SUM(G72:G87)</f>
        <v>0</v>
      </c>
      <c r="H71" s="37">
        <f>SUM(H72:H87)</f>
        <v>0</v>
      </c>
      <c r="I71" s="485" t="s">
        <v>131</v>
      </c>
    </row>
    <row r="72" spans="1:9" s="489" customFormat="1">
      <c r="A72" s="486" t="s">
        <v>1260</v>
      </c>
      <c r="B72" s="487"/>
      <c r="C72" s="136"/>
      <c r="D72" s="136"/>
      <c r="E72" s="136"/>
      <c r="F72" s="137"/>
      <c r="G72" s="138"/>
      <c r="H72" s="138"/>
      <c r="I72" s="488"/>
    </row>
    <row r="73" spans="1:9">
      <c r="A73" s="500" t="s">
        <v>2246</v>
      </c>
      <c r="B73" s="491" t="s">
        <v>67</v>
      </c>
      <c r="C73" s="87">
        <v>3</v>
      </c>
      <c r="D73" s="87"/>
      <c r="E73" s="87">
        <f>C73-D73</f>
        <v>3</v>
      </c>
      <c r="F73" s="90"/>
      <c r="G73" s="89">
        <f>F73*D73</f>
        <v>0</v>
      </c>
      <c r="H73" s="89">
        <f>F73*E73</f>
        <v>0</v>
      </c>
      <c r="I73" s="499"/>
    </row>
    <row r="74" spans="1:9" s="489" customFormat="1">
      <c r="A74" s="486" t="s">
        <v>503</v>
      </c>
      <c r="B74" s="487"/>
      <c r="C74" s="136"/>
      <c r="D74" s="136"/>
      <c r="E74" s="136"/>
      <c r="F74" s="137"/>
      <c r="G74" s="138"/>
      <c r="H74" s="138"/>
      <c r="I74" s="488"/>
    </row>
    <row r="75" spans="1:9">
      <c r="A75" s="500" t="s">
        <v>2247</v>
      </c>
      <c r="B75" s="491" t="s">
        <v>67</v>
      </c>
      <c r="C75" s="87">
        <v>8</v>
      </c>
      <c r="D75" s="87"/>
      <c r="E75" s="87">
        <f>C75-D75</f>
        <v>8</v>
      </c>
      <c r="F75" s="90"/>
      <c r="G75" s="89">
        <f>F75*D75</f>
        <v>0</v>
      </c>
      <c r="H75" s="89">
        <f>F75*E75</f>
        <v>0</v>
      </c>
      <c r="I75" s="499"/>
    </row>
    <row r="76" spans="1:9">
      <c r="A76" s="500" t="s">
        <v>1262</v>
      </c>
      <c r="B76" s="491" t="s">
        <v>67</v>
      </c>
      <c r="C76" s="87">
        <v>16</v>
      </c>
      <c r="D76" s="87"/>
      <c r="E76" s="87">
        <f>C76-D76</f>
        <v>16</v>
      </c>
      <c r="F76" s="90"/>
      <c r="G76" s="89">
        <f>F76*D76</f>
        <v>0</v>
      </c>
      <c r="H76" s="89">
        <f>F76*E76</f>
        <v>0</v>
      </c>
      <c r="I76" s="499"/>
    </row>
    <row r="77" spans="1:9" s="489" customFormat="1">
      <c r="A77" s="486" t="s">
        <v>1263</v>
      </c>
      <c r="B77" s="487"/>
      <c r="C77" s="136"/>
      <c r="D77" s="136"/>
      <c r="E77" s="136"/>
      <c r="F77" s="137"/>
      <c r="G77" s="138"/>
      <c r="H77" s="138"/>
      <c r="I77" s="488"/>
    </row>
    <row r="78" spans="1:9">
      <c r="A78" s="500" t="s">
        <v>2248</v>
      </c>
      <c r="B78" s="491" t="s">
        <v>67</v>
      </c>
      <c r="C78" s="87">
        <v>1</v>
      </c>
      <c r="D78" s="87"/>
      <c r="E78" s="87">
        <f>C78-D78</f>
        <v>1</v>
      </c>
      <c r="F78" s="90"/>
      <c r="G78" s="89">
        <f>F78*D78</f>
        <v>0</v>
      </c>
      <c r="H78" s="89">
        <f>F78*E78</f>
        <v>0</v>
      </c>
      <c r="I78" s="499"/>
    </row>
    <row r="79" spans="1:9">
      <c r="A79" s="500" t="s">
        <v>2249</v>
      </c>
      <c r="B79" s="491" t="s">
        <v>67</v>
      </c>
      <c r="C79" s="87">
        <v>1</v>
      </c>
      <c r="D79" s="87"/>
      <c r="E79" s="87">
        <f>C79-D79</f>
        <v>1</v>
      </c>
      <c r="F79" s="90"/>
      <c r="G79" s="89">
        <f>F79*D79</f>
        <v>0</v>
      </c>
      <c r="H79" s="89">
        <f>F79*E79</f>
        <v>0</v>
      </c>
      <c r="I79" s="499"/>
    </row>
    <row r="80" spans="1:9" s="489" customFormat="1">
      <c r="A80" s="486" t="s">
        <v>1264</v>
      </c>
      <c r="B80" s="487"/>
      <c r="C80" s="136"/>
      <c r="D80" s="136"/>
      <c r="E80" s="136"/>
      <c r="F80" s="137"/>
      <c r="G80" s="138"/>
      <c r="H80" s="138"/>
      <c r="I80" s="488"/>
    </row>
    <row r="81" spans="1:9">
      <c r="A81" s="500" t="s">
        <v>2250</v>
      </c>
      <c r="B81" s="491" t="s">
        <v>67</v>
      </c>
      <c r="C81" s="87">
        <v>1</v>
      </c>
      <c r="D81" s="87"/>
      <c r="E81" s="87">
        <f>C81-D81</f>
        <v>1</v>
      </c>
      <c r="F81" s="90"/>
      <c r="G81" s="89">
        <f>F81*D81</f>
        <v>0</v>
      </c>
      <c r="H81" s="89">
        <f>F81*E81</f>
        <v>0</v>
      </c>
      <c r="I81" s="499"/>
    </row>
    <row r="82" spans="1:9">
      <c r="A82" s="500" t="s">
        <v>1262</v>
      </c>
      <c r="B82" s="491" t="s">
        <v>67</v>
      </c>
      <c r="C82" s="87">
        <v>2</v>
      </c>
      <c r="D82" s="87"/>
      <c r="E82" s="87">
        <f>C82-D82</f>
        <v>2</v>
      </c>
      <c r="F82" s="90"/>
      <c r="G82" s="89">
        <f>F82*D82</f>
        <v>0</v>
      </c>
      <c r="H82" s="89">
        <f>F82*E82</f>
        <v>0</v>
      </c>
      <c r="I82" s="499"/>
    </row>
    <row r="83" spans="1:9" s="489" customFormat="1">
      <c r="A83" s="486" t="s">
        <v>283</v>
      </c>
      <c r="B83" s="487"/>
      <c r="C83" s="136"/>
      <c r="D83" s="136"/>
      <c r="E83" s="136"/>
      <c r="F83" s="137"/>
      <c r="G83" s="138"/>
      <c r="H83" s="138"/>
      <c r="I83" s="488"/>
    </row>
    <row r="84" spans="1:9">
      <c r="A84" s="500" t="s">
        <v>284</v>
      </c>
      <c r="B84" s="491" t="s">
        <v>67</v>
      </c>
      <c r="C84" s="87">
        <v>2</v>
      </c>
      <c r="D84" s="87"/>
      <c r="E84" s="87">
        <f>C84-D84</f>
        <v>2</v>
      </c>
      <c r="F84" s="90"/>
      <c r="G84" s="89">
        <f>F84*D84</f>
        <v>0</v>
      </c>
      <c r="H84" s="89">
        <f>F84*E84</f>
        <v>0</v>
      </c>
      <c r="I84" s="499"/>
    </row>
    <row r="85" spans="1:9" s="489" customFormat="1">
      <c r="A85" s="486" t="s">
        <v>1265</v>
      </c>
      <c r="B85" s="487"/>
      <c r="C85" s="136"/>
      <c r="D85" s="136"/>
      <c r="E85" s="136"/>
      <c r="F85" s="137"/>
      <c r="G85" s="138"/>
      <c r="H85" s="138"/>
      <c r="I85" s="488"/>
    </row>
    <row r="86" spans="1:9">
      <c r="A86" s="500" t="s">
        <v>2251</v>
      </c>
      <c r="B86" s="491" t="s">
        <v>67</v>
      </c>
      <c r="C86" s="87">
        <v>2</v>
      </c>
      <c r="D86" s="87"/>
      <c r="E86" s="87">
        <f>C86-D86</f>
        <v>2</v>
      </c>
      <c r="F86" s="90"/>
      <c r="G86" s="89">
        <f>F86*D86</f>
        <v>0</v>
      </c>
      <c r="H86" s="89">
        <f>F86*E86</f>
        <v>0</v>
      </c>
      <c r="I86" s="499"/>
    </row>
    <row r="87" spans="1:9">
      <c r="A87" s="500" t="s">
        <v>2252</v>
      </c>
      <c r="B87" s="491" t="s">
        <v>67</v>
      </c>
      <c r="C87" s="87">
        <v>2</v>
      </c>
      <c r="D87" s="87"/>
      <c r="E87" s="87">
        <f>C87-D87</f>
        <v>2</v>
      </c>
      <c r="F87" s="90"/>
      <c r="G87" s="89">
        <f>F87*D87</f>
        <v>0</v>
      </c>
      <c r="H87" s="89">
        <f>F87*E87</f>
        <v>0</v>
      </c>
      <c r="I87" s="499"/>
    </row>
    <row r="88" spans="1:9" ht="6" customHeight="1" thickBot="1">
      <c r="A88" s="501"/>
      <c r="B88" s="502"/>
      <c r="C88" s="40"/>
      <c r="D88" s="40"/>
      <c r="E88" s="40"/>
      <c r="F88" s="201"/>
      <c r="G88" s="22"/>
      <c r="H88" s="22"/>
      <c r="I88" s="495"/>
    </row>
    <row r="89" spans="1:9" ht="13.5" thickBot="1">
      <c r="A89" s="482" t="s">
        <v>1266</v>
      </c>
      <c r="B89" s="496"/>
      <c r="C89" s="39"/>
      <c r="D89" s="39"/>
      <c r="E89" s="39"/>
      <c r="F89" s="202"/>
      <c r="G89" s="37">
        <f>SUM(G90:G102)</f>
        <v>0</v>
      </c>
      <c r="H89" s="37">
        <f>SUM(H90:H102)</f>
        <v>0</v>
      </c>
      <c r="I89" s="485" t="s">
        <v>131</v>
      </c>
    </row>
    <row r="90" spans="1:9">
      <c r="A90" s="500" t="s">
        <v>504</v>
      </c>
      <c r="B90" s="491" t="s">
        <v>81</v>
      </c>
      <c r="C90" s="87">
        <v>31</v>
      </c>
      <c r="D90" s="87">
        <v>4</v>
      </c>
      <c r="E90" s="87">
        <f t="shared" ref="E90:E102" si="3">C90-D90</f>
        <v>27</v>
      </c>
      <c r="F90" s="90"/>
      <c r="G90" s="89">
        <f t="shared" ref="G90:G100" si="4">F90*D90</f>
        <v>0</v>
      </c>
      <c r="H90" s="89">
        <f t="shared" ref="H90:H102" si="5">F90*E90</f>
        <v>0</v>
      </c>
      <c r="I90" s="499"/>
    </row>
    <row r="91" spans="1:9">
      <c r="A91" s="500" t="s">
        <v>505</v>
      </c>
      <c r="B91" s="491" t="s">
        <v>67</v>
      </c>
      <c r="C91" s="87">
        <v>1</v>
      </c>
      <c r="D91" s="87"/>
      <c r="E91" s="87">
        <f t="shared" si="3"/>
        <v>1</v>
      </c>
      <c r="F91" s="90"/>
      <c r="G91" s="89">
        <f t="shared" si="4"/>
        <v>0</v>
      </c>
      <c r="H91" s="89">
        <f t="shared" si="5"/>
        <v>0</v>
      </c>
      <c r="I91" s="499"/>
    </row>
    <row r="92" spans="1:9">
      <c r="A92" s="500" t="s">
        <v>512</v>
      </c>
      <c r="B92" s="491" t="s">
        <v>81</v>
      </c>
      <c r="C92" s="87">
        <f>C90</f>
        <v>31</v>
      </c>
      <c r="D92" s="87">
        <f>D90</f>
        <v>4</v>
      </c>
      <c r="E92" s="87">
        <f t="shared" si="3"/>
        <v>27</v>
      </c>
      <c r="F92" s="90"/>
      <c r="G92" s="89">
        <f t="shared" si="4"/>
        <v>0</v>
      </c>
      <c r="H92" s="89">
        <f t="shared" si="5"/>
        <v>0</v>
      </c>
      <c r="I92" s="499"/>
    </row>
    <row r="93" spans="1:9">
      <c r="A93" s="500" t="s">
        <v>506</v>
      </c>
      <c r="B93" s="491" t="s">
        <v>70</v>
      </c>
      <c r="C93" s="87">
        <v>20819.099999999999</v>
      </c>
      <c r="D93" s="87"/>
      <c r="E93" s="87">
        <f t="shared" si="3"/>
        <v>20819.099999999999</v>
      </c>
      <c r="F93" s="204"/>
      <c r="G93" s="89">
        <f>F93*D93</f>
        <v>0</v>
      </c>
      <c r="H93" s="89">
        <f t="shared" si="5"/>
        <v>0</v>
      </c>
      <c r="I93" s="499"/>
    </row>
    <row r="94" spans="1:9">
      <c r="A94" s="500" t="s">
        <v>513</v>
      </c>
      <c r="B94" s="491" t="s">
        <v>70</v>
      </c>
      <c r="C94" s="87">
        <v>585</v>
      </c>
      <c r="D94" s="87"/>
      <c r="E94" s="87">
        <f t="shared" si="3"/>
        <v>585</v>
      </c>
      <c r="F94" s="204"/>
      <c r="G94" s="89">
        <f>F94*D94</f>
        <v>0</v>
      </c>
      <c r="H94" s="89">
        <f t="shared" si="5"/>
        <v>0</v>
      </c>
      <c r="I94" s="499"/>
    </row>
    <row r="95" spans="1:9">
      <c r="A95" s="500" t="s">
        <v>514</v>
      </c>
      <c r="B95" s="491" t="s">
        <v>70</v>
      </c>
      <c r="C95" s="87">
        <v>71.8</v>
      </c>
      <c r="D95" s="87"/>
      <c r="E95" s="87">
        <f t="shared" si="3"/>
        <v>71.8</v>
      </c>
      <c r="F95" s="204"/>
      <c r="G95" s="89">
        <f>F95*D95</f>
        <v>0</v>
      </c>
      <c r="H95" s="89">
        <f t="shared" si="5"/>
        <v>0</v>
      </c>
      <c r="I95" s="499"/>
    </row>
    <row r="96" spans="1:9">
      <c r="A96" s="500" t="s">
        <v>515</v>
      </c>
      <c r="B96" s="491" t="s">
        <v>70</v>
      </c>
      <c r="C96" s="87">
        <v>85.4</v>
      </c>
      <c r="D96" s="87"/>
      <c r="E96" s="87">
        <f t="shared" si="3"/>
        <v>85.4</v>
      </c>
      <c r="F96" s="204"/>
      <c r="G96" s="89">
        <f>F96*D96</f>
        <v>0</v>
      </c>
      <c r="H96" s="89">
        <f t="shared" si="5"/>
        <v>0</v>
      </c>
      <c r="I96" s="499"/>
    </row>
    <row r="97" spans="1:11">
      <c r="A97" s="500" t="s">
        <v>507</v>
      </c>
      <c r="B97" s="491" t="s">
        <v>81</v>
      </c>
      <c r="C97" s="87">
        <f>SUM(C46:C51)</f>
        <v>217</v>
      </c>
      <c r="D97" s="87">
        <f>SUM(D46:D48)+D36+D37</f>
        <v>66</v>
      </c>
      <c r="E97" s="87">
        <f t="shared" si="3"/>
        <v>151</v>
      </c>
      <c r="F97" s="90"/>
      <c r="G97" s="89">
        <f t="shared" si="4"/>
        <v>0</v>
      </c>
      <c r="H97" s="89">
        <f t="shared" si="5"/>
        <v>0</v>
      </c>
      <c r="I97" s="499"/>
    </row>
    <row r="98" spans="1:11">
      <c r="A98" s="500" t="s">
        <v>516</v>
      </c>
      <c r="B98" s="491" t="s">
        <v>81</v>
      </c>
      <c r="C98" s="87">
        <f>C97</f>
        <v>217</v>
      </c>
      <c r="D98" s="87">
        <f>D97</f>
        <v>66</v>
      </c>
      <c r="E98" s="87">
        <f t="shared" si="3"/>
        <v>151</v>
      </c>
      <c r="F98" s="90"/>
      <c r="G98" s="89">
        <f t="shared" si="4"/>
        <v>0</v>
      </c>
      <c r="H98" s="89">
        <f t="shared" si="5"/>
        <v>0</v>
      </c>
      <c r="I98" s="499"/>
    </row>
    <row r="99" spans="1:11">
      <c r="A99" s="500" t="s">
        <v>508</v>
      </c>
      <c r="B99" s="491" t="s">
        <v>67</v>
      </c>
      <c r="C99" s="87">
        <v>1</v>
      </c>
      <c r="D99" s="87"/>
      <c r="E99" s="87">
        <f t="shared" si="3"/>
        <v>1</v>
      </c>
      <c r="F99" s="90"/>
      <c r="G99" s="89">
        <f>F99*D99</f>
        <v>0</v>
      </c>
      <c r="H99" s="89">
        <f t="shared" si="5"/>
        <v>0</v>
      </c>
      <c r="I99" s="499"/>
    </row>
    <row r="100" spans="1:11">
      <c r="A100" s="500" t="s">
        <v>1974</v>
      </c>
      <c r="B100" s="491" t="s">
        <v>67</v>
      </c>
      <c r="C100" s="87">
        <v>1</v>
      </c>
      <c r="D100" s="87"/>
      <c r="E100" s="87">
        <f t="shared" si="3"/>
        <v>1</v>
      </c>
      <c r="F100" s="90"/>
      <c r="G100" s="89">
        <f t="shared" si="4"/>
        <v>0</v>
      </c>
      <c r="H100" s="89">
        <f t="shared" si="5"/>
        <v>0</v>
      </c>
      <c r="I100" s="499"/>
    </row>
    <row r="101" spans="1:11">
      <c r="A101" s="500" t="s">
        <v>509</v>
      </c>
      <c r="B101" s="491" t="s">
        <v>67</v>
      </c>
      <c r="C101" s="87">
        <v>1</v>
      </c>
      <c r="D101" s="87"/>
      <c r="E101" s="87">
        <f t="shared" si="3"/>
        <v>1</v>
      </c>
      <c r="F101" s="90"/>
      <c r="G101" s="89">
        <f>F101*D101</f>
        <v>0</v>
      </c>
      <c r="H101" s="89">
        <f t="shared" si="5"/>
        <v>0</v>
      </c>
      <c r="I101" s="499"/>
    </row>
    <row r="102" spans="1:11">
      <c r="A102" s="500" t="s">
        <v>510</v>
      </c>
      <c r="B102" s="491" t="s">
        <v>511</v>
      </c>
      <c r="C102" s="87">
        <v>4</v>
      </c>
      <c r="D102" s="87"/>
      <c r="E102" s="87">
        <f t="shared" si="3"/>
        <v>4</v>
      </c>
      <c r="F102" s="90"/>
      <c r="G102" s="89">
        <f>F102*D102</f>
        <v>0</v>
      </c>
      <c r="H102" s="89">
        <f t="shared" si="5"/>
        <v>0</v>
      </c>
      <c r="I102" s="499"/>
    </row>
    <row r="103" spans="1:11" ht="6" customHeight="1" thickBot="1">
      <c r="A103" s="501"/>
      <c r="B103" s="502"/>
      <c r="C103" s="40"/>
      <c r="D103" s="40"/>
      <c r="E103" s="40"/>
      <c r="F103" s="201"/>
      <c r="G103" s="22"/>
      <c r="H103" s="22"/>
      <c r="I103" s="495"/>
    </row>
    <row r="104" spans="1:11" ht="16.899999999999999" customHeight="1" thickBot="1">
      <c r="A104" s="505" t="s">
        <v>207</v>
      </c>
      <c r="B104" s="506"/>
      <c r="C104" s="41"/>
      <c r="D104" s="41"/>
      <c r="E104" s="41"/>
      <c r="F104" s="24"/>
      <c r="G104" s="25">
        <f>SUM(G12:G103)/2</f>
        <v>0</v>
      </c>
      <c r="H104" s="25">
        <f>SUM(H12:H103)/2</f>
        <v>0</v>
      </c>
      <c r="I104" s="507" t="s">
        <v>131</v>
      </c>
      <c r="K104" s="508"/>
    </row>
    <row r="105" spans="1:11">
      <c r="A105" s="509"/>
      <c r="B105" s="510"/>
      <c r="C105" s="23"/>
      <c r="D105" s="23"/>
      <c r="E105" s="23"/>
      <c r="F105" s="21"/>
      <c r="G105" s="21"/>
      <c r="H105" s="21"/>
      <c r="I105" s="511"/>
      <c r="K105" s="508"/>
    </row>
    <row r="106" spans="1:11">
      <c r="A106" s="831" t="s">
        <v>132</v>
      </c>
      <c r="B106" s="831"/>
      <c r="C106" s="831"/>
      <c r="D106" s="831"/>
      <c r="E106" s="831"/>
      <c r="F106" s="831"/>
      <c r="G106" s="831"/>
      <c r="H106" s="831"/>
      <c r="I106" s="831"/>
      <c r="J106" s="512"/>
    </row>
    <row r="107" spans="1:11" ht="4.9000000000000004" customHeight="1">
      <c r="A107" s="513"/>
      <c r="B107" s="514"/>
      <c r="C107" s="26"/>
      <c r="D107" s="26"/>
      <c r="E107" s="26"/>
      <c r="F107" s="27"/>
      <c r="G107" s="28"/>
      <c r="H107" s="28"/>
      <c r="I107" s="512"/>
      <c r="J107" s="512"/>
    </row>
    <row r="108" spans="1:11">
      <c r="A108" s="830" t="s">
        <v>133</v>
      </c>
      <c r="B108" s="830"/>
      <c r="C108" s="830"/>
      <c r="D108" s="830"/>
      <c r="E108" s="830"/>
      <c r="F108" s="830"/>
      <c r="G108" s="830"/>
      <c r="H108" s="830"/>
      <c r="I108" s="830"/>
      <c r="J108" s="512"/>
    </row>
    <row r="109" spans="1:11">
      <c r="A109" s="830" t="s">
        <v>134</v>
      </c>
      <c r="B109" s="830"/>
      <c r="C109" s="830"/>
      <c r="D109" s="830"/>
      <c r="E109" s="830"/>
      <c r="F109" s="830"/>
      <c r="G109" s="830"/>
      <c r="H109" s="830"/>
      <c r="I109" s="830"/>
      <c r="J109" s="512"/>
    </row>
    <row r="110" spans="1:11">
      <c r="A110" s="830" t="s">
        <v>135</v>
      </c>
      <c r="B110" s="830"/>
      <c r="C110" s="830"/>
      <c r="D110" s="830"/>
      <c r="E110" s="830"/>
      <c r="F110" s="830"/>
      <c r="G110" s="830"/>
      <c r="H110" s="830"/>
      <c r="I110" s="830"/>
      <c r="J110" s="512"/>
    </row>
    <row r="111" spans="1:11" ht="7.9" customHeight="1">
      <c r="A111" s="513"/>
      <c r="B111" s="514"/>
      <c r="C111" s="26"/>
      <c r="D111" s="26"/>
      <c r="E111" s="26"/>
      <c r="F111" s="27"/>
      <c r="G111" s="28"/>
      <c r="H111" s="28"/>
      <c r="I111" s="512"/>
      <c r="J111" s="512"/>
    </row>
    <row r="112" spans="1:11" ht="33.6" customHeight="1">
      <c r="A112" s="813" t="s">
        <v>136</v>
      </c>
      <c r="B112" s="813"/>
      <c r="C112" s="813"/>
      <c r="D112" s="813"/>
      <c r="E112" s="813"/>
      <c r="F112" s="813"/>
      <c r="G112" s="813"/>
      <c r="H112" s="813"/>
      <c r="I112" s="813"/>
      <c r="J112" s="515"/>
    </row>
    <row r="113" spans="1:10" ht="34.5" customHeight="1">
      <c r="A113" s="813" t="s">
        <v>2537</v>
      </c>
      <c r="B113" s="813"/>
      <c r="C113" s="813"/>
      <c r="D113" s="813"/>
      <c r="E113" s="813"/>
      <c r="F113" s="813"/>
      <c r="G113" s="813"/>
      <c r="H113" s="813"/>
      <c r="I113" s="813"/>
      <c r="J113" s="512"/>
    </row>
    <row r="114" spans="1:10" ht="69.75" customHeight="1">
      <c r="A114" s="813" t="s">
        <v>137</v>
      </c>
      <c r="B114" s="813"/>
      <c r="C114" s="813"/>
      <c r="D114" s="813"/>
      <c r="E114" s="813"/>
      <c r="F114" s="813"/>
      <c r="G114" s="813"/>
      <c r="H114" s="813"/>
      <c r="I114" s="813"/>
      <c r="J114" s="515"/>
    </row>
    <row r="115" spans="1:10" ht="5.45" customHeight="1">
      <c r="A115" s="513"/>
      <c r="B115" s="514"/>
      <c r="C115" s="26"/>
      <c r="D115" s="26"/>
      <c r="E115" s="26"/>
      <c r="F115" s="27"/>
      <c r="G115" s="28"/>
      <c r="H115" s="28"/>
      <c r="I115" s="512"/>
      <c r="J115" s="512"/>
    </row>
    <row r="116" spans="1:10" ht="14.25" customHeight="1">
      <c r="A116" s="814" t="s">
        <v>138</v>
      </c>
      <c r="B116" s="814"/>
      <c r="C116" s="814"/>
      <c r="D116" s="814"/>
      <c r="E116" s="814"/>
      <c r="F116" s="814"/>
      <c r="G116" s="814"/>
      <c r="H116" s="814"/>
      <c r="I116" s="814"/>
      <c r="J116" s="516"/>
    </row>
    <row r="117" spans="1:10" ht="4.1500000000000004" customHeight="1">
      <c r="A117" s="513"/>
      <c r="B117" s="514"/>
      <c r="C117" s="26"/>
      <c r="D117" s="26"/>
      <c r="E117" s="26"/>
      <c r="F117" s="27"/>
      <c r="G117" s="28"/>
      <c r="H117" s="28"/>
      <c r="I117" s="512"/>
      <c r="J117" s="512"/>
    </row>
    <row r="118" spans="1:10" ht="25.5" customHeight="1">
      <c r="A118" s="815" t="s">
        <v>139</v>
      </c>
      <c r="B118" s="815"/>
      <c r="C118" s="815"/>
      <c r="D118" s="815"/>
      <c r="E118" s="815"/>
      <c r="F118" s="815"/>
      <c r="G118" s="815"/>
      <c r="H118" s="815"/>
      <c r="I118" s="815"/>
      <c r="J118" s="516"/>
    </row>
    <row r="119" spans="1:10" ht="3" customHeight="1">
      <c r="A119" s="509"/>
      <c r="B119" s="510"/>
      <c r="C119" s="23"/>
      <c r="D119" s="23"/>
      <c r="E119" s="23"/>
      <c r="F119" s="21"/>
      <c r="G119" s="21"/>
      <c r="H119" s="21"/>
      <c r="I119" s="511"/>
    </row>
    <row r="120" spans="1:10">
      <c r="A120" s="509"/>
      <c r="B120" s="510"/>
      <c r="C120" s="23"/>
      <c r="D120" s="23"/>
      <c r="E120" s="23"/>
      <c r="F120" s="21"/>
      <c r="G120" s="21"/>
      <c r="H120" s="21"/>
      <c r="I120" s="511"/>
    </row>
    <row r="121" spans="1:10">
      <c r="A121" s="509"/>
      <c r="B121" s="510"/>
      <c r="C121" s="23"/>
      <c r="D121" s="23"/>
      <c r="E121" s="23"/>
      <c r="F121" s="21"/>
      <c r="G121" s="21"/>
      <c r="H121" s="21"/>
      <c r="I121" s="511"/>
    </row>
    <row r="122" spans="1:10">
      <c r="A122" s="509"/>
      <c r="B122" s="510"/>
      <c r="C122" s="23"/>
      <c r="D122" s="23"/>
      <c r="E122" s="23"/>
      <c r="F122" s="21"/>
      <c r="G122" s="21"/>
      <c r="H122" s="21"/>
      <c r="I122" s="511"/>
    </row>
    <row r="123" spans="1:10">
      <c r="A123" s="509"/>
      <c r="B123" s="510"/>
      <c r="C123" s="23"/>
      <c r="D123" s="23"/>
      <c r="E123" s="23"/>
      <c r="F123" s="21"/>
      <c r="G123" s="21"/>
      <c r="H123" s="21"/>
      <c r="I123" s="511"/>
    </row>
    <row r="124" spans="1:10">
      <c r="A124" s="509"/>
      <c r="B124" s="510"/>
      <c r="C124" s="23"/>
      <c r="D124" s="23"/>
      <c r="E124" s="23"/>
      <c r="F124" s="21"/>
      <c r="G124" s="21"/>
      <c r="H124" s="21"/>
      <c r="I124" s="511"/>
    </row>
    <row r="125" spans="1:10">
      <c r="A125" s="509"/>
      <c r="B125" s="510"/>
      <c r="C125" s="23"/>
      <c r="D125" s="23"/>
      <c r="E125" s="23"/>
      <c r="F125" s="21"/>
      <c r="G125" s="21"/>
      <c r="H125" s="21"/>
      <c r="I125" s="511"/>
    </row>
    <row r="126" spans="1:10">
      <c r="A126" s="509"/>
      <c r="B126" s="510"/>
      <c r="C126" s="23"/>
      <c r="D126" s="23"/>
      <c r="E126" s="23"/>
      <c r="F126" s="21"/>
      <c r="G126" s="21"/>
      <c r="H126" s="21"/>
      <c r="I126" s="511"/>
    </row>
    <row r="127" spans="1:10">
      <c r="A127" s="509"/>
      <c r="B127" s="510"/>
      <c r="C127" s="23"/>
      <c r="D127" s="23"/>
      <c r="E127" s="23"/>
      <c r="F127" s="21"/>
      <c r="G127" s="21"/>
      <c r="H127" s="21"/>
      <c r="I127" s="511"/>
    </row>
    <row r="128" spans="1:10">
      <c r="A128" s="509"/>
      <c r="B128" s="510"/>
      <c r="C128" s="23"/>
      <c r="D128" s="23"/>
      <c r="E128" s="23"/>
      <c r="F128" s="21"/>
      <c r="G128" s="21"/>
      <c r="H128" s="21"/>
      <c r="I128" s="511"/>
    </row>
    <row r="129" spans="1:9">
      <c r="A129" s="509"/>
      <c r="B129" s="510"/>
      <c r="C129" s="23"/>
      <c r="D129" s="23"/>
      <c r="E129" s="23"/>
      <c r="F129" s="21"/>
      <c r="G129" s="21"/>
      <c r="H129" s="21"/>
      <c r="I129" s="511"/>
    </row>
    <row r="130" spans="1:9">
      <c r="A130" s="509"/>
      <c r="B130" s="510"/>
      <c r="C130" s="23"/>
      <c r="D130" s="23"/>
      <c r="E130" s="23"/>
      <c r="F130" s="21"/>
      <c r="G130" s="21"/>
      <c r="H130" s="21"/>
      <c r="I130" s="511"/>
    </row>
    <row r="131" spans="1:9">
      <c r="A131" s="509"/>
      <c r="B131" s="510"/>
      <c r="C131" s="23"/>
      <c r="D131" s="23"/>
      <c r="E131" s="23"/>
      <c r="F131" s="21"/>
      <c r="G131" s="21"/>
      <c r="H131" s="21"/>
      <c r="I131" s="511"/>
    </row>
    <row r="132" spans="1:9">
      <c r="A132" s="509"/>
      <c r="B132" s="510"/>
      <c r="C132" s="23"/>
      <c r="D132" s="23"/>
      <c r="E132" s="23"/>
      <c r="F132" s="21"/>
      <c r="G132" s="21"/>
      <c r="H132" s="21"/>
      <c r="I132" s="511"/>
    </row>
    <row r="133" spans="1:9">
      <c r="A133" s="509"/>
      <c r="B133" s="510"/>
      <c r="C133" s="23"/>
      <c r="D133" s="23"/>
      <c r="E133" s="23"/>
      <c r="F133" s="21"/>
      <c r="G133" s="21"/>
      <c r="H133" s="21"/>
      <c r="I133" s="511"/>
    </row>
    <row r="134" spans="1:9">
      <c r="A134" s="509"/>
      <c r="B134" s="510"/>
      <c r="C134" s="23"/>
      <c r="D134" s="23"/>
      <c r="E134" s="23"/>
      <c r="F134" s="21"/>
      <c r="G134" s="21"/>
      <c r="H134" s="21"/>
      <c r="I134" s="511"/>
    </row>
    <row r="135" spans="1:9">
      <c r="A135" s="509"/>
      <c r="B135" s="510"/>
      <c r="C135" s="23"/>
      <c r="D135" s="23"/>
      <c r="E135" s="23"/>
      <c r="F135" s="21"/>
      <c r="G135" s="21"/>
      <c r="H135" s="21"/>
      <c r="I135" s="511"/>
    </row>
    <row r="136" spans="1:9">
      <c r="A136" s="509"/>
      <c r="B136" s="510"/>
      <c r="C136" s="23"/>
      <c r="D136" s="23"/>
      <c r="E136" s="23"/>
      <c r="F136" s="21"/>
      <c r="G136" s="21"/>
      <c r="H136" s="21"/>
      <c r="I136" s="511"/>
    </row>
    <row r="137" spans="1:9">
      <c r="A137" s="509"/>
      <c r="B137" s="510"/>
      <c r="C137" s="23"/>
      <c r="D137" s="23"/>
      <c r="E137" s="23"/>
      <c r="F137" s="21"/>
      <c r="G137" s="21"/>
      <c r="H137" s="21"/>
      <c r="I137" s="511"/>
    </row>
    <row r="138" spans="1:9">
      <c r="A138" s="509"/>
      <c r="B138" s="510"/>
      <c r="C138" s="23"/>
      <c r="D138" s="23"/>
      <c r="E138" s="23"/>
      <c r="F138" s="21"/>
      <c r="G138" s="21"/>
      <c r="H138" s="21"/>
      <c r="I138" s="511"/>
    </row>
    <row r="139" spans="1:9">
      <c r="A139" s="509"/>
      <c r="B139" s="510"/>
      <c r="C139" s="23"/>
      <c r="D139" s="23"/>
      <c r="E139" s="23"/>
      <c r="F139" s="21"/>
      <c r="G139" s="21"/>
      <c r="H139" s="21"/>
      <c r="I139" s="511"/>
    </row>
    <row r="140" spans="1:9">
      <c r="A140" s="509"/>
      <c r="B140" s="510"/>
      <c r="C140" s="23"/>
      <c r="D140" s="23"/>
      <c r="E140" s="23"/>
      <c r="F140" s="21"/>
      <c r="G140" s="21"/>
      <c r="H140" s="21"/>
      <c r="I140" s="511"/>
    </row>
    <row r="141" spans="1:9">
      <c r="A141" s="509"/>
      <c r="B141" s="510"/>
      <c r="C141" s="23"/>
      <c r="D141" s="23"/>
      <c r="E141" s="23"/>
      <c r="F141" s="21"/>
      <c r="G141" s="21"/>
      <c r="H141" s="21"/>
      <c r="I141" s="511"/>
    </row>
    <row r="142" spans="1:9">
      <c r="A142" s="509"/>
      <c r="B142" s="510"/>
      <c r="C142" s="23"/>
      <c r="D142" s="23"/>
      <c r="E142" s="23"/>
      <c r="F142" s="21"/>
      <c r="G142" s="21"/>
      <c r="H142" s="21"/>
      <c r="I142" s="511"/>
    </row>
    <row r="143" spans="1:9">
      <c r="A143" s="509"/>
      <c r="B143" s="510"/>
      <c r="C143" s="23"/>
      <c r="D143" s="23"/>
      <c r="E143" s="23"/>
      <c r="F143" s="21"/>
      <c r="G143" s="21"/>
      <c r="H143" s="21"/>
      <c r="I143" s="511"/>
    </row>
    <row r="144" spans="1:9">
      <c r="A144" s="509"/>
      <c r="B144" s="510"/>
      <c r="C144" s="23"/>
      <c r="D144" s="23"/>
      <c r="E144" s="23"/>
      <c r="F144" s="21"/>
      <c r="G144" s="21"/>
      <c r="H144" s="21"/>
      <c r="I144" s="511"/>
    </row>
    <row r="145" spans="1:9">
      <c r="A145" s="509"/>
      <c r="B145" s="510"/>
      <c r="C145" s="23"/>
      <c r="D145" s="23"/>
      <c r="E145" s="23"/>
      <c r="F145" s="21"/>
      <c r="G145" s="21"/>
      <c r="H145" s="21"/>
      <c r="I145" s="511"/>
    </row>
    <row r="146" spans="1:9">
      <c r="A146" s="509"/>
      <c r="B146" s="510"/>
      <c r="C146" s="23"/>
      <c r="D146" s="23"/>
      <c r="E146" s="23"/>
      <c r="F146" s="21"/>
      <c r="G146" s="21"/>
      <c r="H146" s="21"/>
      <c r="I146" s="511"/>
    </row>
    <row r="147" spans="1:9">
      <c r="A147" s="509"/>
      <c r="B147" s="510"/>
      <c r="C147" s="23"/>
      <c r="D147" s="23"/>
      <c r="E147" s="23"/>
      <c r="F147" s="21"/>
      <c r="G147" s="21"/>
      <c r="H147" s="21"/>
      <c r="I147" s="511"/>
    </row>
    <row r="148" spans="1:9">
      <c r="A148" s="509"/>
      <c r="B148" s="510"/>
      <c r="C148" s="23"/>
      <c r="D148" s="23"/>
      <c r="E148" s="23"/>
      <c r="F148" s="21"/>
      <c r="G148" s="21"/>
      <c r="H148" s="21"/>
      <c r="I148" s="511"/>
    </row>
    <row r="149" spans="1:9">
      <c r="A149" s="509"/>
      <c r="B149" s="510"/>
      <c r="C149" s="23"/>
      <c r="D149" s="23"/>
      <c r="E149" s="23"/>
      <c r="F149" s="21"/>
      <c r="G149" s="21"/>
      <c r="H149" s="21"/>
      <c r="I149" s="511"/>
    </row>
    <row r="150" spans="1:9">
      <c r="A150" s="509"/>
      <c r="B150" s="510"/>
      <c r="C150" s="23"/>
      <c r="D150" s="23"/>
      <c r="E150" s="23"/>
      <c r="F150" s="21"/>
      <c r="G150" s="21"/>
      <c r="H150" s="21"/>
      <c r="I150" s="511"/>
    </row>
    <row r="151" spans="1:9">
      <c r="A151" s="509"/>
      <c r="B151" s="510"/>
      <c r="C151" s="23"/>
      <c r="D151" s="23"/>
      <c r="E151" s="23"/>
      <c r="F151" s="21"/>
      <c r="G151" s="21"/>
      <c r="H151" s="21"/>
      <c r="I151" s="511"/>
    </row>
    <row r="152" spans="1:9">
      <c r="A152" s="509"/>
      <c r="B152" s="510"/>
      <c r="C152" s="23"/>
      <c r="D152" s="23"/>
      <c r="E152" s="23"/>
      <c r="F152" s="21"/>
      <c r="G152" s="21"/>
      <c r="H152" s="21"/>
      <c r="I152" s="511"/>
    </row>
    <row r="153" spans="1:9">
      <c r="A153" s="509"/>
      <c r="B153" s="510"/>
      <c r="C153" s="23"/>
      <c r="D153" s="23"/>
      <c r="E153" s="23"/>
      <c r="F153" s="21"/>
      <c r="G153" s="21"/>
      <c r="H153" s="21"/>
      <c r="I153" s="511"/>
    </row>
    <row r="154" spans="1:9">
      <c r="A154" s="509"/>
      <c r="B154" s="510"/>
      <c r="C154" s="23"/>
      <c r="D154" s="23"/>
      <c r="E154" s="23"/>
      <c r="F154" s="21"/>
      <c r="G154" s="21"/>
      <c r="H154" s="21"/>
      <c r="I154" s="511"/>
    </row>
    <row r="155" spans="1:9">
      <c r="A155" s="509"/>
      <c r="B155" s="510"/>
      <c r="C155" s="23"/>
      <c r="D155" s="23"/>
      <c r="E155" s="23"/>
      <c r="F155" s="21"/>
      <c r="G155" s="21"/>
      <c r="H155" s="21"/>
      <c r="I155" s="511"/>
    </row>
    <row r="156" spans="1:9">
      <c r="A156" s="509"/>
      <c r="B156" s="510"/>
      <c r="C156" s="23"/>
      <c r="D156" s="23"/>
      <c r="E156" s="23"/>
      <c r="F156" s="21"/>
      <c r="G156" s="21"/>
      <c r="H156" s="21"/>
      <c r="I156" s="511"/>
    </row>
    <row r="157" spans="1:9">
      <c r="A157" s="509"/>
      <c r="B157" s="510"/>
      <c r="C157" s="23"/>
      <c r="D157" s="23"/>
      <c r="E157" s="23"/>
      <c r="F157" s="21"/>
      <c r="G157" s="21"/>
      <c r="H157" s="21"/>
      <c r="I157" s="511"/>
    </row>
    <row r="158" spans="1:9">
      <c r="A158" s="509"/>
      <c r="B158" s="510"/>
      <c r="C158" s="23"/>
      <c r="D158" s="23"/>
      <c r="E158" s="23"/>
      <c r="F158" s="21"/>
      <c r="G158" s="21"/>
      <c r="H158" s="21"/>
      <c r="I158" s="511"/>
    </row>
    <row r="159" spans="1:9">
      <c r="A159" s="509"/>
      <c r="B159" s="510"/>
      <c r="C159" s="23"/>
      <c r="D159" s="23"/>
      <c r="E159" s="23"/>
      <c r="F159" s="21"/>
      <c r="G159" s="21"/>
      <c r="H159" s="21"/>
      <c r="I159" s="511"/>
    </row>
    <row r="160" spans="1:9">
      <c r="A160" s="509"/>
      <c r="B160" s="510"/>
      <c r="C160" s="23"/>
      <c r="D160" s="23"/>
      <c r="E160" s="23"/>
      <c r="F160" s="21"/>
      <c r="G160" s="21"/>
      <c r="H160" s="21"/>
      <c r="I160" s="511"/>
    </row>
    <row r="161" spans="1:9">
      <c r="A161" s="509"/>
      <c r="B161" s="510"/>
      <c r="C161" s="23"/>
      <c r="D161" s="23"/>
      <c r="E161" s="23"/>
      <c r="F161" s="21"/>
      <c r="G161" s="21"/>
      <c r="H161" s="21"/>
      <c r="I161" s="511"/>
    </row>
    <row r="162" spans="1:9">
      <c r="A162" s="509"/>
      <c r="B162" s="510"/>
      <c r="C162" s="23"/>
      <c r="D162" s="23"/>
      <c r="E162" s="23"/>
      <c r="F162" s="21"/>
      <c r="G162" s="21"/>
      <c r="H162" s="21"/>
      <c r="I162" s="511"/>
    </row>
    <row r="163" spans="1:9">
      <c r="A163" s="509"/>
      <c r="B163" s="510"/>
      <c r="C163" s="23"/>
      <c r="D163" s="23"/>
      <c r="E163" s="23"/>
      <c r="F163" s="21"/>
      <c r="G163" s="21"/>
      <c r="H163" s="21"/>
      <c r="I163" s="511"/>
    </row>
    <row r="164" spans="1:9">
      <c r="A164" s="509"/>
      <c r="B164" s="510"/>
      <c r="C164" s="23"/>
      <c r="D164" s="23"/>
      <c r="E164" s="23"/>
      <c r="F164" s="21"/>
      <c r="G164" s="21"/>
      <c r="H164" s="21"/>
      <c r="I164" s="511"/>
    </row>
    <row r="165" spans="1:9">
      <c r="A165" s="509"/>
      <c r="B165" s="510"/>
      <c r="C165" s="23"/>
      <c r="D165" s="23"/>
      <c r="E165" s="23"/>
      <c r="F165" s="21"/>
      <c r="G165" s="21"/>
      <c r="H165" s="21"/>
      <c r="I165" s="511"/>
    </row>
    <row r="166" spans="1:9">
      <c r="A166" s="509"/>
      <c r="B166" s="510"/>
      <c r="C166" s="23"/>
      <c r="D166" s="23"/>
      <c r="E166" s="23"/>
      <c r="F166" s="21"/>
      <c r="G166" s="21"/>
      <c r="H166" s="21"/>
      <c r="I166" s="511"/>
    </row>
    <row r="167" spans="1:9">
      <c r="A167" s="509"/>
      <c r="B167" s="510"/>
      <c r="C167" s="23"/>
      <c r="D167" s="23"/>
      <c r="E167" s="23"/>
      <c r="F167" s="21"/>
      <c r="G167" s="21"/>
      <c r="H167" s="21"/>
      <c r="I167" s="511"/>
    </row>
    <row r="168" spans="1:9">
      <c r="A168" s="509"/>
      <c r="B168" s="510"/>
      <c r="C168" s="23"/>
      <c r="D168" s="23"/>
      <c r="E168" s="23"/>
      <c r="F168" s="21"/>
      <c r="G168" s="21"/>
      <c r="H168" s="21"/>
      <c r="I168" s="511"/>
    </row>
    <row r="169" spans="1:9">
      <c r="A169" s="509"/>
      <c r="B169" s="510"/>
      <c r="C169" s="23"/>
      <c r="D169" s="23"/>
      <c r="E169" s="23"/>
      <c r="F169" s="21"/>
      <c r="G169" s="21"/>
      <c r="H169" s="21"/>
      <c r="I169" s="511"/>
    </row>
    <row r="170" spans="1:9">
      <c r="A170" s="509"/>
      <c r="B170" s="510"/>
      <c r="C170" s="23"/>
      <c r="D170" s="23"/>
      <c r="E170" s="23"/>
      <c r="F170" s="21"/>
      <c r="G170" s="21"/>
      <c r="H170" s="21"/>
      <c r="I170" s="511"/>
    </row>
    <row r="171" spans="1:9">
      <c r="A171" s="509"/>
      <c r="B171" s="510"/>
      <c r="C171" s="23"/>
      <c r="D171" s="23"/>
      <c r="E171" s="23"/>
      <c r="F171" s="21"/>
      <c r="G171" s="21"/>
      <c r="H171" s="21"/>
      <c r="I171" s="511"/>
    </row>
    <row r="172" spans="1:9">
      <c r="A172" s="509"/>
      <c r="B172" s="510"/>
      <c r="C172" s="23"/>
      <c r="D172" s="23"/>
      <c r="E172" s="23"/>
      <c r="F172" s="21"/>
      <c r="G172" s="21"/>
      <c r="H172" s="21"/>
      <c r="I172" s="511"/>
    </row>
    <row r="173" spans="1:9">
      <c r="A173" s="509"/>
      <c r="B173" s="510"/>
      <c r="C173" s="23"/>
      <c r="D173" s="23"/>
      <c r="E173" s="23"/>
      <c r="F173" s="21"/>
      <c r="G173" s="21"/>
      <c r="H173" s="21"/>
      <c r="I173" s="511"/>
    </row>
    <row r="174" spans="1:9">
      <c r="A174" s="509"/>
      <c r="B174" s="510"/>
      <c r="C174" s="23"/>
      <c r="D174" s="23"/>
      <c r="E174" s="23"/>
      <c r="F174" s="21"/>
      <c r="G174" s="21"/>
      <c r="H174" s="21"/>
      <c r="I174" s="511"/>
    </row>
    <row r="175" spans="1:9">
      <c r="A175" s="509"/>
      <c r="B175" s="510"/>
      <c r="C175" s="23"/>
      <c r="D175" s="23"/>
      <c r="E175" s="23"/>
      <c r="F175" s="21"/>
      <c r="G175" s="21"/>
      <c r="H175" s="21"/>
      <c r="I175" s="511"/>
    </row>
    <row r="176" spans="1:9">
      <c r="A176" s="509"/>
      <c r="B176" s="510"/>
      <c r="C176" s="23"/>
      <c r="D176" s="23"/>
      <c r="E176" s="23"/>
      <c r="F176" s="21"/>
      <c r="G176" s="21"/>
      <c r="H176" s="21"/>
      <c r="I176" s="511"/>
    </row>
    <row r="177" spans="1:9">
      <c r="A177" s="509"/>
      <c r="B177" s="510"/>
      <c r="C177" s="23"/>
      <c r="D177" s="23"/>
      <c r="E177" s="23"/>
      <c r="F177" s="21"/>
      <c r="G177" s="21"/>
      <c r="H177" s="21"/>
      <c r="I177" s="511"/>
    </row>
    <row r="178" spans="1:9">
      <c r="A178" s="509"/>
      <c r="B178" s="510"/>
      <c r="C178" s="23"/>
      <c r="D178" s="23"/>
      <c r="E178" s="23"/>
      <c r="F178" s="21"/>
      <c r="G178" s="21"/>
      <c r="H178" s="21"/>
      <c r="I178" s="511"/>
    </row>
    <row r="179" spans="1:9">
      <c r="A179" s="509"/>
      <c r="B179" s="510"/>
      <c r="C179" s="23"/>
      <c r="D179" s="23"/>
      <c r="E179" s="23"/>
      <c r="F179" s="21"/>
      <c r="G179" s="21"/>
      <c r="H179" s="21"/>
      <c r="I179" s="511"/>
    </row>
    <row r="180" spans="1:9">
      <c r="A180" s="509"/>
      <c r="B180" s="510"/>
      <c r="C180" s="23"/>
      <c r="D180" s="23"/>
      <c r="E180" s="23"/>
      <c r="F180" s="21"/>
      <c r="G180" s="21"/>
      <c r="H180" s="21"/>
      <c r="I180" s="511"/>
    </row>
    <row r="181" spans="1:9">
      <c r="A181" s="509"/>
      <c r="B181" s="510"/>
      <c r="C181" s="23"/>
      <c r="D181" s="23"/>
      <c r="E181" s="23"/>
      <c r="F181" s="21"/>
      <c r="G181" s="21"/>
      <c r="H181" s="21"/>
      <c r="I181" s="511"/>
    </row>
    <row r="182" spans="1:9">
      <c r="A182" s="509"/>
      <c r="B182" s="510"/>
      <c r="C182" s="23"/>
      <c r="D182" s="23"/>
      <c r="E182" s="23"/>
      <c r="F182" s="21"/>
      <c r="G182" s="21"/>
      <c r="H182" s="21"/>
      <c r="I182" s="511"/>
    </row>
    <row r="183" spans="1:9">
      <c r="A183" s="509"/>
      <c r="B183" s="510"/>
      <c r="C183" s="23"/>
      <c r="D183" s="23"/>
      <c r="E183" s="23"/>
      <c r="F183" s="21"/>
      <c r="G183" s="21"/>
      <c r="H183" s="21"/>
      <c r="I183" s="511"/>
    </row>
    <row r="184" spans="1:9">
      <c r="A184" s="509"/>
      <c r="B184" s="510"/>
      <c r="C184" s="23"/>
      <c r="D184" s="23"/>
      <c r="E184" s="23"/>
      <c r="F184" s="21"/>
      <c r="G184" s="21"/>
      <c r="H184" s="21"/>
      <c r="I184" s="511"/>
    </row>
    <row r="185" spans="1:9">
      <c r="A185" s="509"/>
      <c r="B185" s="510"/>
      <c r="C185" s="23"/>
      <c r="D185" s="23"/>
      <c r="E185" s="23"/>
      <c r="F185" s="21"/>
      <c r="G185" s="21"/>
      <c r="H185" s="21"/>
      <c r="I185" s="511"/>
    </row>
    <row r="186" spans="1:9">
      <c r="A186" s="509"/>
      <c r="B186" s="510"/>
      <c r="C186" s="23"/>
      <c r="D186" s="23"/>
      <c r="E186" s="23"/>
      <c r="F186" s="21"/>
      <c r="G186" s="21"/>
      <c r="H186" s="21"/>
      <c r="I186" s="511"/>
    </row>
    <row r="187" spans="1:9">
      <c r="A187" s="509"/>
      <c r="B187" s="510"/>
      <c r="C187" s="23"/>
      <c r="D187" s="23"/>
      <c r="E187" s="23"/>
      <c r="F187" s="21"/>
      <c r="G187" s="21"/>
      <c r="H187" s="21"/>
      <c r="I187" s="511"/>
    </row>
    <row r="188" spans="1:9">
      <c r="A188" s="509"/>
      <c r="B188" s="510"/>
      <c r="C188" s="23"/>
      <c r="D188" s="23"/>
      <c r="E188" s="23"/>
      <c r="F188" s="21"/>
      <c r="G188" s="21"/>
      <c r="H188" s="21"/>
      <c r="I188" s="511"/>
    </row>
    <row r="189" spans="1:9">
      <c r="A189" s="509"/>
      <c r="B189" s="510"/>
      <c r="C189" s="23"/>
      <c r="D189" s="23"/>
      <c r="E189" s="23"/>
      <c r="F189" s="21"/>
      <c r="G189" s="21"/>
      <c r="H189" s="21"/>
      <c r="I189" s="511"/>
    </row>
    <row r="190" spans="1:9">
      <c r="A190" s="509"/>
      <c r="B190" s="510"/>
      <c r="C190" s="23"/>
      <c r="D190" s="23"/>
      <c r="E190" s="23"/>
      <c r="F190" s="21"/>
      <c r="G190" s="21"/>
      <c r="H190" s="21"/>
      <c r="I190" s="511"/>
    </row>
    <row r="191" spans="1:9">
      <c r="A191" s="509"/>
      <c r="B191" s="510"/>
      <c r="C191" s="23"/>
      <c r="D191" s="23"/>
      <c r="E191" s="23"/>
      <c r="F191" s="21"/>
      <c r="G191" s="21"/>
      <c r="H191" s="21"/>
      <c r="I191" s="511"/>
    </row>
    <row r="192" spans="1:9">
      <c r="A192" s="509"/>
      <c r="B192" s="510"/>
      <c r="C192" s="23"/>
      <c r="D192" s="23"/>
      <c r="E192" s="23"/>
      <c r="F192" s="21"/>
      <c r="G192" s="21"/>
      <c r="H192" s="21"/>
      <c r="I192" s="511"/>
    </row>
    <row r="193" spans="1:9">
      <c r="A193" s="509"/>
      <c r="B193" s="510"/>
      <c r="C193" s="23"/>
      <c r="D193" s="23"/>
      <c r="E193" s="23"/>
      <c r="F193" s="21"/>
      <c r="G193" s="21"/>
      <c r="H193" s="21"/>
      <c r="I193" s="511"/>
    </row>
    <row r="194" spans="1:9">
      <c r="A194" s="509"/>
      <c r="B194" s="510"/>
      <c r="C194" s="23"/>
      <c r="D194" s="23"/>
      <c r="E194" s="23"/>
      <c r="F194" s="21"/>
      <c r="G194" s="21"/>
      <c r="H194" s="21"/>
      <c r="I194" s="511"/>
    </row>
    <row r="195" spans="1:9">
      <c r="A195" s="509"/>
      <c r="B195" s="510"/>
      <c r="C195" s="23"/>
      <c r="D195" s="23"/>
      <c r="E195" s="23"/>
      <c r="F195" s="21"/>
      <c r="G195" s="21"/>
      <c r="H195" s="21"/>
      <c r="I195" s="511"/>
    </row>
    <row r="196" spans="1:9">
      <c r="A196" s="509"/>
      <c r="B196" s="510"/>
      <c r="C196" s="23"/>
      <c r="D196" s="23"/>
      <c r="E196" s="23"/>
      <c r="F196" s="21"/>
      <c r="G196" s="21"/>
      <c r="H196" s="21"/>
      <c r="I196" s="511"/>
    </row>
    <row r="197" spans="1:9">
      <c r="A197" s="509"/>
      <c r="B197" s="510"/>
      <c r="C197" s="23"/>
      <c r="D197" s="23"/>
      <c r="E197" s="23"/>
      <c r="F197" s="21"/>
      <c r="G197" s="21"/>
      <c r="H197" s="21"/>
      <c r="I197" s="511"/>
    </row>
    <row r="198" spans="1:9">
      <c r="A198" s="509"/>
      <c r="B198" s="510"/>
      <c r="C198" s="23"/>
      <c r="D198" s="23"/>
      <c r="E198" s="23"/>
      <c r="F198" s="21"/>
      <c r="G198" s="21"/>
      <c r="H198" s="21"/>
      <c r="I198" s="511"/>
    </row>
    <row r="199" spans="1:9">
      <c r="A199" s="509"/>
      <c r="B199" s="510"/>
      <c r="C199" s="23"/>
      <c r="D199" s="23"/>
      <c r="E199" s="23"/>
      <c r="F199" s="21"/>
      <c r="G199" s="21"/>
      <c r="H199" s="21"/>
      <c r="I199" s="511"/>
    </row>
    <row r="200" spans="1:9">
      <c r="A200" s="509"/>
      <c r="B200" s="510"/>
      <c r="C200" s="23"/>
      <c r="D200" s="23"/>
      <c r="E200" s="23"/>
      <c r="F200" s="21"/>
      <c r="G200" s="21"/>
      <c r="H200" s="21"/>
      <c r="I200" s="511"/>
    </row>
    <row r="201" spans="1:9">
      <c r="A201" s="509"/>
      <c r="B201" s="510"/>
      <c r="C201" s="23"/>
      <c r="D201" s="23"/>
      <c r="E201" s="23"/>
      <c r="F201" s="21"/>
      <c r="G201" s="21"/>
      <c r="H201" s="21"/>
      <c r="I201" s="511"/>
    </row>
    <row r="202" spans="1:9">
      <c r="A202" s="509"/>
      <c r="B202" s="510"/>
      <c r="C202" s="23"/>
      <c r="D202" s="23"/>
      <c r="E202" s="23"/>
      <c r="F202" s="21"/>
      <c r="G202" s="21"/>
      <c r="H202" s="21"/>
      <c r="I202" s="511"/>
    </row>
    <row r="203" spans="1:9">
      <c r="A203" s="509"/>
      <c r="B203" s="510"/>
      <c r="C203" s="23"/>
      <c r="D203" s="23"/>
      <c r="E203" s="23"/>
      <c r="F203" s="21"/>
      <c r="G203" s="21"/>
      <c r="H203" s="21"/>
      <c r="I203" s="511"/>
    </row>
    <row r="204" spans="1:9">
      <c r="A204" s="509"/>
      <c r="B204" s="510"/>
      <c r="C204" s="23"/>
      <c r="D204" s="23"/>
      <c r="E204" s="23"/>
      <c r="F204" s="21"/>
      <c r="G204" s="21"/>
      <c r="H204" s="21"/>
      <c r="I204" s="511"/>
    </row>
    <row r="205" spans="1:9">
      <c r="A205" s="509"/>
      <c r="B205" s="510"/>
      <c r="C205" s="23"/>
      <c r="D205" s="23"/>
      <c r="E205" s="23"/>
      <c r="F205" s="21"/>
      <c r="G205" s="21"/>
      <c r="H205" s="21"/>
      <c r="I205" s="511"/>
    </row>
    <row r="206" spans="1:9">
      <c r="A206" s="509"/>
      <c r="B206" s="510"/>
      <c r="C206" s="23"/>
      <c r="D206" s="23"/>
      <c r="E206" s="23"/>
      <c r="F206" s="21"/>
      <c r="G206" s="21"/>
      <c r="H206" s="21"/>
      <c r="I206" s="511"/>
    </row>
    <row r="207" spans="1:9">
      <c r="A207" s="509"/>
      <c r="B207" s="510"/>
      <c r="C207" s="23"/>
      <c r="D207" s="23"/>
      <c r="E207" s="23"/>
      <c r="F207" s="21"/>
      <c r="G207" s="21"/>
      <c r="H207" s="21"/>
      <c r="I207" s="511"/>
    </row>
    <row r="208" spans="1:9">
      <c r="A208" s="509"/>
      <c r="B208" s="510"/>
      <c r="C208" s="23"/>
      <c r="D208" s="23"/>
      <c r="E208" s="23"/>
      <c r="F208" s="21"/>
      <c r="G208" s="21"/>
      <c r="H208" s="21"/>
      <c r="I208" s="511"/>
    </row>
    <row r="209" spans="1:9">
      <c r="A209" s="509"/>
      <c r="B209" s="510"/>
      <c r="C209" s="23"/>
      <c r="D209" s="23"/>
      <c r="E209" s="23"/>
      <c r="F209" s="21"/>
      <c r="G209" s="21"/>
      <c r="H209" s="21"/>
      <c r="I209" s="511"/>
    </row>
    <row r="210" spans="1:9">
      <c r="A210" s="509"/>
      <c r="B210" s="510"/>
      <c r="C210" s="23"/>
      <c r="D210" s="23"/>
      <c r="E210" s="23"/>
      <c r="F210" s="21"/>
      <c r="G210" s="21"/>
      <c r="H210" s="21"/>
      <c r="I210" s="511"/>
    </row>
    <row r="211" spans="1:9">
      <c r="A211" s="509"/>
      <c r="B211" s="510"/>
      <c r="C211" s="23"/>
      <c r="D211" s="23"/>
      <c r="E211" s="23"/>
      <c r="F211" s="21"/>
      <c r="G211" s="21"/>
      <c r="H211" s="21"/>
      <c r="I211" s="511"/>
    </row>
    <row r="212" spans="1:9">
      <c r="A212" s="509"/>
      <c r="B212" s="510"/>
      <c r="C212" s="23"/>
      <c r="D212" s="23"/>
      <c r="E212" s="23"/>
      <c r="F212" s="21"/>
      <c r="G212" s="21"/>
      <c r="H212" s="21"/>
      <c r="I212" s="511"/>
    </row>
    <row r="213" spans="1:9">
      <c r="A213" s="509"/>
      <c r="B213" s="510"/>
      <c r="C213" s="23"/>
      <c r="D213" s="23"/>
      <c r="E213" s="23"/>
      <c r="F213" s="21"/>
      <c r="G213" s="21"/>
      <c r="H213" s="21"/>
      <c r="I213" s="511"/>
    </row>
    <row r="214" spans="1:9">
      <c r="A214" s="509"/>
      <c r="B214" s="510"/>
      <c r="C214" s="23"/>
      <c r="D214" s="23"/>
      <c r="E214" s="23"/>
      <c r="F214" s="21"/>
      <c r="G214" s="21"/>
      <c r="H214" s="21"/>
      <c r="I214" s="511"/>
    </row>
    <row r="215" spans="1:9">
      <c r="A215" s="509"/>
      <c r="B215" s="510"/>
      <c r="C215" s="23"/>
      <c r="D215" s="23"/>
      <c r="E215" s="23"/>
      <c r="F215" s="21"/>
      <c r="G215" s="21"/>
      <c r="H215" s="21"/>
      <c r="I215" s="511"/>
    </row>
    <row r="216" spans="1:9">
      <c r="A216" s="509"/>
      <c r="B216" s="510"/>
      <c r="C216" s="23"/>
      <c r="D216" s="23"/>
      <c r="E216" s="23"/>
      <c r="F216" s="21"/>
      <c r="G216" s="21"/>
      <c r="H216" s="21"/>
      <c r="I216" s="511"/>
    </row>
    <row r="217" spans="1:9">
      <c r="A217" s="509"/>
      <c r="B217" s="510"/>
      <c r="C217" s="23"/>
      <c r="D217" s="23"/>
      <c r="E217" s="23"/>
      <c r="F217" s="21"/>
      <c r="G217" s="21"/>
      <c r="H217" s="21"/>
      <c r="I217" s="511"/>
    </row>
    <row r="218" spans="1:9">
      <c r="A218" s="509"/>
      <c r="B218" s="510"/>
      <c r="C218" s="23"/>
      <c r="D218" s="23"/>
      <c r="E218" s="23"/>
      <c r="F218" s="21"/>
      <c r="G218" s="21"/>
      <c r="H218" s="21"/>
      <c r="I218" s="511"/>
    </row>
    <row r="219" spans="1:9">
      <c r="A219" s="509"/>
      <c r="B219" s="510"/>
      <c r="C219" s="23"/>
      <c r="D219" s="23"/>
      <c r="E219" s="23"/>
      <c r="F219" s="21"/>
      <c r="G219" s="21"/>
      <c r="H219" s="21"/>
      <c r="I219" s="511"/>
    </row>
    <row r="220" spans="1:9">
      <c r="A220" s="509"/>
      <c r="B220" s="510"/>
      <c r="C220" s="23"/>
      <c r="D220" s="23"/>
      <c r="E220" s="23"/>
      <c r="F220" s="21"/>
      <c r="G220" s="21"/>
      <c r="H220" s="21"/>
      <c r="I220" s="511"/>
    </row>
    <row r="221" spans="1:9">
      <c r="A221" s="509"/>
      <c r="B221" s="510"/>
      <c r="C221" s="23"/>
      <c r="D221" s="23"/>
      <c r="E221" s="23"/>
      <c r="F221" s="21"/>
      <c r="G221" s="21"/>
      <c r="H221" s="21"/>
      <c r="I221" s="511"/>
    </row>
    <row r="222" spans="1:9">
      <c r="A222" s="509"/>
      <c r="B222" s="510"/>
      <c r="C222" s="23"/>
      <c r="D222" s="23"/>
      <c r="E222" s="23"/>
      <c r="F222" s="21"/>
      <c r="G222" s="21"/>
      <c r="H222" s="21"/>
      <c r="I222" s="511"/>
    </row>
    <row r="223" spans="1:9">
      <c r="A223" s="509"/>
      <c r="B223" s="510"/>
      <c r="C223" s="23"/>
      <c r="D223" s="23"/>
      <c r="E223" s="23"/>
      <c r="F223" s="21"/>
      <c r="G223" s="21"/>
      <c r="H223" s="21"/>
      <c r="I223" s="511"/>
    </row>
    <row r="224" spans="1:9">
      <c r="A224" s="509"/>
      <c r="B224" s="510"/>
      <c r="C224" s="23"/>
      <c r="D224" s="23"/>
      <c r="E224" s="23"/>
      <c r="F224" s="21"/>
      <c r="G224" s="21"/>
      <c r="H224" s="21"/>
      <c r="I224" s="511"/>
    </row>
    <row r="225" spans="1:9">
      <c r="A225" s="509"/>
      <c r="B225" s="510"/>
      <c r="C225" s="23"/>
      <c r="D225" s="23"/>
      <c r="E225" s="23"/>
      <c r="F225" s="21"/>
      <c r="G225" s="21"/>
      <c r="H225" s="21"/>
      <c r="I225" s="511"/>
    </row>
    <row r="226" spans="1:9">
      <c r="A226" s="509"/>
      <c r="B226" s="510"/>
      <c r="C226" s="23"/>
      <c r="D226" s="23"/>
      <c r="E226" s="23"/>
      <c r="F226" s="21"/>
      <c r="G226" s="21"/>
      <c r="H226" s="21"/>
      <c r="I226" s="511"/>
    </row>
    <row r="227" spans="1:9">
      <c r="A227" s="509"/>
      <c r="B227" s="510"/>
      <c r="C227" s="23"/>
      <c r="D227" s="23"/>
      <c r="E227" s="23"/>
      <c r="F227" s="21"/>
      <c r="G227" s="21"/>
      <c r="H227" s="21"/>
      <c r="I227" s="511"/>
    </row>
    <row r="228" spans="1:9">
      <c r="A228" s="509"/>
      <c r="B228" s="510"/>
      <c r="C228" s="23"/>
      <c r="D228" s="23"/>
      <c r="E228" s="23"/>
      <c r="F228" s="21"/>
      <c r="G228" s="21"/>
      <c r="H228" s="21"/>
      <c r="I228" s="511"/>
    </row>
    <row r="229" spans="1:9">
      <c r="A229" s="509"/>
      <c r="B229" s="510"/>
      <c r="C229" s="23"/>
      <c r="D229" s="23"/>
      <c r="E229" s="23"/>
      <c r="F229" s="21"/>
      <c r="G229" s="21"/>
      <c r="H229" s="21"/>
      <c r="I229" s="511"/>
    </row>
    <row r="230" spans="1:9">
      <c r="A230" s="509"/>
      <c r="B230" s="510"/>
      <c r="C230" s="23"/>
      <c r="D230" s="23"/>
      <c r="E230" s="23"/>
      <c r="F230" s="21"/>
      <c r="G230" s="21"/>
      <c r="H230" s="21"/>
      <c r="I230" s="511"/>
    </row>
    <row r="231" spans="1:9">
      <c r="A231" s="509"/>
      <c r="B231" s="510"/>
      <c r="C231" s="23"/>
      <c r="D231" s="23"/>
      <c r="E231" s="23"/>
      <c r="F231" s="21"/>
      <c r="G231" s="21"/>
      <c r="H231" s="21"/>
      <c r="I231" s="511"/>
    </row>
    <row r="232" spans="1:9">
      <c r="A232" s="509"/>
      <c r="B232" s="510"/>
      <c r="C232" s="23"/>
      <c r="D232" s="23"/>
      <c r="E232" s="23"/>
      <c r="F232" s="21"/>
      <c r="G232" s="21"/>
      <c r="H232" s="21"/>
      <c r="I232" s="511"/>
    </row>
    <row r="233" spans="1:9">
      <c r="A233" s="509"/>
      <c r="B233" s="510"/>
      <c r="C233" s="23"/>
      <c r="D233" s="23"/>
      <c r="E233" s="23"/>
      <c r="F233" s="21"/>
      <c r="G233" s="21"/>
      <c r="H233" s="21"/>
      <c r="I233" s="511"/>
    </row>
    <row r="234" spans="1:9">
      <c r="A234" s="509"/>
      <c r="B234" s="510"/>
      <c r="C234" s="23"/>
      <c r="D234" s="23"/>
      <c r="E234" s="23"/>
      <c r="F234" s="21"/>
      <c r="G234" s="21"/>
      <c r="H234" s="21"/>
      <c r="I234" s="511"/>
    </row>
    <row r="235" spans="1:9">
      <c r="A235" s="509"/>
      <c r="B235" s="510"/>
      <c r="C235" s="23"/>
      <c r="D235" s="23"/>
      <c r="E235" s="23"/>
      <c r="F235" s="21"/>
      <c r="G235" s="21"/>
      <c r="H235" s="21"/>
      <c r="I235" s="511"/>
    </row>
    <row r="236" spans="1:9">
      <c r="A236" s="509"/>
      <c r="B236" s="510"/>
      <c r="C236" s="23"/>
      <c r="D236" s="23"/>
      <c r="E236" s="23"/>
      <c r="F236" s="21"/>
      <c r="G236" s="21"/>
      <c r="H236" s="21"/>
      <c r="I236" s="511"/>
    </row>
    <row r="237" spans="1:9">
      <c r="A237" s="509"/>
      <c r="B237" s="510"/>
      <c r="C237" s="23"/>
      <c r="D237" s="23"/>
      <c r="E237" s="23"/>
      <c r="F237" s="21"/>
      <c r="G237" s="21"/>
      <c r="H237" s="21"/>
      <c r="I237" s="511"/>
    </row>
    <row r="238" spans="1:9">
      <c r="A238" s="509"/>
      <c r="B238" s="510"/>
      <c r="C238" s="23"/>
      <c r="D238" s="23"/>
      <c r="E238" s="23"/>
      <c r="F238" s="21"/>
      <c r="G238" s="21"/>
      <c r="H238" s="21"/>
      <c r="I238" s="511"/>
    </row>
    <row r="239" spans="1:9">
      <c r="A239" s="509"/>
      <c r="B239" s="510"/>
      <c r="C239" s="23"/>
      <c r="D239" s="23"/>
      <c r="E239" s="23"/>
      <c r="F239" s="21"/>
      <c r="G239" s="21"/>
      <c r="H239" s="21"/>
      <c r="I239" s="511"/>
    </row>
    <row r="240" spans="1:9">
      <c r="A240" s="509"/>
      <c r="B240" s="510"/>
      <c r="C240" s="23"/>
      <c r="D240" s="23"/>
      <c r="E240" s="23"/>
      <c r="F240" s="21"/>
      <c r="G240" s="21"/>
      <c r="H240" s="21"/>
      <c r="I240" s="511"/>
    </row>
    <row r="241" spans="1:9">
      <c r="A241" s="509"/>
      <c r="B241" s="510"/>
      <c r="C241" s="23"/>
      <c r="D241" s="23"/>
      <c r="E241" s="23"/>
      <c r="F241" s="21"/>
      <c r="G241" s="21"/>
      <c r="H241" s="21"/>
      <c r="I241" s="511"/>
    </row>
    <row r="242" spans="1:9">
      <c r="A242" s="509"/>
      <c r="B242" s="510"/>
      <c r="C242" s="23"/>
      <c r="D242" s="23"/>
      <c r="E242" s="23"/>
      <c r="F242" s="21"/>
      <c r="G242" s="21"/>
      <c r="H242" s="21"/>
      <c r="I242" s="511"/>
    </row>
    <row r="243" spans="1:9">
      <c r="A243" s="509"/>
      <c r="B243" s="510"/>
      <c r="C243" s="23"/>
      <c r="D243" s="23"/>
      <c r="E243" s="23"/>
      <c r="F243" s="21"/>
      <c r="G243" s="21"/>
      <c r="H243" s="21"/>
      <c r="I243" s="511"/>
    </row>
    <row r="244" spans="1:9">
      <c r="A244" s="509"/>
      <c r="B244" s="510"/>
      <c r="C244" s="23"/>
      <c r="D244" s="23"/>
      <c r="E244" s="23"/>
      <c r="F244" s="21"/>
      <c r="G244" s="21"/>
      <c r="H244" s="21"/>
      <c r="I244" s="511"/>
    </row>
    <row r="245" spans="1:9">
      <c r="A245" s="509"/>
      <c r="B245" s="510"/>
      <c r="C245" s="23"/>
      <c r="D245" s="23"/>
      <c r="E245" s="23"/>
      <c r="F245" s="21"/>
      <c r="G245" s="21"/>
      <c r="H245" s="21"/>
      <c r="I245" s="511"/>
    </row>
    <row r="246" spans="1:9">
      <c r="A246" s="509"/>
      <c r="B246" s="510"/>
      <c r="C246" s="23"/>
      <c r="D246" s="23"/>
      <c r="E246" s="23"/>
      <c r="F246" s="21"/>
      <c r="G246" s="21"/>
      <c r="H246" s="21"/>
      <c r="I246" s="511"/>
    </row>
    <row r="247" spans="1:9">
      <c r="A247" s="509"/>
      <c r="B247" s="510"/>
      <c r="C247" s="23"/>
      <c r="D247" s="23"/>
      <c r="E247" s="23"/>
      <c r="F247" s="21"/>
      <c r="G247" s="21"/>
      <c r="H247" s="21"/>
      <c r="I247" s="511"/>
    </row>
    <row r="248" spans="1:9">
      <c r="A248" s="509"/>
      <c r="B248" s="510"/>
      <c r="C248" s="23"/>
      <c r="D248" s="23"/>
      <c r="E248" s="23"/>
      <c r="F248" s="21"/>
      <c r="G248" s="21"/>
      <c r="H248" s="21"/>
      <c r="I248" s="511"/>
    </row>
    <row r="249" spans="1:9">
      <c r="A249" s="509"/>
      <c r="B249" s="510"/>
      <c r="C249" s="23"/>
      <c r="D249" s="23"/>
      <c r="E249" s="23"/>
      <c r="F249" s="21"/>
      <c r="G249" s="21"/>
      <c r="H249" s="21"/>
      <c r="I249" s="511"/>
    </row>
    <row r="250" spans="1:9">
      <c r="A250" s="509"/>
      <c r="B250" s="510"/>
      <c r="C250" s="23"/>
      <c r="D250" s="23"/>
      <c r="E250" s="23"/>
      <c r="F250" s="21"/>
      <c r="G250" s="21"/>
      <c r="H250" s="21"/>
      <c r="I250" s="511"/>
    </row>
    <row r="251" spans="1:9">
      <c r="A251" s="509"/>
      <c r="B251" s="510"/>
      <c r="C251" s="23"/>
      <c r="D251" s="23"/>
      <c r="E251" s="23"/>
      <c r="F251" s="21"/>
      <c r="G251" s="21"/>
      <c r="H251" s="21"/>
      <c r="I251" s="511"/>
    </row>
    <row r="252" spans="1:9">
      <c r="A252" s="509"/>
      <c r="B252" s="510"/>
      <c r="C252" s="23"/>
      <c r="D252" s="23"/>
      <c r="E252" s="23"/>
      <c r="F252" s="21"/>
      <c r="G252" s="21"/>
      <c r="H252" s="21"/>
      <c r="I252" s="511"/>
    </row>
    <row r="253" spans="1:9">
      <c r="A253" s="509"/>
      <c r="B253" s="510"/>
      <c r="C253" s="23"/>
      <c r="D253" s="23"/>
      <c r="E253" s="23"/>
      <c r="F253" s="21"/>
      <c r="G253" s="21"/>
      <c r="H253" s="21"/>
      <c r="I253" s="511"/>
    </row>
    <row r="254" spans="1:9">
      <c r="A254" s="509"/>
      <c r="B254" s="510"/>
      <c r="C254" s="23"/>
      <c r="D254" s="23"/>
      <c r="E254" s="23"/>
      <c r="F254" s="21"/>
      <c r="G254" s="21"/>
      <c r="H254" s="21"/>
      <c r="I254" s="511"/>
    </row>
    <row r="255" spans="1:9">
      <c r="A255" s="509"/>
      <c r="B255" s="510"/>
      <c r="C255" s="23"/>
      <c r="D255" s="23"/>
      <c r="E255" s="23"/>
      <c r="F255" s="21"/>
      <c r="G255" s="21"/>
      <c r="H255" s="21"/>
      <c r="I255" s="511"/>
    </row>
    <row r="256" spans="1:9">
      <c r="A256" s="509"/>
      <c r="B256" s="510"/>
      <c r="C256" s="23"/>
      <c r="D256" s="23"/>
      <c r="E256" s="23"/>
      <c r="F256" s="21"/>
      <c r="G256" s="21"/>
      <c r="H256" s="21"/>
      <c r="I256" s="511"/>
    </row>
    <row r="257" spans="1:9">
      <c r="A257" s="509"/>
      <c r="B257" s="510"/>
      <c r="C257" s="23"/>
      <c r="D257" s="23"/>
      <c r="E257" s="23"/>
      <c r="F257" s="21"/>
      <c r="G257" s="21"/>
      <c r="H257" s="21"/>
      <c r="I257" s="511"/>
    </row>
    <row r="258" spans="1:9">
      <c r="A258" s="509"/>
      <c r="B258" s="510"/>
      <c r="C258" s="23"/>
      <c r="D258" s="23"/>
      <c r="E258" s="23"/>
      <c r="F258" s="21"/>
      <c r="G258" s="21"/>
      <c r="H258" s="21"/>
      <c r="I258" s="511"/>
    </row>
    <row r="259" spans="1:9">
      <c r="A259" s="509"/>
      <c r="B259" s="510"/>
      <c r="C259" s="23"/>
      <c r="D259" s="23"/>
      <c r="E259" s="23"/>
      <c r="F259" s="21"/>
      <c r="G259" s="21"/>
      <c r="H259" s="21"/>
      <c r="I259" s="511"/>
    </row>
    <row r="260" spans="1:9">
      <c r="A260" s="509"/>
      <c r="B260" s="510"/>
      <c r="C260" s="23"/>
      <c r="D260" s="23"/>
      <c r="E260" s="23"/>
      <c r="F260" s="21"/>
      <c r="G260" s="21"/>
      <c r="H260" s="21"/>
      <c r="I260" s="511"/>
    </row>
    <row r="261" spans="1:9">
      <c r="A261" s="509"/>
      <c r="B261" s="510"/>
      <c r="C261" s="23"/>
      <c r="D261" s="23"/>
      <c r="E261" s="23"/>
      <c r="F261" s="21"/>
      <c r="G261" s="21"/>
      <c r="H261" s="21"/>
      <c r="I261" s="511"/>
    </row>
    <row r="262" spans="1:9">
      <c r="A262" s="509"/>
      <c r="B262" s="510"/>
      <c r="C262" s="23"/>
      <c r="D262" s="23"/>
      <c r="E262" s="23"/>
      <c r="F262" s="21"/>
      <c r="G262" s="21"/>
      <c r="H262" s="21"/>
      <c r="I262" s="511"/>
    </row>
    <row r="263" spans="1:9">
      <c r="A263" s="509"/>
      <c r="B263" s="510"/>
      <c r="C263" s="23"/>
      <c r="D263" s="23"/>
      <c r="E263" s="23"/>
      <c r="F263" s="21"/>
      <c r="G263" s="21"/>
      <c r="H263" s="21"/>
      <c r="I263" s="511"/>
    </row>
    <row r="264" spans="1:9">
      <c r="A264" s="509"/>
      <c r="B264" s="510"/>
      <c r="C264" s="23"/>
      <c r="D264" s="23"/>
      <c r="E264" s="23"/>
      <c r="F264" s="21"/>
      <c r="G264" s="21"/>
      <c r="H264" s="21"/>
      <c r="I264" s="511"/>
    </row>
    <row r="265" spans="1:9">
      <c r="A265" s="509"/>
      <c r="B265" s="510"/>
      <c r="C265" s="23"/>
      <c r="D265" s="23"/>
      <c r="E265" s="23"/>
      <c r="F265" s="21"/>
      <c r="G265" s="21"/>
      <c r="H265" s="21"/>
      <c r="I265" s="511"/>
    </row>
    <row r="266" spans="1:9">
      <c r="A266" s="509"/>
      <c r="B266" s="510"/>
      <c r="C266" s="23"/>
      <c r="D266" s="23"/>
      <c r="E266" s="23"/>
      <c r="F266" s="21"/>
      <c r="G266" s="21"/>
      <c r="H266" s="21"/>
      <c r="I266" s="511"/>
    </row>
    <row r="267" spans="1:9">
      <c r="A267" s="509"/>
      <c r="B267" s="510"/>
      <c r="C267" s="23"/>
      <c r="D267" s="23"/>
      <c r="E267" s="23"/>
      <c r="F267" s="21"/>
      <c r="G267" s="21"/>
      <c r="H267" s="21"/>
      <c r="I267" s="511"/>
    </row>
    <row r="268" spans="1:9">
      <c r="A268" s="509"/>
      <c r="B268" s="510"/>
      <c r="C268" s="23"/>
      <c r="D268" s="23"/>
      <c r="E268" s="23"/>
      <c r="F268" s="21"/>
      <c r="G268" s="21"/>
      <c r="H268" s="21"/>
      <c r="I268" s="511"/>
    </row>
    <row r="269" spans="1:9">
      <c r="A269" s="509"/>
      <c r="B269" s="510"/>
      <c r="C269" s="23"/>
      <c r="D269" s="23"/>
      <c r="E269" s="23"/>
      <c r="F269" s="21"/>
      <c r="G269" s="21"/>
      <c r="H269" s="21"/>
      <c r="I269" s="511"/>
    </row>
    <row r="270" spans="1:9">
      <c r="A270" s="509"/>
      <c r="B270" s="510"/>
      <c r="C270" s="23"/>
      <c r="D270" s="23"/>
      <c r="E270" s="23"/>
      <c r="F270" s="21"/>
      <c r="G270" s="21"/>
      <c r="H270" s="21"/>
      <c r="I270" s="511"/>
    </row>
    <row r="271" spans="1:9">
      <c r="A271" s="509"/>
      <c r="B271" s="510"/>
      <c r="C271" s="23"/>
      <c r="D271" s="23"/>
      <c r="E271" s="23"/>
      <c r="F271" s="21"/>
      <c r="G271" s="21"/>
      <c r="H271" s="21"/>
      <c r="I271" s="511"/>
    </row>
    <row r="272" spans="1:9">
      <c r="A272" s="509"/>
      <c r="B272" s="510"/>
      <c r="C272" s="23"/>
      <c r="D272" s="23"/>
      <c r="E272" s="23"/>
      <c r="F272" s="21"/>
      <c r="G272" s="21"/>
      <c r="H272" s="21"/>
      <c r="I272" s="511"/>
    </row>
    <row r="273" spans="1:9">
      <c r="A273" s="509"/>
      <c r="B273" s="510"/>
      <c r="C273" s="23"/>
      <c r="D273" s="23"/>
      <c r="E273" s="23"/>
      <c r="F273" s="21"/>
      <c r="G273" s="21"/>
      <c r="H273" s="21"/>
      <c r="I273" s="511"/>
    </row>
    <row r="274" spans="1:9">
      <c r="A274" s="509"/>
      <c r="B274" s="510"/>
      <c r="C274" s="23"/>
      <c r="D274" s="23"/>
      <c r="E274" s="23"/>
      <c r="F274" s="21"/>
      <c r="G274" s="21"/>
      <c r="H274" s="21"/>
      <c r="I274" s="511"/>
    </row>
    <row r="275" spans="1:9">
      <c r="A275" s="509"/>
      <c r="B275" s="510"/>
      <c r="C275" s="23"/>
      <c r="D275" s="23"/>
      <c r="E275" s="23"/>
      <c r="F275" s="21"/>
      <c r="G275" s="21"/>
      <c r="H275" s="21"/>
      <c r="I275" s="511"/>
    </row>
    <row r="276" spans="1:9">
      <c r="A276" s="509"/>
      <c r="B276" s="510"/>
      <c r="C276" s="23"/>
      <c r="D276" s="23"/>
      <c r="E276" s="23"/>
      <c r="F276" s="21"/>
      <c r="G276" s="21"/>
      <c r="H276" s="21"/>
      <c r="I276" s="511"/>
    </row>
    <row r="277" spans="1:9">
      <c r="A277" s="509"/>
      <c r="B277" s="510"/>
      <c r="C277" s="23"/>
      <c r="D277" s="23"/>
      <c r="E277" s="23"/>
      <c r="F277" s="21"/>
      <c r="G277" s="21"/>
      <c r="H277" s="21"/>
      <c r="I277" s="511"/>
    </row>
    <row r="278" spans="1:9">
      <c r="A278" s="509"/>
      <c r="B278" s="510"/>
      <c r="C278" s="23"/>
      <c r="D278" s="23"/>
      <c r="E278" s="23"/>
      <c r="F278" s="21"/>
      <c r="G278" s="21"/>
      <c r="H278" s="21"/>
      <c r="I278" s="511"/>
    </row>
    <row r="279" spans="1:9">
      <c r="A279" s="509"/>
      <c r="B279" s="510"/>
      <c r="C279" s="23"/>
      <c r="D279" s="23"/>
      <c r="E279" s="23"/>
      <c r="F279" s="21"/>
      <c r="G279" s="21"/>
      <c r="H279" s="21"/>
      <c r="I279" s="511"/>
    </row>
    <row r="280" spans="1:9">
      <c r="A280" s="509"/>
      <c r="B280" s="510"/>
      <c r="C280" s="23"/>
      <c r="D280" s="23"/>
      <c r="E280" s="23"/>
      <c r="F280" s="21"/>
      <c r="G280" s="21"/>
      <c r="H280" s="21"/>
      <c r="I280" s="511"/>
    </row>
    <row r="281" spans="1:9">
      <c r="A281" s="509"/>
      <c r="B281" s="510"/>
      <c r="C281" s="23"/>
      <c r="D281" s="23"/>
      <c r="E281" s="23"/>
      <c r="F281" s="21"/>
      <c r="G281" s="21"/>
      <c r="H281" s="21"/>
      <c r="I281" s="511"/>
    </row>
    <row r="282" spans="1:9">
      <c r="A282" s="509"/>
      <c r="B282" s="510"/>
      <c r="C282" s="23"/>
      <c r="D282" s="23"/>
      <c r="E282" s="23"/>
      <c r="F282" s="21"/>
      <c r="G282" s="21"/>
      <c r="H282" s="21"/>
      <c r="I282" s="511"/>
    </row>
    <row r="283" spans="1:9">
      <c r="A283" s="509"/>
      <c r="B283" s="510"/>
      <c r="C283" s="23"/>
      <c r="D283" s="23"/>
      <c r="E283" s="23"/>
      <c r="F283" s="21"/>
      <c r="G283" s="21"/>
      <c r="H283" s="21"/>
      <c r="I283" s="511"/>
    </row>
    <row r="284" spans="1:9">
      <c r="A284" s="509"/>
      <c r="B284" s="510"/>
      <c r="C284" s="23"/>
      <c r="D284" s="23"/>
      <c r="E284" s="23"/>
      <c r="F284" s="21"/>
      <c r="G284" s="21"/>
      <c r="H284" s="21"/>
      <c r="I284" s="511"/>
    </row>
    <row r="285" spans="1:9">
      <c r="A285" s="509"/>
      <c r="B285" s="510"/>
      <c r="C285" s="23"/>
      <c r="D285" s="23"/>
      <c r="E285" s="23"/>
      <c r="F285" s="21"/>
      <c r="G285" s="21"/>
      <c r="H285" s="21"/>
      <c r="I285" s="511"/>
    </row>
    <row r="286" spans="1:9">
      <c r="A286" s="509"/>
      <c r="B286" s="510"/>
      <c r="C286" s="23"/>
      <c r="D286" s="23"/>
      <c r="E286" s="23"/>
      <c r="F286" s="21"/>
      <c r="G286" s="21"/>
      <c r="H286" s="21"/>
      <c r="I286" s="511"/>
    </row>
    <row r="287" spans="1:9">
      <c r="A287" s="509"/>
      <c r="B287" s="510"/>
      <c r="C287" s="23"/>
      <c r="D287" s="23"/>
      <c r="E287" s="23"/>
      <c r="F287" s="21"/>
      <c r="G287" s="21"/>
      <c r="H287" s="21"/>
      <c r="I287" s="511"/>
    </row>
    <row r="288" spans="1:9">
      <c r="A288" s="509"/>
      <c r="B288" s="510"/>
      <c r="C288" s="23"/>
      <c r="D288" s="23"/>
      <c r="E288" s="23"/>
      <c r="F288" s="21"/>
      <c r="G288" s="21"/>
      <c r="H288" s="21"/>
      <c r="I288" s="511"/>
    </row>
    <row r="289" spans="1:9">
      <c r="A289" s="509"/>
      <c r="B289" s="510"/>
      <c r="C289" s="23"/>
      <c r="D289" s="23"/>
      <c r="E289" s="23"/>
      <c r="F289" s="21"/>
      <c r="G289" s="21"/>
      <c r="H289" s="21"/>
      <c r="I289" s="511"/>
    </row>
    <row r="290" spans="1:9">
      <c r="A290" s="509"/>
      <c r="B290" s="510"/>
      <c r="C290" s="23"/>
      <c r="D290" s="23"/>
      <c r="E290" s="23"/>
      <c r="F290" s="21"/>
      <c r="G290" s="21"/>
      <c r="H290" s="21"/>
      <c r="I290" s="511"/>
    </row>
    <row r="291" spans="1:9">
      <c r="A291" s="509"/>
      <c r="B291" s="510"/>
      <c r="C291" s="23"/>
      <c r="D291" s="23"/>
      <c r="E291" s="23"/>
      <c r="F291" s="21"/>
      <c r="G291" s="21"/>
      <c r="H291" s="21"/>
      <c r="I291" s="511"/>
    </row>
    <row r="292" spans="1:9">
      <c r="A292" s="509"/>
      <c r="B292" s="510"/>
      <c r="C292" s="23"/>
      <c r="D292" s="23"/>
      <c r="E292" s="23"/>
      <c r="F292" s="21"/>
      <c r="G292" s="21"/>
      <c r="H292" s="21"/>
      <c r="I292" s="511"/>
    </row>
    <row r="293" spans="1:9">
      <c r="A293" s="509"/>
      <c r="B293" s="510"/>
      <c r="C293" s="23"/>
      <c r="D293" s="23"/>
      <c r="E293" s="23"/>
      <c r="F293" s="21"/>
      <c r="G293" s="21"/>
      <c r="H293" s="21"/>
      <c r="I293" s="511"/>
    </row>
    <row r="294" spans="1:9">
      <c r="A294" s="509"/>
      <c r="B294" s="510"/>
      <c r="C294" s="23"/>
      <c r="D294" s="23"/>
      <c r="E294" s="23"/>
      <c r="F294" s="21"/>
      <c r="G294" s="21"/>
      <c r="H294" s="21"/>
      <c r="I294" s="511"/>
    </row>
    <row r="295" spans="1:9">
      <c r="A295" s="509"/>
      <c r="B295" s="510"/>
      <c r="C295" s="23"/>
      <c r="D295" s="23"/>
      <c r="E295" s="23"/>
      <c r="F295" s="21"/>
      <c r="G295" s="21"/>
      <c r="H295" s="21"/>
      <c r="I295" s="511"/>
    </row>
    <row r="296" spans="1:9">
      <c r="A296" s="509"/>
      <c r="B296" s="510"/>
      <c r="C296" s="23"/>
      <c r="D296" s="23"/>
      <c r="E296" s="23"/>
      <c r="F296" s="21"/>
      <c r="G296" s="21"/>
      <c r="H296" s="21"/>
      <c r="I296" s="511"/>
    </row>
    <row r="297" spans="1:9">
      <c r="A297" s="509"/>
      <c r="B297" s="510"/>
      <c r="C297" s="23"/>
      <c r="D297" s="23"/>
      <c r="E297" s="23"/>
      <c r="F297" s="21"/>
      <c r="G297" s="21"/>
      <c r="H297" s="21"/>
      <c r="I297" s="511"/>
    </row>
    <row r="298" spans="1:9">
      <c r="A298" s="509"/>
      <c r="B298" s="510"/>
      <c r="C298" s="23"/>
      <c r="D298" s="23"/>
      <c r="E298" s="23"/>
      <c r="F298" s="21"/>
      <c r="G298" s="21"/>
      <c r="H298" s="21"/>
      <c r="I298" s="511"/>
    </row>
    <row r="299" spans="1:9">
      <c r="A299" s="509"/>
      <c r="B299" s="510"/>
      <c r="C299" s="23"/>
      <c r="D299" s="23"/>
      <c r="E299" s="23"/>
      <c r="F299" s="21"/>
      <c r="G299" s="21"/>
      <c r="H299" s="21"/>
      <c r="I299" s="511"/>
    </row>
    <row r="300" spans="1:9">
      <c r="A300" s="509"/>
      <c r="B300" s="510"/>
      <c r="C300" s="23"/>
      <c r="D300" s="23"/>
      <c r="E300" s="23"/>
      <c r="F300" s="21"/>
      <c r="G300" s="21"/>
      <c r="H300" s="21"/>
      <c r="I300" s="511"/>
    </row>
    <row r="301" spans="1:9">
      <c r="A301" s="509"/>
      <c r="B301" s="510"/>
      <c r="C301" s="23"/>
      <c r="D301" s="23"/>
      <c r="E301" s="23"/>
      <c r="F301" s="21"/>
      <c r="G301" s="21"/>
      <c r="H301" s="21"/>
      <c r="I301" s="511"/>
    </row>
    <row r="302" spans="1:9">
      <c r="A302" s="509"/>
      <c r="B302" s="510"/>
      <c r="C302" s="23"/>
      <c r="D302" s="23"/>
      <c r="E302" s="23"/>
      <c r="F302" s="21"/>
      <c r="G302" s="21"/>
      <c r="H302" s="21"/>
      <c r="I302" s="511"/>
    </row>
    <row r="303" spans="1:9">
      <c r="A303" s="509"/>
      <c r="B303" s="510"/>
      <c r="C303" s="23"/>
      <c r="D303" s="23"/>
      <c r="E303" s="23"/>
      <c r="F303" s="21"/>
      <c r="G303" s="21"/>
      <c r="H303" s="21"/>
      <c r="I303" s="511"/>
    </row>
    <row r="304" spans="1:9">
      <c r="A304" s="509"/>
      <c r="B304" s="510"/>
      <c r="C304" s="23"/>
      <c r="D304" s="23"/>
      <c r="E304" s="23"/>
      <c r="F304" s="21"/>
      <c r="G304" s="21"/>
      <c r="H304" s="21"/>
      <c r="I304" s="511"/>
    </row>
    <row r="305" spans="1:9">
      <c r="A305" s="509"/>
      <c r="B305" s="510"/>
      <c r="C305" s="23"/>
      <c r="D305" s="23"/>
      <c r="E305" s="23"/>
      <c r="F305" s="21"/>
      <c r="G305" s="21"/>
      <c r="H305" s="21"/>
      <c r="I305" s="511"/>
    </row>
    <row r="306" spans="1:9">
      <c r="A306" s="509"/>
      <c r="B306" s="510"/>
      <c r="C306" s="23"/>
      <c r="D306" s="23"/>
      <c r="E306" s="23"/>
      <c r="F306" s="21"/>
      <c r="G306" s="21"/>
      <c r="H306" s="21"/>
      <c r="I306" s="511"/>
    </row>
    <row r="307" spans="1:9">
      <c r="A307" s="509"/>
      <c r="B307" s="510"/>
      <c r="C307" s="23"/>
      <c r="D307" s="23"/>
      <c r="E307" s="23"/>
      <c r="F307" s="21"/>
      <c r="G307" s="21"/>
      <c r="H307" s="21"/>
      <c r="I307" s="511"/>
    </row>
    <row r="308" spans="1:9">
      <c r="A308" s="509"/>
      <c r="B308" s="510"/>
      <c r="C308" s="23"/>
      <c r="D308" s="23"/>
      <c r="E308" s="23"/>
      <c r="F308" s="21"/>
      <c r="G308" s="21"/>
      <c r="H308" s="21"/>
      <c r="I308" s="511"/>
    </row>
    <row r="309" spans="1:9">
      <c r="A309" s="509"/>
      <c r="B309" s="510"/>
      <c r="C309" s="23"/>
      <c r="D309" s="23"/>
      <c r="E309" s="23"/>
      <c r="F309" s="21"/>
      <c r="G309" s="21"/>
      <c r="H309" s="21"/>
      <c r="I309" s="511"/>
    </row>
    <row r="310" spans="1:9">
      <c r="A310" s="509"/>
      <c r="B310" s="510"/>
      <c r="C310" s="23"/>
      <c r="D310" s="23"/>
      <c r="E310" s="23"/>
      <c r="F310" s="21"/>
      <c r="G310" s="21"/>
      <c r="H310" s="21"/>
      <c r="I310" s="511"/>
    </row>
    <row r="311" spans="1:9">
      <c r="A311" s="509"/>
      <c r="B311" s="510"/>
      <c r="C311" s="23"/>
      <c r="D311" s="23"/>
      <c r="E311" s="23"/>
      <c r="F311" s="21"/>
      <c r="G311" s="21"/>
      <c r="H311" s="21"/>
      <c r="I311" s="511"/>
    </row>
    <row r="312" spans="1:9">
      <c r="A312" s="509"/>
      <c r="B312" s="510"/>
      <c r="C312" s="23"/>
      <c r="D312" s="23"/>
      <c r="E312" s="23"/>
      <c r="F312" s="21"/>
      <c r="G312" s="21"/>
      <c r="H312" s="21"/>
      <c r="I312" s="511"/>
    </row>
    <row r="313" spans="1:9">
      <c r="A313" s="509"/>
      <c r="B313" s="510"/>
      <c r="C313" s="23"/>
      <c r="D313" s="23"/>
      <c r="E313" s="23"/>
      <c r="F313" s="21"/>
      <c r="G313" s="21"/>
      <c r="H313" s="21"/>
      <c r="I313" s="511"/>
    </row>
    <row r="314" spans="1:9">
      <c r="A314" s="509"/>
      <c r="B314" s="510"/>
      <c r="C314" s="23"/>
      <c r="D314" s="23"/>
      <c r="E314" s="23"/>
      <c r="F314" s="21"/>
      <c r="G314" s="21"/>
      <c r="H314" s="21"/>
      <c r="I314" s="511"/>
    </row>
    <row r="315" spans="1:9">
      <c r="A315" s="509"/>
      <c r="B315" s="510"/>
      <c r="C315" s="23"/>
      <c r="D315" s="23"/>
      <c r="E315" s="23"/>
      <c r="F315" s="21"/>
      <c r="G315" s="21"/>
      <c r="H315" s="21"/>
      <c r="I315" s="511"/>
    </row>
    <row r="316" spans="1:9">
      <c r="A316" s="509"/>
      <c r="B316" s="510"/>
      <c r="C316" s="23"/>
      <c r="D316" s="23"/>
      <c r="E316" s="23"/>
      <c r="F316" s="21"/>
      <c r="G316" s="21"/>
      <c r="H316" s="21"/>
      <c r="I316" s="511"/>
    </row>
    <row r="317" spans="1:9">
      <c r="A317" s="509"/>
      <c r="B317" s="510"/>
      <c r="C317" s="23"/>
      <c r="D317" s="23"/>
      <c r="E317" s="23"/>
      <c r="F317" s="21"/>
      <c r="G317" s="21"/>
      <c r="H317" s="21"/>
      <c r="I317" s="511"/>
    </row>
    <row r="318" spans="1:9">
      <c r="A318" s="509"/>
      <c r="B318" s="510"/>
      <c r="C318" s="23"/>
      <c r="D318" s="23"/>
      <c r="E318" s="23"/>
      <c r="F318" s="21"/>
      <c r="G318" s="21"/>
      <c r="H318" s="21"/>
      <c r="I318" s="511"/>
    </row>
    <row r="319" spans="1:9">
      <c r="A319" s="509"/>
      <c r="B319" s="510"/>
      <c r="C319" s="23"/>
      <c r="D319" s="23"/>
      <c r="E319" s="23"/>
      <c r="F319" s="21"/>
      <c r="G319" s="21"/>
      <c r="H319" s="21"/>
      <c r="I319" s="511"/>
    </row>
    <row r="320" spans="1:9">
      <c r="A320" s="509"/>
      <c r="B320" s="510"/>
      <c r="C320" s="23"/>
      <c r="D320" s="23"/>
      <c r="E320" s="23"/>
      <c r="F320" s="21"/>
      <c r="G320" s="21"/>
      <c r="H320" s="21"/>
      <c r="I320" s="511"/>
    </row>
    <row r="321" spans="1:9">
      <c r="A321" s="509"/>
      <c r="B321" s="510"/>
      <c r="C321" s="23"/>
      <c r="D321" s="23"/>
      <c r="E321" s="23"/>
      <c r="F321" s="21"/>
      <c r="G321" s="21"/>
      <c r="H321" s="21"/>
      <c r="I321" s="511"/>
    </row>
    <row r="322" spans="1:9">
      <c r="A322" s="509"/>
      <c r="B322" s="510"/>
      <c r="C322" s="23"/>
      <c r="D322" s="23"/>
      <c r="E322" s="23"/>
      <c r="F322" s="21"/>
      <c r="G322" s="21"/>
      <c r="H322" s="21"/>
      <c r="I322" s="511"/>
    </row>
    <row r="323" spans="1:9">
      <c r="A323" s="509"/>
      <c r="B323" s="510"/>
      <c r="C323" s="23"/>
      <c r="D323" s="23"/>
      <c r="E323" s="23"/>
      <c r="F323" s="21"/>
      <c r="G323" s="21"/>
      <c r="H323" s="21"/>
      <c r="I323" s="511"/>
    </row>
    <row r="324" spans="1:9">
      <c r="A324" s="509"/>
      <c r="B324" s="510"/>
      <c r="C324" s="23"/>
      <c r="D324" s="23"/>
      <c r="E324" s="23"/>
      <c r="F324" s="21"/>
      <c r="G324" s="21"/>
      <c r="H324" s="21"/>
      <c r="I324" s="511"/>
    </row>
    <row r="325" spans="1:9">
      <c r="A325" s="509"/>
      <c r="B325" s="510"/>
      <c r="C325" s="23"/>
      <c r="D325" s="23"/>
      <c r="E325" s="23"/>
      <c r="F325" s="21"/>
      <c r="G325" s="21"/>
      <c r="H325" s="21"/>
      <c r="I325" s="511"/>
    </row>
    <row r="326" spans="1:9">
      <c r="A326" s="509"/>
      <c r="B326" s="510"/>
      <c r="C326" s="23"/>
      <c r="D326" s="23"/>
      <c r="E326" s="23"/>
      <c r="F326" s="21"/>
      <c r="G326" s="21"/>
      <c r="H326" s="21"/>
      <c r="I326" s="511"/>
    </row>
    <row r="327" spans="1:9">
      <c r="A327" s="509"/>
      <c r="B327" s="510"/>
      <c r="C327" s="23"/>
      <c r="D327" s="23"/>
      <c r="E327" s="23"/>
      <c r="F327" s="21"/>
      <c r="G327" s="21"/>
      <c r="H327" s="21"/>
      <c r="I327" s="511"/>
    </row>
    <row r="328" spans="1:9">
      <c r="A328" s="509"/>
      <c r="B328" s="510"/>
      <c r="C328" s="23"/>
      <c r="D328" s="23"/>
      <c r="E328" s="23"/>
      <c r="F328" s="21"/>
      <c r="G328" s="21"/>
      <c r="H328" s="21"/>
      <c r="I328" s="511"/>
    </row>
    <row r="329" spans="1:9">
      <c r="A329" s="509"/>
      <c r="B329" s="510"/>
      <c r="C329" s="23"/>
      <c r="D329" s="23"/>
      <c r="E329" s="23"/>
      <c r="F329" s="21"/>
      <c r="G329" s="21"/>
      <c r="H329" s="21"/>
      <c r="I329" s="511"/>
    </row>
    <row r="330" spans="1:9">
      <c r="A330" s="509"/>
      <c r="B330" s="510"/>
      <c r="C330" s="23"/>
      <c r="D330" s="23"/>
      <c r="E330" s="23"/>
      <c r="F330" s="21"/>
      <c r="G330" s="21"/>
      <c r="H330" s="21"/>
      <c r="I330" s="511"/>
    </row>
    <row r="331" spans="1:9">
      <c r="A331" s="509"/>
      <c r="B331" s="510"/>
      <c r="C331" s="23"/>
      <c r="D331" s="23"/>
      <c r="E331" s="23"/>
      <c r="F331" s="21"/>
      <c r="G331" s="21"/>
      <c r="H331" s="21"/>
      <c r="I331" s="511"/>
    </row>
    <row r="332" spans="1:9">
      <c r="A332" s="509"/>
      <c r="B332" s="510"/>
      <c r="C332" s="23"/>
      <c r="D332" s="23"/>
      <c r="E332" s="23"/>
      <c r="F332" s="21"/>
      <c r="G332" s="21"/>
      <c r="H332" s="21"/>
      <c r="I332" s="511"/>
    </row>
    <row r="333" spans="1:9">
      <c r="A333" s="509"/>
      <c r="B333" s="510"/>
      <c r="C333" s="23"/>
      <c r="D333" s="23"/>
      <c r="E333" s="23"/>
      <c r="F333" s="21"/>
      <c r="G333" s="21"/>
      <c r="H333" s="21"/>
      <c r="I333" s="511"/>
    </row>
    <row r="334" spans="1:9">
      <c r="A334" s="509"/>
      <c r="B334" s="510"/>
      <c r="C334" s="23"/>
      <c r="D334" s="23"/>
      <c r="E334" s="23"/>
      <c r="F334" s="21"/>
      <c r="G334" s="21"/>
      <c r="H334" s="21"/>
      <c r="I334" s="511"/>
    </row>
    <row r="335" spans="1:9">
      <c r="A335" s="509"/>
      <c r="B335" s="510"/>
      <c r="C335" s="23"/>
      <c r="D335" s="23"/>
      <c r="E335" s="23"/>
      <c r="F335" s="21"/>
      <c r="G335" s="21"/>
      <c r="H335" s="21"/>
      <c r="I335" s="511"/>
    </row>
    <row r="336" spans="1:9">
      <c r="A336" s="509"/>
      <c r="B336" s="510"/>
      <c r="C336" s="23"/>
      <c r="D336" s="23"/>
      <c r="E336" s="23"/>
      <c r="F336" s="21"/>
      <c r="G336" s="21"/>
      <c r="H336" s="21"/>
      <c r="I336" s="511"/>
    </row>
    <row r="337" spans="1:9">
      <c r="A337" s="509"/>
      <c r="B337" s="510"/>
      <c r="C337" s="23"/>
      <c r="D337" s="23"/>
      <c r="E337" s="23"/>
      <c r="F337" s="21"/>
      <c r="G337" s="21"/>
      <c r="H337" s="21"/>
      <c r="I337" s="511"/>
    </row>
    <row r="338" spans="1:9">
      <c r="A338" s="509"/>
      <c r="B338" s="510"/>
      <c r="C338" s="23"/>
      <c r="D338" s="23"/>
      <c r="E338" s="23"/>
      <c r="F338" s="21"/>
      <c r="G338" s="21"/>
      <c r="H338" s="21"/>
      <c r="I338" s="511"/>
    </row>
    <row r="339" spans="1:9">
      <c r="A339" s="509"/>
      <c r="B339" s="510"/>
      <c r="C339" s="23"/>
      <c r="D339" s="23"/>
      <c r="E339" s="23"/>
      <c r="F339" s="21"/>
      <c r="G339" s="21"/>
      <c r="H339" s="21"/>
      <c r="I339" s="511"/>
    </row>
    <row r="340" spans="1:9">
      <c r="A340" s="509"/>
      <c r="B340" s="510"/>
      <c r="C340" s="23"/>
      <c r="D340" s="23"/>
      <c r="E340" s="23"/>
      <c r="F340" s="21"/>
      <c r="G340" s="21"/>
      <c r="H340" s="21"/>
      <c r="I340" s="511"/>
    </row>
    <row r="341" spans="1:9">
      <c r="A341" s="509"/>
      <c r="B341" s="510"/>
      <c r="C341" s="23"/>
      <c r="D341" s="23"/>
      <c r="E341" s="23"/>
      <c r="F341" s="21"/>
      <c r="G341" s="21"/>
      <c r="H341" s="21"/>
      <c r="I341" s="511"/>
    </row>
    <row r="342" spans="1:9">
      <c r="A342" s="509"/>
      <c r="B342" s="510"/>
      <c r="C342" s="23"/>
      <c r="D342" s="23"/>
      <c r="E342" s="23"/>
      <c r="F342" s="21"/>
      <c r="G342" s="21"/>
      <c r="H342" s="21"/>
      <c r="I342" s="511"/>
    </row>
    <row r="343" spans="1:9">
      <c r="A343" s="509"/>
      <c r="B343" s="510"/>
      <c r="C343" s="23"/>
      <c r="D343" s="23"/>
      <c r="E343" s="23"/>
      <c r="F343" s="21"/>
      <c r="G343" s="21"/>
      <c r="H343" s="21"/>
      <c r="I343" s="511"/>
    </row>
    <row r="344" spans="1:9">
      <c r="A344" s="509"/>
      <c r="B344" s="510"/>
      <c r="C344" s="23"/>
      <c r="D344" s="23"/>
      <c r="E344" s="23"/>
      <c r="F344" s="21"/>
      <c r="G344" s="21"/>
      <c r="H344" s="21"/>
      <c r="I344" s="511"/>
    </row>
    <row r="345" spans="1:9">
      <c r="A345" s="509"/>
      <c r="B345" s="510"/>
      <c r="C345" s="23"/>
      <c r="D345" s="23"/>
      <c r="E345" s="23"/>
      <c r="F345" s="21"/>
      <c r="G345" s="21"/>
      <c r="H345" s="21"/>
      <c r="I345" s="511"/>
    </row>
    <row r="346" spans="1:9">
      <c r="A346" s="509"/>
      <c r="B346" s="510"/>
      <c r="C346" s="23"/>
      <c r="D346" s="23"/>
      <c r="E346" s="23"/>
      <c r="F346" s="21"/>
      <c r="G346" s="21"/>
      <c r="H346" s="21"/>
      <c r="I346" s="511"/>
    </row>
    <row r="347" spans="1:9">
      <c r="A347" s="509"/>
      <c r="B347" s="510"/>
      <c r="C347" s="23"/>
      <c r="D347" s="23"/>
      <c r="E347" s="23"/>
      <c r="F347" s="21"/>
      <c r="G347" s="21"/>
      <c r="H347" s="21"/>
      <c r="I347" s="511"/>
    </row>
    <row r="348" spans="1:9">
      <c r="A348" s="509"/>
      <c r="B348" s="510"/>
      <c r="C348" s="23"/>
      <c r="D348" s="23"/>
      <c r="E348" s="23"/>
      <c r="F348" s="21"/>
      <c r="G348" s="21"/>
      <c r="H348" s="21"/>
      <c r="I348" s="511"/>
    </row>
    <row r="349" spans="1:9">
      <c r="A349" s="509"/>
      <c r="B349" s="510"/>
      <c r="C349" s="23"/>
      <c r="D349" s="23"/>
      <c r="E349" s="23"/>
      <c r="F349" s="21"/>
      <c r="G349" s="21"/>
      <c r="H349" s="21"/>
      <c r="I349" s="511"/>
    </row>
    <row r="350" spans="1:9">
      <c r="A350" s="509"/>
      <c r="B350" s="510"/>
      <c r="C350" s="23"/>
      <c r="D350" s="23"/>
      <c r="E350" s="23"/>
      <c r="F350" s="21"/>
      <c r="G350" s="21"/>
      <c r="H350" s="21"/>
      <c r="I350" s="511"/>
    </row>
    <row r="351" spans="1:9">
      <c r="A351" s="509"/>
      <c r="B351" s="510"/>
      <c r="C351" s="23"/>
      <c r="D351" s="23"/>
      <c r="E351" s="23"/>
      <c r="F351" s="21"/>
      <c r="G351" s="21"/>
      <c r="H351" s="21"/>
      <c r="I351" s="511"/>
    </row>
    <row r="352" spans="1:9">
      <c r="A352" s="509"/>
      <c r="B352" s="510"/>
      <c r="C352" s="23"/>
      <c r="D352" s="23"/>
      <c r="E352" s="23"/>
      <c r="F352" s="21"/>
      <c r="G352" s="21"/>
      <c r="H352" s="21"/>
      <c r="I352" s="511"/>
    </row>
    <row r="353" spans="1:9">
      <c r="A353" s="509"/>
      <c r="B353" s="510"/>
      <c r="C353" s="23"/>
      <c r="D353" s="23"/>
      <c r="E353" s="23"/>
      <c r="F353" s="21"/>
      <c r="G353" s="21"/>
      <c r="H353" s="21"/>
      <c r="I353" s="511"/>
    </row>
    <row r="354" spans="1:9">
      <c r="A354" s="509"/>
      <c r="B354" s="510"/>
      <c r="C354" s="23"/>
      <c r="D354" s="23"/>
      <c r="E354" s="23"/>
      <c r="F354" s="21"/>
      <c r="G354" s="21"/>
      <c r="H354" s="21"/>
      <c r="I354" s="511"/>
    </row>
    <row r="355" spans="1:9">
      <c r="A355" s="509"/>
      <c r="B355" s="510"/>
      <c r="C355" s="23"/>
      <c r="D355" s="23"/>
      <c r="E355" s="23"/>
      <c r="F355" s="21"/>
      <c r="G355" s="21"/>
      <c r="H355" s="21"/>
      <c r="I355" s="511"/>
    </row>
    <row r="356" spans="1:9">
      <c r="A356" s="509"/>
      <c r="B356" s="510"/>
      <c r="C356" s="23"/>
      <c r="D356" s="23"/>
      <c r="E356" s="23"/>
      <c r="F356" s="21"/>
      <c r="G356" s="21"/>
      <c r="H356" s="21"/>
      <c r="I356" s="511"/>
    </row>
    <row r="357" spans="1:9">
      <c r="A357" s="509"/>
      <c r="B357" s="510"/>
      <c r="C357" s="23"/>
      <c r="D357" s="23"/>
      <c r="E357" s="23"/>
      <c r="F357" s="21"/>
      <c r="G357" s="21"/>
      <c r="H357" s="21"/>
      <c r="I357" s="511"/>
    </row>
    <row r="358" spans="1:9">
      <c r="A358" s="509"/>
      <c r="B358" s="510"/>
      <c r="C358" s="23"/>
      <c r="D358" s="23"/>
      <c r="E358" s="23"/>
      <c r="F358" s="21"/>
      <c r="G358" s="21"/>
      <c r="H358" s="21"/>
      <c r="I358" s="511"/>
    </row>
    <row r="359" spans="1:9">
      <c r="A359" s="509"/>
      <c r="B359" s="510"/>
      <c r="C359" s="23"/>
      <c r="D359" s="23"/>
      <c r="E359" s="23"/>
      <c r="F359" s="21"/>
      <c r="G359" s="21"/>
      <c r="H359" s="21"/>
      <c r="I359" s="511"/>
    </row>
    <row r="360" spans="1:9">
      <c r="A360" s="509"/>
      <c r="B360" s="510"/>
      <c r="C360" s="23"/>
      <c r="D360" s="23"/>
      <c r="E360" s="23"/>
      <c r="F360" s="21"/>
      <c r="G360" s="21"/>
      <c r="H360" s="21"/>
      <c r="I360" s="511"/>
    </row>
    <row r="361" spans="1:9">
      <c r="A361" s="509"/>
      <c r="B361" s="510"/>
      <c r="C361" s="23"/>
      <c r="D361" s="23"/>
      <c r="E361" s="23"/>
      <c r="F361" s="21"/>
      <c r="G361" s="21"/>
      <c r="H361" s="21"/>
      <c r="I361" s="511"/>
    </row>
    <row r="362" spans="1:9">
      <c r="A362" s="509"/>
      <c r="B362" s="510"/>
      <c r="C362" s="23"/>
      <c r="D362" s="23"/>
      <c r="E362" s="23"/>
      <c r="F362" s="21"/>
      <c r="G362" s="21"/>
      <c r="H362" s="21"/>
      <c r="I362" s="511"/>
    </row>
    <row r="363" spans="1:9">
      <c r="A363" s="509"/>
      <c r="B363" s="510"/>
      <c r="C363" s="23"/>
      <c r="D363" s="23"/>
      <c r="E363" s="23"/>
      <c r="F363" s="21"/>
      <c r="G363" s="21"/>
      <c r="H363" s="21"/>
      <c r="I363" s="511"/>
    </row>
    <row r="364" spans="1:9">
      <c r="A364" s="509"/>
      <c r="B364" s="510"/>
      <c r="C364" s="23"/>
      <c r="D364" s="23"/>
      <c r="E364" s="23"/>
      <c r="F364" s="21"/>
      <c r="G364" s="21"/>
      <c r="H364" s="21"/>
      <c r="I364" s="511"/>
    </row>
    <row r="365" spans="1:9">
      <c r="A365" s="509"/>
      <c r="B365" s="510"/>
      <c r="C365" s="23"/>
      <c r="D365" s="23"/>
      <c r="E365" s="23"/>
      <c r="F365" s="21"/>
      <c r="G365" s="21"/>
      <c r="H365" s="21"/>
      <c r="I365" s="511"/>
    </row>
    <row r="366" spans="1:9">
      <c r="A366" s="509"/>
      <c r="B366" s="510"/>
      <c r="C366" s="23"/>
      <c r="D366" s="23"/>
      <c r="E366" s="23"/>
      <c r="F366" s="21"/>
      <c r="G366" s="21"/>
      <c r="H366" s="21"/>
      <c r="I366" s="511"/>
    </row>
    <row r="367" spans="1:9">
      <c r="A367" s="509"/>
      <c r="B367" s="510"/>
      <c r="C367" s="23"/>
      <c r="D367" s="23"/>
      <c r="E367" s="23"/>
      <c r="F367" s="21"/>
      <c r="G367" s="21"/>
      <c r="H367" s="21"/>
      <c r="I367" s="511"/>
    </row>
    <row r="368" spans="1:9">
      <c r="A368" s="509"/>
      <c r="B368" s="510"/>
      <c r="C368" s="23"/>
      <c r="D368" s="23"/>
      <c r="E368" s="23"/>
      <c r="F368" s="21"/>
      <c r="G368" s="21"/>
      <c r="H368" s="21"/>
      <c r="I368" s="511"/>
    </row>
    <row r="369" spans="1:9">
      <c r="A369" s="509"/>
      <c r="B369" s="510"/>
      <c r="C369" s="23"/>
      <c r="D369" s="23"/>
      <c r="E369" s="23"/>
      <c r="F369" s="21"/>
      <c r="G369" s="21"/>
      <c r="H369" s="21"/>
      <c r="I369" s="511"/>
    </row>
    <row r="370" spans="1:9">
      <c r="A370" s="509"/>
      <c r="B370" s="510"/>
      <c r="C370" s="23"/>
      <c r="D370" s="23"/>
      <c r="E370" s="23"/>
      <c r="F370" s="21"/>
      <c r="G370" s="21"/>
      <c r="H370" s="21"/>
      <c r="I370" s="511"/>
    </row>
    <row r="371" spans="1:9">
      <c r="A371" s="509"/>
      <c r="B371" s="510"/>
      <c r="C371" s="23"/>
      <c r="D371" s="23"/>
      <c r="E371" s="23"/>
      <c r="F371" s="21"/>
      <c r="G371" s="21"/>
      <c r="H371" s="21"/>
      <c r="I371" s="511"/>
    </row>
    <row r="372" spans="1:9">
      <c r="A372" s="509"/>
      <c r="B372" s="510"/>
      <c r="C372" s="23"/>
      <c r="D372" s="23"/>
      <c r="E372" s="23"/>
      <c r="F372" s="21"/>
      <c r="G372" s="21"/>
      <c r="H372" s="21"/>
      <c r="I372" s="511"/>
    </row>
    <row r="373" spans="1:9">
      <c r="A373" s="509"/>
      <c r="B373" s="510"/>
      <c r="C373" s="23"/>
      <c r="D373" s="23"/>
      <c r="E373" s="23"/>
      <c r="F373" s="21"/>
      <c r="G373" s="21"/>
      <c r="H373" s="21"/>
      <c r="I373" s="511"/>
    </row>
    <row r="374" spans="1:9">
      <c r="A374" s="509"/>
      <c r="B374" s="510"/>
      <c r="C374" s="23"/>
      <c r="D374" s="23"/>
      <c r="E374" s="23"/>
      <c r="F374" s="21"/>
      <c r="G374" s="21"/>
      <c r="H374" s="21"/>
      <c r="I374" s="511"/>
    </row>
    <row r="375" spans="1:9">
      <c r="A375" s="509"/>
      <c r="B375" s="510"/>
      <c r="C375" s="23"/>
      <c r="D375" s="23"/>
      <c r="E375" s="23"/>
      <c r="F375" s="21"/>
      <c r="G375" s="21"/>
      <c r="H375" s="21"/>
      <c r="I375" s="511"/>
    </row>
    <row r="376" spans="1:9">
      <c r="A376" s="509"/>
      <c r="B376" s="510"/>
      <c r="C376" s="23"/>
      <c r="D376" s="23"/>
      <c r="E376" s="23"/>
      <c r="F376" s="21"/>
      <c r="G376" s="21"/>
      <c r="H376" s="21"/>
      <c r="I376" s="511"/>
    </row>
    <row r="377" spans="1:9">
      <c r="A377" s="509"/>
      <c r="B377" s="510"/>
      <c r="C377" s="23"/>
      <c r="D377" s="23"/>
      <c r="E377" s="23"/>
      <c r="F377" s="21"/>
      <c r="G377" s="21"/>
      <c r="H377" s="21"/>
      <c r="I377" s="511"/>
    </row>
    <row r="378" spans="1:9">
      <c r="A378" s="509"/>
      <c r="B378" s="510"/>
      <c r="C378" s="23"/>
      <c r="D378" s="23"/>
      <c r="E378" s="23"/>
      <c r="F378" s="21"/>
      <c r="G378" s="21"/>
      <c r="H378" s="21"/>
      <c r="I378" s="511"/>
    </row>
    <row r="379" spans="1:9">
      <c r="A379" s="509"/>
      <c r="B379" s="510"/>
      <c r="C379" s="23"/>
      <c r="D379" s="23"/>
      <c r="E379" s="23"/>
      <c r="F379" s="21"/>
      <c r="G379" s="21"/>
      <c r="H379" s="21"/>
      <c r="I379" s="511"/>
    </row>
    <row r="380" spans="1:9">
      <c r="A380" s="509"/>
      <c r="B380" s="510"/>
      <c r="C380" s="23"/>
      <c r="D380" s="23"/>
      <c r="E380" s="23"/>
      <c r="F380" s="21"/>
      <c r="G380" s="21"/>
      <c r="H380" s="21"/>
      <c r="I380" s="511"/>
    </row>
    <row r="381" spans="1:9">
      <c r="A381" s="509"/>
      <c r="B381" s="510"/>
      <c r="C381" s="23"/>
      <c r="D381" s="23"/>
      <c r="E381" s="23"/>
      <c r="F381" s="21"/>
      <c r="G381" s="21"/>
      <c r="H381" s="21"/>
      <c r="I381" s="511"/>
    </row>
    <row r="382" spans="1:9">
      <c r="A382" s="509"/>
      <c r="B382" s="510"/>
      <c r="C382" s="23"/>
      <c r="D382" s="23"/>
      <c r="E382" s="23"/>
      <c r="F382" s="21"/>
      <c r="G382" s="21"/>
      <c r="H382" s="21"/>
      <c r="I382" s="511"/>
    </row>
    <row r="383" spans="1:9">
      <c r="A383" s="509"/>
      <c r="B383" s="510"/>
      <c r="C383" s="23"/>
      <c r="D383" s="23"/>
      <c r="E383" s="23"/>
      <c r="F383" s="21"/>
      <c r="G383" s="21"/>
      <c r="H383" s="21"/>
      <c r="I383" s="511"/>
    </row>
    <row r="384" spans="1:9">
      <c r="A384" s="509"/>
      <c r="B384" s="510"/>
      <c r="C384" s="23"/>
      <c r="D384" s="23"/>
      <c r="E384" s="23"/>
      <c r="F384" s="21"/>
      <c r="G384" s="21"/>
      <c r="H384" s="21"/>
      <c r="I384" s="511"/>
    </row>
    <row r="385" spans="1:9">
      <c r="A385" s="509"/>
      <c r="B385" s="510"/>
      <c r="C385" s="23"/>
      <c r="D385" s="23"/>
      <c r="E385" s="23"/>
      <c r="F385" s="21"/>
      <c r="G385" s="21"/>
      <c r="H385" s="21"/>
      <c r="I385" s="511"/>
    </row>
    <row r="386" spans="1:9">
      <c r="A386" s="509"/>
      <c r="B386" s="510"/>
      <c r="C386" s="23"/>
      <c r="D386" s="23"/>
      <c r="E386" s="23"/>
      <c r="F386" s="21"/>
      <c r="G386" s="21"/>
      <c r="H386" s="21"/>
      <c r="I386" s="511"/>
    </row>
    <row r="387" spans="1:9">
      <c r="A387" s="509"/>
      <c r="B387" s="510"/>
      <c r="C387" s="23"/>
      <c r="D387" s="23"/>
      <c r="E387" s="23"/>
      <c r="F387" s="21"/>
      <c r="G387" s="21"/>
      <c r="H387" s="21"/>
      <c r="I387" s="511"/>
    </row>
    <row r="388" spans="1:9">
      <c r="A388" s="509"/>
      <c r="B388" s="510"/>
      <c r="C388" s="23"/>
      <c r="D388" s="23"/>
      <c r="E388" s="23"/>
      <c r="F388" s="21"/>
      <c r="G388" s="21"/>
      <c r="H388" s="21"/>
      <c r="I388" s="511"/>
    </row>
    <row r="389" spans="1:9">
      <c r="A389" s="509"/>
      <c r="B389" s="510"/>
      <c r="C389" s="23"/>
      <c r="D389" s="23"/>
      <c r="E389" s="23"/>
      <c r="F389" s="21"/>
      <c r="G389" s="21"/>
      <c r="H389" s="21"/>
      <c r="I389" s="511"/>
    </row>
    <row r="390" spans="1:9">
      <c r="A390" s="509"/>
      <c r="B390" s="510"/>
      <c r="C390" s="23"/>
      <c r="D390" s="23"/>
      <c r="E390" s="23"/>
      <c r="F390" s="21"/>
      <c r="G390" s="21"/>
      <c r="H390" s="21"/>
      <c r="I390" s="511"/>
    </row>
    <row r="391" spans="1:9">
      <c r="A391" s="509"/>
      <c r="B391" s="510"/>
      <c r="C391" s="23"/>
      <c r="D391" s="23"/>
      <c r="E391" s="23"/>
      <c r="F391" s="21"/>
      <c r="G391" s="21"/>
      <c r="H391" s="21"/>
      <c r="I391" s="511"/>
    </row>
    <row r="392" spans="1:9">
      <c r="A392" s="509"/>
      <c r="B392" s="510"/>
      <c r="C392" s="23"/>
      <c r="D392" s="23"/>
      <c r="E392" s="23"/>
      <c r="F392" s="21"/>
      <c r="G392" s="21"/>
      <c r="H392" s="21"/>
      <c r="I392" s="511"/>
    </row>
    <row r="393" spans="1:9">
      <c r="A393" s="509"/>
      <c r="B393" s="510"/>
      <c r="C393" s="23"/>
      <c r="D393" s="23"/>
      <c r="E393" s="23"/>
      <c r="F393" s="21"/>
      <c r="G393" s="21"/>
      <c r="H393" s="21"/>
      <c r="I393" s="511"/>
    </row>
    <row r="394" spans="1:9">
      <c r="A394" s="509"/>
      <c r="B394" s="510"/>
      <c r="C394" s="23"/>
      <c r="D394" s="23"/>
      <c r="E394" s="23"/>
      <c r="F394" s="21"/>
      <c r="G394" s="21"/>
      <c r="H394" s="21"/>
      <c r="I394" s="511"/>
    </row>
    <row r="395" spans="1:9">
      <c r="A395" s="509"/>
      <c r="B395" s="510"/>
      <c r="C395" s="23"/>
      <c r="D395" s="23"/>
      <c r="E395" s="23"/>
      <c r="F395" s="21"/>
      <c r="G395" s="21"/>
      <c r="H395" s="21"/>
      <c r="I395" s="511"/>
    </row>
    <row r="396" spans="1:9">
      <c r="A396" s="509"/>
      <c r="B396" s="510"/>
      <c r="C396" s="23"/>
      <c r="D396" s="23"/>
      <c r="E396" s="23"/>
      <c r="F396" s="21"/>
      <c r="G396" s="21"/>
      <c r="H396" s="21"/>
      <c r="I396" s="511"/>
    </row>
    <row r="397" spans="1:9">
      <c r="A397" s="509"/>
      <c r="B397" s="510"/>
      <c r="C397" s="23"/>
      <c r="D397" s="23"/>
      <c r="E397" s="23"/>
      <c r="F397" s="21"/>
      <c r="G397" s="21"/>
      <c r="H397" s="21"/>
      <c r="I397" s="511"/>
    </row>
    <row r="398" spans="1:9">
      <c r="A398" s="509"/>
      <c r="B398" s="510"/>
      <c r="C398" s="23"/>
      <c r="D398" s="23"/>
      <c r="E398" s="23"/>
      <c r="F398" s="21"/>
      <c r="G398" s="21"/>
      <c r="H398" s="21"/>
      <c r="I398" s="511"/>
    </row>
    <row r="399" spans="1:9">
      <c r="A399" s="509"/>
      <c r="B399" s="510"/>
      <c r="C399" s="23"/>
      <c r="D399" s="23"/>
      <c r="E399" s="23"/>
      <c r="F399" s="21"/>
      <c r="G399" s="21"/>
      <c r="H399" s="21"/>
      <c r="I399" s="511"/>
    </row>
    <row r="400" spans="1:9">
      <c r="A400" s="509"/>
      <c r="B400" s="510"/>
      <c r="C400" s="23"/>
      <c r="D400" s="23"/>
      <c r="E400" s="23"/>
      <c r="F400" s="21"/>
      <c r="G400" s="21"/>
      <c r="H400" s="21"/>
      <c r="I400" s="511"/>
    </row>
    <row r="401" spans="1:9">
      <c r="A401" s="509"/>
      <c r="B401" s="510"/>
      <c r="C401" s="23"/>
      <c r="D401" s="23"/>
      <c r="E401" s="23"/>
      <c r="F401" s="21"/>
      <c r="G401" s="21"/>
      <c r="H401" s="21"/>
      <c r="I401" s="511"/>
    </row>
    <row r="402" spans="1:9">
      <c r="A402" s="509"/>
      <c r="B402" s="510"/>
      <c r="C402" s="23"/>
      <c r="D402" s="23"/>
      <c r="E402" s="23"/>
      <c r="F402" s="21"/>
      <c r="G402" s="21"/>
      <c r="H402" s="21"/>
      <c r="I402" s="511"/>
    </row>
    <row r="403" spans="1:9">
      <c r="A403" s="509"/>
      <c r="B403" s="510"/>
      <c r="C403" s="23"/>
      <c r="D403" s="23"/>
      <c r="E403" s="23"/>
      <c r="F403" s="21"/>
      <c r="G403" s="21"/>
      <c r="H403" s="21"/>
      <c r="I403" s="511"/>
    </row>
    <row r="404" spans="1:9">
      <c r="A404" s="509"/>
      <c r="B404" s="510"/>
      <c r="C404" s="23"/>
      <c r="D404" s="23"/>
      <c r="E404" s="23"/>
      <c r="F404" s="21"/>
      <c r="G404" s="21"/>
      <c r="H404" s="21"/>
      <c r="I404" s="511"/>
    </row>
    <row r="405" spans="1:9">
      <c r="A405" s="509"/>
      <c r="B405" s="510"/>
      <c r="C405" s="23"/>
      <c r="D405" s="23"/>
      <c r="E405" s="23"/>
      <c r="F405" s="21"/>
      <c r="G405" s="21"/>
      <c r="H405" s="21"/>
      <c r="I405" s="511"/>
    </row>
    <row r="406" spans="1:9">
      <c r="A406" s="509"/>
      <c r="B406" s="510"/>
      <c r="C406" s="23"/>
      <c r="D406" s="23"/>
      <c r="E406" s="23"/>
      <c r="F406" s="21"/>
      <c r="G406" s="21"/>
      <c r="H406" s="21"/>
      <c r="I406" s="511"/>
    </row>
    <row r="407" spans="1:9">
      <c r="A407" s="509"/>
      <c r="B407" s="510"/>
      <c r="C407" s="23"/>
      <c r="D407" s="23"/>
      <c r="E407" s="23"/>
      <c r="F407" s="21"/>
      <c r="G407" s="21"/>
      <c r="H407" s="21"/>
      <c r="I407" s="511"/>
    </row>
    <row r="408" spans="1:9">
      <c r="A408" s="509"/>
      <c r="B408" s="510"/>
      <c r="C408" s="23"/>
      <c r="D408" s="23"/>
      <c r="E408" s="23"/>
      <c r="F408" s="21"/>
      <c r="G408" s="21"/>
      <c r="H408" s="21"/>
      <c r="I408" s="511"/>
    </row>
    <row r="409" spans="1:9">
      <c r="A409" s="509"/>
      <c r="B409" s="510"/>
      <c r="C409" s="23"/>
      <c r="D409" s="23"/>
      <c r="E409" s="23"/>
      <c r="F409" s="21"/>
      <c r="G409" s="21"/>
      <c r="H409" s="21"/>
      <c r="I409" s="511"/>
    </row>
    <row r="410" spans="1:9">
      <c r="A410" s="509"/>
      <c r="B410" s="510"/>
      <c r="C410" s="23"/>
      <c r="D410" s="23"/>
      <c r="E410" s="23"/>
      <c r="F410" s="21"/>
      <c r="G410" s="21"/>
      <c r="H410" s="21"/>
      <c r="I410" s="511"/>
    </row>
    <row r="411" spans="1:9">
      <c r="A411" s="509"/>
      <c r="B411" s="510"/>
      <c r="C411" s="23"/>
      <c r="D411" s="23"/>
      <c r="E411" s="23"/>
      <c r="F411" s="21"/>
      <c r="G411" s="21"/>
      <c r="H411" s="21"/>
      <c r="I411" s="511"/>
    </row>
    <row r="412" spans="1:9">
      <c r="A412" s="509"/>
      <c r="B412" s="510"/>
      <c r="C412" s="23"/>
      <c r="D412" s="23"/>
      <c r="E412" s="23"/>
      <c r="F412" s="21"/>
      <c r="G412" s="21"/>
      <c r="H412" s="21"/>
      <c r="I412" s="511"/>
    </row>
    <row r="413" spans="1:9">
      <c r="A413" s="509"/>
      <c r="B413" s="510"/>
      <c r="C413" s="23"/>
      <c r="D413" s="23"/>
      <c r="E413" s="23"/>
      <c r="F413" s="21"/>
      <c r="G413" s="21"/>
      <c r="H413" s="21"/>
      <c r="I413" s="511"/>
    </row>
    <row r="414" spans="1:9">
      <c r="A414" s="509"/>
      <c r="B414" s="510"/>
      <c r="C414" s="23"/>
      <c r="D414" s="23"/>
      <c r="E414" s="23"/>
      <c r="F414" s="21"/>
      <c r="G414" s="21"/>
      <c r="H414" s="21"/>
      <c r="I414" s="511"/>
    </row>
    <row r="415" spans="1:9">
      <c r="A415" s="509"/>
      <c r="B415" s="510"/>
      <c r="C415" s="23"/>
      <c r="D415" s="23"/>
      <c r="E415" s="23"/>
      <c r="F415" s="21"/>
      <c r="G415" s="21"/>
      <c r="H415" s="21"/>
      <c r="I415" s="511"/>
    </row>
    <row r="416" spans="1:9">
      <c r="A416" s="509"/>
      <c r="B416" s="510"/>
      <c r="C416" s="23"/>
      <c r="D416" s="23"/>
      <c r="E416" s="23"/>
      <c r="F416" s="21"/>
      <c r="G416" s="21"/>
      <c r="H416" s="21"/>
      <c r="I416" s="511"/>
    </row>
    <row r="417" spans="1:9">
      <c r="A417" s="509"/>
      <c r="B417" s="510"/>
      <c r="C417" s="23"/>
      <c r="D417" s="23"/>
      <c r="E417" s="23"/>
      <c r="F417" s="21"/>
      <c r="G417" s="21"/>
      <c r="H417" s="21"/>
      <c r="I417" s="511"/>
    </row>
    <row r="418" spans="1:9">
      <c r="A418" s="509"/>
      <c r="B418" s="510"/>
      <c r="C418" s="23"/>
      <c r="D418" s="23"/>
      <c r="E418" s="23"/>
      <c r="F418" s="21"/>
      <c r="G418" s="21"/>
      <c r="H418" s="21"/>
      <c r="I418" s="511"/>
    </row>
    <row r="419" spans="1:9">
      <c r="A419" s="509"/>
      <c r="B419" s="510"/>
      <c r="C419" s="23"/>
      <c r="D419" s="23"/>
      <c r="E419" s="23"/>
      <c r="F419" s="21"/>
      <c r="G419" s="21"/>
      <c r="H419" s="21"/>
      <c r="I419" s="511"/>
    </row>
    <row r="420" spans="1:9">
      <c r="A420" s="509"/>
      <c r="B420" s="510"/>
      <c r="C420" s="23"/>
      <c r="D420" s="23"/>
      <c r="E420" s="23"/>
      <c r="F420" s="21"/>
      <c r="G420" s="21"/>
      <c r="H420" s="21"/>
      <c r="I420" s="511"/>
    </row>
    <row r="421" spans="1:9">
      <c r="A421" s="509"/>
      <c r="B421" s="510"/>
      <c r="C421" s="23"/>
      <c r="D421" s="23"/>
      <c r="E421" s="23"/>
      <c r="F421" s="21"/>
      <c r="G421" s="21"/>
      <c r="H421" s="21"/>
      <c r="I421" s="511"/>
    </row>
    <row r="422" spans="1:9">
      <c r="A422" s="509"/>
      <c r="B422" s="510"/>
      <c r="C422" s="23"/>
      <c r="D422" s="23"/>
      <c r="E422" s="23"/>
      <c r="F422" s="21"/>
      <c r="G422" s="21"/>
      <c r="H422" s="21"/>
      <c r="I422" s="511"/>
    </row>
    <row r="423" spans="1:9">
      <c r="A423" s="509"/>
      <c r="B423" s="510"/>
      <c r="C423" s="23"/>
      <c r="D423" s="23"/>
      <c r="E423" s="23"/>
      <c r="F423" s="21"/>
      <c r="G423" s="21"/>
      <c r="H423" s="21"/>
      <c r="I423" s="511"/>
    </row>
    <row r="424" spans="1:9">
      <c r="A424" s="509"/>
      <c r="B424" s="510"/>
      <c r="C424" s="23"/>
      <c r="D424" s="23"/>
      <c r="E424" s="23"/>
      <c r="F424" s="21"/>
      <c r="G424" s="21"/>
      <c r="H424" s="21"/>
      <c r="I424" s="511"/>
    </row>
    <row r="425" spans="1:9">
      <c r="A425" s="509"/>
      <c r="B425" s="510"/>
      <c r="C425" s="23"/>
      <c r="D425" s="23"/>
      <c r="E425" s="23"/>
      <c r="F425" s="21"/>
      <c r="G425" s="21"/>
      <c r="H425" s="21"/>
      <c r="I425" s="511"/>
    </row>
    <row r="426" spans="1:9">
      <c r="A426" s="509"/>
      <c r="B426" s="510"/>
      <c r="C426" s="23"/>
      <c r="D426" s="23"/>
      <c r="E426" s="23"/>
      <c r="F426" s="21"/>
      <c r="G426" s="21"/>
      <c r="H426" s="21"/>
      <c r="I426" s="511"/>
    </row>
    <row r="427" spans="1:9">
      <c r="A427" s="509"/>
      <c r="B427" s="510"/>
      <c r="C427" s="23"/>
      <c r="D427" s="23"/>
      <c r="E427" s="23"/>
      <c r="F427" s="21"/>
      <c r="G427" s="21"/>
      <c r="H427" s="21"/>
      <c r="I427" s="511"/>
    </row>
    <row r="428" spans="1:9">
      <c r="A428" s="509"/>
      <c r="B428" s="510"/>
      <c r="C428" s="23"/>
      <c r="D428" s="23"/>
      <c r="E428" s="23"/>
      <c r="F428" s="21"/>
      <c r="G428" s="21"/>
      <c r="H428" s="21"/>
      <c r="I428" s="511"/>
    </row>
    <row r="429" spans="1:9">
      <c r="A429" s="509"/>
      <c r="B429" s="510"/>
      <c r="C429" s="23"/>
      <c r="D429" s="23"/>
      <c r="E429" s="23"/>
      <c r="F429" s="21"/>
      <c r="G429" s="21"/>
      <c r="H429" s="21"/>
      <c r="I429" s="511"/>
    </row>
    <row r="430" spans="1:9">
      <c r="A430" s="509"/>
      <c r="B430" s="510"/>
      <c r="C430" s="23"/>
      <c r="D430" s="23"/>
      <c r="E430" s="23"/>
      <c r="F430" s="21"/>
      <c r="G430" s="21"/>
      <c r="H430" s="21"/>
      <c r="I430" s="511"/>
    </row>
    <row r="431" spans="1:9">
      <c r="A431" s="509"/>
      <c r="B431" s="510"/>
      <c r="C431" s="23"/>
      <c r="D431" s="23"/>
      <c r="E431" s="23"/>
      <c r="F431" s="21"/>
      <c r="G431" s="21"/>
      <c r="H431" s="21"/>
      <c r="I431" s="511"/>
    </row>
    <row r="432" spans="1:9">
      <c r="A432" s="509"/>
      <c r="B432" s="510"/>
      <c r="C432" s="23"/>
      <c r="D432" s="23"/>
      <c r="E432" s="23"/>
      <c r="F432" s="21"/>
      <c r="G432" s="21"/>
      <c r="H432" s="21"/>
      <c r="I432" s="511"/>
    </row>
    <row r="433" spans="1:9">
      <c r="A433" s="509"/>
      <c r="B433" s="510"/>
      <c r="C433" s="23"/>
      <c r="D433" s="23"/>
      <c r="E433" s="23"/>
      <c r="F433" s="21"/>
      <c r="G433" s="21"/>
      <c r="H433" s="21"/>
      <c r="I433" s="511"/>
    </row>
    <row r="434" spans="1:9">
      <c r="A434" s="509"/>
      <c r="B434" s="510"/>
      <c r="C434" s="23"/>
      <c r="D434" s="23"/>
      <c r="E434" s="23"/>
      <c r="F434" s="21"/>
      <c r="G434" s="21"/>
      <c r="H434" s="21"/>
      <c r="I434" s="511"/>
    </row>
    <row r="435" spans="1:9">
      <c r="A435" s="509"/>
      <c r="B435" s="510"/>
      <c r="C435" s="23"/>
      <c r="D435" s="23"/>
      <c r="E435" s="23"/>
      <c r="F435" s="21"/>
      <c r="G435" s="21"/>
      <c r="H435" s="21"/>
      <c r="I435" s="511"/>
    </row>
    <row r="436" spans="1:9">
      <c r="A436" s="509"/>
      <c r="B436" s="510"/>
      <c r="C436" s="23"/>
      <c r="D436" s="23"/>
      <c r="E436" s="23"/>
      <c r="F436" s="21"/>
      <c r="G436" s="21"/>
      <c r="H436" s="21"/>
      <c r="I436" s="511"/>
    </row>
    <row r="437" spans="1:9">
      <c r="A437" s="509"/>
      <c r="B437" s="510"/>
      <c r="C437" s="23"/>
      <c r="D437" s="23"/>
      <c r="E437" s="23"/>
      <c r="F437" s="21"/>
      <c r="G437" s="21"/>
      <c r="H437" s="21"/>
      <c r="I437" s="511"/>
    </row>
    <row r="438" spans="1:9">
      <c r="A438" s="509"/>
      <c r="B438" s="510"/>
      <c r="C438" s="23"/>
      <c r="D438" s="23"/>
      <c r="E438" s="23"/>
      <c r="F438" s="21"/>
      <c r="G438" s="21"/>
      <c r="H438" s="21"/>
      <c r="I438" s="511"/>
    </row>
    <row r="439" spans="1:9">
      <c r="A439" s="509"/>
      <c r="B439" s="510"/>
      <c r="C439" s="23"/>
      <c r="D439" s="23"/>
      <c r="E439" s="23"/>
      <c r="F439" s="21"/>
      <c r="G439" s="21"/>
      <c r="H439" s="21"/>
      <c r="I439" s="511"/>
    </row>
    <row r="440" spans="1:9">
      <c r="A440" s="509"/>
      <c r="B440" s="510"/>
      <c r="C440" s="23"/>
      <c r="D440" s="23"/>
      <c r="E440" s="23"/>
      <c r="F440" s="21"/>
      <c r="G440" s="21"/>
      <c r="H440" s="21"/>
      <c r="I440" s="511"/>
    </row>
    <row r="441" spans="1:9">
      <c r="A441" s="509"/>
      <c r="B441" s="510"/>
      <c r="C441" s="23"/>
      <c r="D441" s="23"/>
      <c r="E441" s="23"/>
      <c r="F441" s="21"/>
      <c r="G441" s="21"/>
      <c r="H441" s="21"/>
      <c r="I441" s="511"/>
    </row>
    <row r="442" spans="1:9">
      <c r="A442" s="509"/>
      <c r="B442" s="510"/>
      <c r="C442" s="23"/>
      <c r="D442" s="23"/>
      <c r="E442" s="23"/>
      <c r="F442" s="21"/>
      <c r="G442" s="21"/>
      <c r="H442" s="21"/>
      <c r="I442" s="511"/>
    </row>
    <row r="443" spans="1:9">
      <c r="A443" s="509"/>
      <c r="B443" s="510"/>
      <c r="C443" s="23"/>
      <c r="D443" s="23"/>
      <c r="E443" s="23"/>
      <c r="F443" s="21"/>
      <c r="G443" s="21"/>
      <c r="H443" s="21"/>
      <c r="I443" s="511"/>
    </row>
    <row r="444" spans="1:9">
      <c r="A444" s="509"/>
      <c r="B444" s="510"/>
      <c r="C444" s="23"/>
      <c r="D444" s="23"/>
      <c r="E444" s="23"/>
      <c r="F444" s="21"/>
      <c r="G444" s="21"/>
      <c r="H444" s="21"/>
      <c r="I444" s="511"/>
    </row>
    <row r="445" spans="1:9">
      <c r="A445" s="509"/>
      <c r="B445" s="510"/>
      <c r="C445" s="23"/>
      <c r="D445" s="23"/>
      <c r="E445" s="23"/>
      <c r="F445" s="21"/>
      <c r="G445" s="21"/>
      <c r="H445" s="21"/>
      <c r="I445" s="511"/>
    </row>
    <row r="446" spans="1:9">
      <c r="A446" s="509"/>
      <c r="B446" s="510"/>
      <c r="C446" s="23"/>
      <c r="D446" s="23"/>
      <c r="E446" s="23"/>
      <c r="F446" s="21"/>
      <c r="G446" s="21"/>
      <c r="H446" s="21"/>
      <c r="I446" s="511"/>
    </row>
    <row r="447" spans="1:9">
      <c r="A447" s="509"/>
      <c r="B447" s="510"/>
      <c r="C447" s="23"/>
      <c r="D447" s="23"/>
      <c r="E447" s="23"/>
      <c r="F447" s="21"/>
      <c r="G447" s="21"/>
      <c r="H447" s="21"/>
      <c r="I447" s="511"/>
    </row>
    <row r="448" spans="1:9">
      <c r="A448" s="509"/>
      <c r="B448" s="510"/>
      <c r="C448" s="23"/>
      <c r="D448" s="23"/>
      <c r="E448" s="23"/>
      <c r="F448" s="21"/>
      <c r="G448" s="21"/>
      <c r="H448" s="21"/>
      <c r="I448" s="511"/>
    </row>
    <row r="449" spans="1:9">
      <c r="A449" s="509"/>
      <c r="B449" s="510"/>
      <c r="C449" s="23"/>
      <c r="D449" s="23"/>
      <c r="E449" s="23"/>
      <c r="F449" s="21"/>
      <c r="G449" s="21"/>
      <c r="H449" s="21"/>
      <c r="I449" s="511"/>
    </row>
    <row r="450" spans="1:9">
      <c r="A450" s="509"/>
      <c r="B450" s="510"/>
      <c r="C450" s="23"/>
      <c r="D450" s="23"/>
      <c r="E450" s="23"/>
      <c r="F450" s="21"/>
      <c r="G450" s="21"/>
      <c r="H450" s="21"/>
      <c r="I450" s="511"/>
    </row>
    <row r="451" spans="1:9">
      <c r="A451" s="509"/>
      <c r="B451" s="510"/>
      <c r="C451" s="23"/>
      <c r="D451" s="23"/>
      <c r="E451" s="23"/>
      <c r="F451" s="21"/>
      <c r="G451" s="21"/>
      <c r="H451" s="21"/>
      <c r="I451" s="511"/>
    </row>
    <row r="452" spans="1:9">
      <c r="A452" s="509"/>
      <c r="B452" s="510"/>
      <c r="C452" s="23"/>
      <c r="D452" s="23"/>
      <c r="E452" s="23"/>
      <c r="F452" s="21"/>
      <c r="G452" s="21"/>
      <c r="H452" s="21"/>
      <c r="I452" s="511"/>
    </row>
    <row r="453" spans="1:9">
      <c r="A453" s="509"/>
      <c r="B453" s="510"/>
      <c r="C453" s="23"/>
      <c r="D453" s="23"/>
      <c r="E453" s="23"/>
      <c r="F453" s="21"/>
      <c r="G453" s="21"/>
      <c r="H453" s="21"/>
      <c r="I453" s="511"/>
    </row>
    <row r="454" spans="1:9">
      <c r="A454" s="509"/>
      <c r="B454" s="510"/>
      <c r="C454" s="23"/>
      <c r="D454" s="23"/>
      <c r="E454" s="23"/>
      <c r="F454" s="21"/>
      <c r="G454" s="21"/>
      <c r="H454" s="21"/>
      <c r="I454" s="511"/>
    </row>
    <row r="455" spans="1:9">
      <c r="A455" s="509"/>
      <c r="B455" s="510"/>
      <c r="C455" s="23"/>
      <c r="D455" s="23"/>
      <c r="E455" s="23"/>
      <c r="F455" s="21"/>
      <c r="G455" s="21"/>
      <c r="H455" s="21"/>
      <c r="I455" s="511"/>
    </row>
    <row r="456" spans="1:9">
      <c r="A456" s="509"/>
      <c r="B456" s="510"/>
      <c r="C456" s="23"/>
      <c r="D456" s="23"/>
      <c r="E456" s="23"/>
      <c r="F456" s="21"/>
      <c r="G456" s="21"/>
      <c r="H456" s="21"/>
      <c r="I456" s="511"/>
    </row>
    <row r="457" spans="1:9">
      <c r="A457" s="509"/>
      <c r="B457" s="510"/>
      <c r="C457" s="23"/>
      <c r="D457" s="23"/>
      <c r="E457" s="23"/>
      <c r="F457" s="21"/>
      <c r="G457" s="21"/>
      <c r="H457" s="21"/>
      <c r="I457" s="511"/>
    </row>
    <row r="458" spans="1:9">
      <c r="A458" s="509"/>
      <c r="B458" s="510"/>
      <c r="C458" s="23"/>
      <c r="D458" s="23"/>
      <c r="E458" s="23"/>
      <c r="F458" s="21"/>
      <c r="G458" s="21"/>
      <c r="H458" s="21"/>
      <c r="I458" s="511"/>
    </row>
    <row r="459" spans="1:9">
      <c r="A459" s="509"/>
      <c r="B459" s="510"/>
      <c r="C459" s="23"/>
      <c r="D459" s="23"/>
      <c r="E459" s="23"/>
      <c r="F459" s="21"/>
      <c r="G459" s="21"/>
      <c r="H459" s="21"/>
      <c r="I459" s="511"/>
    </row>
    <row r="460" spans="1:9">
      <c r="A460" s="509"/>
      <c r="B460" s="510"/>
      <c r="C460" s="23"/>
      <c r="D460" s="23"/>
      <c r="E460" s="23"/>
      <c r="F460" s="21"/>
      <c r="G460" s="21"/>
      <c r="H460" s="21"/>
      <c r="I460" s="511"/>
    </row>
    <row r="461" spans="1:9">
      <c r="A461" s="509"/>
      <c r="B461" s="510"/>
      <c r="C461" s="23"/>
      <c r="D461" s="23"/>
      <c r="E461" s="23"/>
      <c r="F461" s="21"/>
      <c r="G461" s="21"/>
      <c r="H461" s="21"/>
      <c r="I461" s="511"/>
    </row>
    <row r="462" spans="1:9">
      <c r="A462" s="509"/>
      <c r="B462" s="510"/>
      <c r="C462" s="23"/>
      <c r="D462" s="23"/>
      <c r="E462" s="23"/>
      <c r="F462" s="21"/>
      <c r="G462" s="21"/>
      <c r="H462" s="21"/>
      <c r="I462" s="511"/>
    </row>
    <row r="463" spans="1:9">
      <c r="A463" s="509"/>
      <c r="B463" s="510"/>
      <c r="C463" s="23"/>
      <c r="D463" s="23"/>
      <c r="E463" s="23"/>
      <c r="F463" s="21"/>
      <c r="G463" s="21"/>
      <c r="H463" s="21"/>
      <c r="I463" s="511"/>
    </row>
    <row r="464" spans="1:9">
      <c r="A464" s="509"/>
      <c r="B464" s="510"/>
      <c r="C464" s="23"/>
      <c r="D464" s="23"/>
      <c r="E464" s="23"/>
      <c r="F464" s="21"/>
      <c r="G464" s="21"/>
      <c r="H464" s="21"/>
      <c r="I464" s="511"/>
    </row>
    <row r="465" spans="1:9">
      <c r="A465" s="509"/>
      <c r="B465" s="510"/>
      <c r="C465" s="23"/>
      <c r="D465" s="23"/>
      <c r="E465" s="23"/>
      <c r="F465" s="21"/>
      <c r="G465" s="21"/>
      <c r="H465" s="21"/>
      <c r="I465" s="511"/>
    </row>
    <row r="466" spans="1:9">
      <c r="A466" s="509"/>
      <c r="B466" s="510"/>
      <c r="C466" s="23"/>
      <c r="D466" s="23"/>
      <c r="E466" s="23"/>
      <c r="F466" s="21"/>
      <c r="G466" s="21"/>
      <c r="H466" s="21"/>
      <c r="I466" s="511"/>
    </row>
    <row r="467" spans="1:9">
      <c r="A467" s="509"/>
      <c r="B467" s="510"/>
      <c r="C467" s="23"/>
      <c r="D467" s="23"/>
      <c r="E467" s="23"/>
      <c r="F467" s="21"/>
      <c r="G467" s="21"/>
      <c r="H467" s="21"/>
      <c r="I467" s="511"/>
    </row>
    <row r="468" spans="1:9">
      <c r="A468" s="509"/>
      <c r="B468" s="510"/>
      <c r="C468" s="23"/>
      <c r="D468" s="23"/>
      <c r="E468" s="23"/>
      <c r="F468" s="21"/>
      <c r="G468" s="21"/>
      <c r="H468" s="21"/>
      <c r="I468" s="511"/>
    </row>
    <row r="469" spans="1:9">
      <c r="A469" s="509"/>
      <c r="B469" s="510"/>
      <c r="C469" s="23"/>
      <c r="D469" s="23"/>
      <c r="E469" s="23"/>
      <c r="F469" s="21"/>
      <c r="G469" s="21"/>
      <c r="H469" s="21"/>
      <c r="I469" s="511"/>
    </row>
    <row r="470" spans="1:9">
      <c r="A470" s="509"/>
      <c r="B470" s="510"/>
      <c r="C470" s="23"/>
      <c r="D470" s="23"/>
      <c r="E470" s="23"/>
      <c r="F470" s="21"/>
      <c r="G470" s="21"/>
      <c r="H470" s="21"/>
      <c r="I470" s="511"/>
    </row>
    <row r="471" spans="1:9">
      <c r="A471" s="509"/>
      <c r="B471" s="510"/>
      <c r="C471" s="23"/>
      <c r="D471" s="23"/>
      <c r="E471" s="23"/>
      <c r="F471" s="21"/>
      <c r="G471" s="21"/>
      <c r="H471" s="21"/>
      <c r="I471" s="511"/>
    </row>
    <row r="472" spans="1:9">
      <c r="A472" s="509"/>
      <c r="B472" s="510"/>
      <c r="C472" s="23"/>
      <c r="D472" s="23"/>
      <c r="E472" s="23"/>
      <c r="F472" s="21"/>
      <c r="G472" s="21"/>
      <c r="H472" s="21"/>
      <c r="I472" s="511"/>
    </row>
    <row r="473" spans="1:9">
      <c r="A473" s="509"/>
      <c r="B473" s="510"/>
      <c r="C473" s="23"/>
      <c r="D473" s="23"/>
      <c r="E473" s="23"/>
      <c r="F473" s="21"/>
      <c r="G473" s="21"/>
      <c r="H473" s="21"/>
      <c r="I473" s="511"/>
    </row>
    <row r="474" spans="1:9">
      <c r="A474" s="509"/>
      <c r="B474" s="510"/>
      <c r="C474" s="23"/>
      <c r="D474" s="23"/>
      <c r="E474" s="23"/>
      <c r="F474" s="21"/>
      <c r="G474" s="21"/>
      <c r="H474" s="21"/>
      <c r="I474" s="511"/>
    </row>
    <row r="475" spans="1:9">
      <c r="A475" s="509"/>
      <c r="B475" s="510"/>
      <c r="C475" s="23"/>
      <c r="D475" s="23"/>
      <c r="E475" s="23"/>
      <c r="F475" s="21"/>
      <c r="G475" s="21"/>
      <c r="H475" s="21"/>
      <c r="I475" s="511"/>
    </row>
    <row r="476" spans="1:9">
      <c r="A476" s="509"/>
      <c r="B476" s="510"/>
      <c r="C476" s="23"/>
      <c r="D476" s="23"/>
      <c r="E476" s="23"/>
      <c r="F476" s="21"/>
      <c r="G476" s="21"/>
      <c r="H476" s="21"/>
      <c r="I476" s="511"/>
    </row>
    <row r="477" spans="1:9">
      <c r="A477" s="509"/>
      <c r="B477" s="510"/>
      <c r="C477" s="23"/>
      <c r="D477" s="23"/>
      <c r="E477" s="23"/>
      <c r="F477" s="21"/>
      <c r="G477" s="21"/>
      <c r="H477" s="21"/>
      <c r="I477" s="511"/>
    </row>
    <row r="478" spans="1:9">
      <c r="A478" s="509"/>
      <c r="B478" s="510"/>
      <c r="C478" s="23"/>
      <c r="D478" s="23"/>
      <c r="E478" s="23"/>
      <c r="F478" s="21"/>
      <c r="G478" s="21"/>
      <c r="H478" s="21"/>
      <c r="I478" s="511"/>
    </row>
    <row r="479" spans="1:9">
      <c r="A479" s="509"/>
      <c r="B479" s="510"/>
      <c r="C479" s="23"/>
      <c r="D479" s="23"/>
      <c r="E479" s="23"/>
      <c r="F479" s="21"/>
      <c r="G479" s="21"/>
      <c r="H479" s="21"/>
      <c r="I479" s="511"/>
    </row>
    <row r="480" spans="1:9">
      <c r="A480" s="509"/>
      <c r="B480" s="510"/>
      <c r="C480" s="23"/>
      <c r="D480" s="23"/>
      <c r="E480" s="23"/>
      <c r="F480" s="21"/>
      <c r="G480" s="21"/>
      <c r="H480" s="21"/>
      <c r="I480" s="511"/>
    </row>
    <row r="481" spans="1:9">
      <c r="A481" s="509"/>
      <c r="B481" s="510"/>
      <c r="C481" s="23"/>
      <c r="D481" s="23"/>
      <c r="E481" s="23"/>
      <c r="F481" s="21"/>
      <c r="G481" s="21"/>
      <c r="H481" s="21"/>
      <c r="I481" s="511"/>
    </row>
    <row r="482" spans="1:9">
      <c r="A482" s="509"/>
      <c r="B482" s="510"/>
      <c r="C482" s="23"/>
      <c r="D482" s="23"/>
      <c r="E482" s="23"/>
      <c r="F482" s="21"/>
      <c r="G482" s="21"/>
      <c r="H482" s="21"/>
      <c r="I482" s="511"/>
    </row>
    <row r="483" spans="1:9">
      <c r="A483" s="509"/>
      <c r="B483" s="510"/>
      <c r="C483" s="23"/>
      <c r="D483" s="23"/>
      <c r="E483" s="23"/>
      <c r="F483" s="21"/>
      <c r="G483" s="21"/>
      <c r="H483" s="21"/>
      <c r="I483" s="511"/>
    </row>
    <row r="484" spans="1:9">
      <c r="A484" s="509"/>
      <c r="B484" s="510"/>
      <c r="C484" s="23"/>
      <c r="D484" s="23"/>
      <c r="E484" s="23"/>
      <c r="F484" s="21"/>
      <c r="G484" s="21"/>
      <c r="H484" s="21"/>
      <c r="I484" s="511"/>
    </row>
    <row r="485" spans="1:9">
      <c r="A485" s="509"/>
      <c r="B485" s="510"/>
      <c r="C485" s="23"/>
      <c r="D485" s="23"/>
      <c r="E485" s="23"/>
      <c r="F485" s="21"/>
      <c r="G485" s="21"/>
      <c r="H485" s="21"/>
      <c r="I485" s="511"/>
    </row>
    <row r="486" spans="1:9">
      <c r="A486" s="509"/>
      <c r="B486" s="510"/>
      <c r="C486" s="23"/>
      <c r="D486" s="23"/>
      <c r="E486" s="23"/>
      <c r="F486" s="21"/>
      <c r="G486" s="21"/>
      <c r="H486" s="21"/>
      <c r="I486" s="511"/>
    </row>
    <row r="487" spans="1:9">
      <c r="A487" s="509"/>
      <c r="B487" s="510"/>
      <c r="C487" s="23"/>
      <c r="D487" s="23"/>
      <c r="E487" s="23"/>
      <c r="F487" s="21"/>
      <c r="G487" s="21"/>
      <c r="H487" s="21"/>
      <c r="I487" s="511"/>
    </row>
    <row r="488" spans="1:9">
      <c r="A488" s="509"/>
      <c r="B488" s="510"/>
      <c r="C488" s="23"/>
      <c r="D488" s="23"/>
      <c r="E488" s="23"/>
      <c r="F488" s="21"/>
      <c r="G488" s="21"/>
      <c r="H488" s="21"/>
      <c r="I488" s="511"/>
    </row>
    <row r="489" spans="1:9">
      <c r="A489" s="509"/>
      <c r="B489" s="510"/>
      <c r="C489" s="23"/>
      <c r="D489" s="23"/>
      <c r="E489" s="23"/>
      <c r="F489" s="21"/>
      <c r="G489" s="21"/>
      <c r="H489" s="21"/>
      <c r="I489" s="511"/>
    </row>
    <row r="490" spans="1:9">
      <c r="A490" s="509"/>
      <c r="B490" s="510"/>
      <c r="C490" s="23"/>
      <c r="D490" s="23"/>
      <c r="E490" s="23"/>
      <c r="F490" s="21"/>
      <c r="G490" s="21"/>
      <c r="H490" s="21"/>
      <c r="I490" s="511"/>
    </row>
    <row r="491" spans="1:9">
      <c r="A491" s="509"/>
      <c r="B491" s="510"/>
      <c r="C491" s="23"/>
      <c r="D491" s="23"/>
      <c r="E491" s="23"/>
      <c r="F491" s="21"/>
      <c r="G491" s="21"/>
      <c r="H491" s="21"/>
      <c r="I491" s="511"/>
    </row>
    <row r="492" spans="1:9">
      <c r="A492" s="509"/>
      <c r="B492" s="510"/>
      <c r="C492" s="23"/>
      <c r="D492" s="23"/>
      <c r="E492" s="23"/>
      <c r="F492" s="21"/>
      <c r="G492" s="21"/>
      <c r="H492" s="21"/>
      <c r="I492" s="511"/>
    </row>
    <row r="493" spans="1:9">
      <c r="A493" s="509"/>
      <c r="B493" s="510"/>
      <c r="C493" s="23"/>
      <c r="D493" s="23"/>
      <c r="E493" s="23"/>
      <c r="F493" s="21"/>
      <c r="G493" s="21"/>
      <c r="H493" s="21"/>
      <c r="I493" s="511"/>
    </row>
    <row r="494" spans="1:9">
      <c r="A494" s="509"/>
      <c r="B494" s="510"/>
      <c r="C494" s="23"/>
      <c r="D494" s="23"/>
      <c r="E494" s="23"/>
      <c r="F494" s="21"/>
      <c r="G494" s="21"/>
      <c r="H494" s="21"/>
      <c r="I494" s="511"/>
    </row>
    <row r="495" spans="1:9">
      <c r="A495" s="509"/>
      <c r="B495" s="510"/>
      <c r="C495" s="23"/>
      <c r="D495" s="23"/>
      <c r="E495" s="23"/>
      <c r="F495" s="21"/>
      <c r="G495" s="21"/>
      <c r="H495" s="21"/>
      <c r="I495" s="511"/>
    </row>
    <row r="496" spans="1:9">
      <c r="A496" s="509"/>
      <c r="B496" s="510"/>
      <c r="C496" s="23"/>
      <c r="D496" s="23"/>
      <c r="E496" s="23"/>
      <c r="F496" s="21"/>
      <c r="G496" s="21"/>
      <c r="H496" s="21"/>
      <c r="I496" s="511"/>
    </row>
    <row r="497" spans="1:9">
      <c r="A497" s="509"/>
      <c r="B497" s="510"/>
      <c r="C497" s="23"/>
      <c r="D497" s="23"/>
      <c r="E497" s="23"/>
      <c r="F497" s="21"/>
      <c r="G497" s="21"/>
      <c r="H497" s="21"/>
      <c r="I497" s="511"/>
    </row>
    <row r="498" spans="1:9">
      <c r="A498" s="509"/>
      <c r="B498" s="510"/>
      <c r="C498" s="23"/>
      <c r="D498" s="23"/>
      <c r="E498" s="23"/>
      <c r="F498" s="21"/>
      <c r="G498" s="21"/>
      <c r="H498" s="21"/>
      <c r="I498" s="511"/>
    </row>
    <row r="499" spans="1:9">
      <c r="A499" s="509"/>
      <c r="B499" s="510"/>
      <c r="C499" s="23"/>
      <c r="D499" s="23"/>
      <c r="E499" s="23"/>
      <c r="F499" s="21"/>
      <c r="G499" s="21"/>
      <c r="H499" s="21"/>
      <c r="I499" s="511"/>
    </row>
    <row r="500" spans="1:9">
      <c r="A500" s="509"/>
      <c r="B500" s="510"/>
      <c r="C500" s="23"/>
      <c r="D500" s="23"/>
      <c r="E500" s="23"/>
      <c r="F500" s="21"/>
      <c r="G500" s="21"/>
      <c r="H500" s="21"/>
      <c r="I500" s="511"/>
    </row>
    <row r="501" spans="1:9">
      <c r="A501" s="509"/>
      <c r="B501" s="510"/>
      <c r="C501" s="23"/>
      <c r="D501" s="23"/>
      <c r="E501" s="23"/>
      <c r="F501" s="21"/>
      <c r="G501" s="21"/>
      <c r="H501" s="21"/>
      <c r="I501" s="511"/>
    </row>
    <row r="502" spans="1:9">
      <c r="A502" s="509"/>
      <c r="B502" s="510"/>
      <c r="C502" s="23"/>
      <c r="D502" s="23"/>
      <c r="E502" s="23"/>
      <c r="F502" s="21"/>
      <c r="G502" s="21"/>
      <c r="H502" s="21"/>
      <c r="I502" s="511"/>
    </row>
    <row r="503" spans="1:9">
      <c r="A503" s="509"/>
      <c r="B503" s="510"/>
      <c r="C503" s="23"/>
      <c r="D503" s="23"/>
      <c r="E503" s="23"/>
      <c r="F503" s="21"/>
      <c r="G503" s="21"/>
      <c r="H503" s="21"/>
      <c r="I503" s="511"/>
    </row>
    <row r="504" spans="1:9">
      <c r="A504" s="509"/>
      <c r="B504" s="510"/>
      <c r="C504" s="23"/>
      <c r="D504" s="23"/>
      <c r="E504" s="23"/>
      <c r="F504" s="21"/>
      <c r="G504" s="21"/>
      <c r="H504" s="21"/>
      <c r="I504" s="511"/>
    </row>
    <row r="505" spans="1:9">
      <c r="A505" s="509"/>
      <c r="B505" s="510"/>
      <c r="C505" s="23"/>
      <c r="D505" s="23"/>
      <c r="E505" s="23"/>
      <c r="F505" s="21"/>
      <c r="G505" s="21"/>
      <c r="H505" s="21"/>
      <c r="I505" s="511"/>
    </row>
    <row r="506" spans="1:9">
      <c r="A506" s="509"/>
      <c r="B506" s="510"/>
      <c r="C506" s="23"/>
      <c r="D506" s="23"/>
      <c r="E506" s="23"/>
      <c r="F506" s="21"/>
      <c r="G506" s="21"/>
      <c r="H506" s="21"/>
      <c r="I506" s="511"/>
    </row>
    <row r="507" spans="1:9">
      <c r="A507" s="509"/>
      <c r="B507" s="510"/>
      <c r="C507" s="23"/>
      <c r="D507" s="23"/>
      <c r="E507" s="23"/>
      <c r="F507" s="21"/>
      <c r="G507" s="21"/>
      <c r="H507" s="21"/>
      <c r="I507" s="511"/>
    </row>
    <row r="508" spans="1:9">
      <c r="A508" s="509"/>
      <c r="B508" s="510"/>
      <c r="C508" s="23"/>
      <c r="D508" s="23"/>
      <c r="E508" s="23"/>
      <c r="F508" s="21"/>
      <c r="G508" s="21"/>
      <c r="H508" s="21"/>
      <c r="I508" s="511"/>
    </row>
    <row r="509" spans="1:9">
      <c r="A509" s="509"/>
      <c r="B509" s="510"/>
      <c r="C509" s="23"/>
      <c r="D509" s="23"/>
      <c r="E509" s="23"/>
      <c r="F509" s="21"/>
      <c r="G509" s="21"/>
      <c r="H509" s="21"/>
      <c r="I509" s="511"/>
    </row>
    <row r="510" spans="1:9">
      <c r="A510" s="509"/>
      <c r="B510" s="510"/>
      <c r="C510" s="23"/>
      <c r="D510" s="23"/>
      <c r="E510" s="23"/>
      <c r="F510" s="21"/>
      <c r="G510" s="21"/>
      <c r="H510" s="21"/>
      <c r="I510" s="511"/>
    </row>
    <row r="511" spans="1:9">
      <c r="A511" s="509"/>
      <c r="B511" s="510"/>
      <c r="C511" s="23"/>
      <c r="D511" s="23"/>
      <c r="E511" s="23"/>
      <c r="F511" s="21"/>
      <c r="G511" s="21"/>
      <c r="H511" s="21"/>
      <c r="I511" s="511"/>
    </row>
    <row r="512" spans="1:9">
      <c r="A512" s="509"/>
      <c r="B512" s="510"/>
      <c r="C512" s="23"/>
      <c r="D512" s="23"/>
      <c r="E512" s="23"/>
      <c r="F512" s="21"/>
      <c r="G512" s="21"/>
      <c r="H512" s="21"/>
      <c r="I512" s="511"/>
    </row>
    <row r="513" spans="1:9">
      <c r="A513" s="509"/>
      <c r="B513" s="510"/>
      <c r="C513" s="23"/>
      <c r="D513" s="23"/>
      <c r="E513" s="23"/>
      <c r="F513" s="21"/>
      <c r="G513" s="21"/>
      <c r="H513" s="21"/>
      <c r="I513" s="511"/>
    </row>
    <row r="514" spans="1:9">
      <c r="A514" s="509"/>
      <c r="B514" s="510"/>
      <c r="C514" s="23"/>
      <c r="D514" s="23"/>
      <c r="E514" s="23"/>
      <c r="F514" s="21"/>
      <c r="G514" s="21"/>
      <c r="H514" s="21"/>
      <c r="I514" s="511"/>
    </row>
    <row r="515" spans="1:9">
      <c r="A515" s="509"/>
      <c r="B515" s="510"/>
      <c r="C515" s="23"/>
      <c r="D515" s="23"/>
      <c r="E515" s="23"/>
      <c r="F515" s="21"/>
      <c r="G515" s="21"/>
      <c r="H515" s="21"/>
      <c r="I515" s="511"/>
    </row>
    <row r="516" spans="1:9">
      <c r="A516" s="509"/>
      <c r="B516" s="510"/>
      <c r="C516" s="23"/>
      <c r="D516" s="23"/>
      <c r="E516" s="23"/>
      <c r="F516" s="21"/>
      <c r="G516" s="21"/>
      <c r="H516" s="21"/>
      <c r="I516" s="511"/>
    </row>
    <row r="517" spans="1:9">
      <c r="A517" s="509"/>
      <c r="B517" s="510"/>
      <c r="C517" s="23"/>
      <c r="D517" s="23"/>
      <c r="E517" s="23"/>
      <c r="F517" s="21"/>
      <c r="G517" s="21"/>
      <c r="H517" s="21"/>
      <c r="I517" s="511"/>
    </row>
    <row r="518" spans="1:9">
      <c r="A518" s="509"/>
      <c r="B518" s="510"/>
      <c r="C518" s="23"/>
      <c r="D518" s="23"/>
      <c r="E518" s="23"/>
      <c r="F518" s="21"/>
      <c r="G518" s="21"/>
      <c r="H518" s="21"/>
      <c r="I518" s="511"/>
    </row>
    <row r="519" spans="1:9">
      <c r="A519" s="509"/>
      <c r="B519" s="510"/>
      <c r="C519" s="23"/>
      <c r="D519" s="23"/>
      <c r="E519" s="23"/>
      <c r="F519" s="21"/>
      <c r="G519" s="21"/>
      <c r="H519" s="21"/>
      <c r="I519" s="511"/>
    </row>
    <row r="520" spans="1:9">
      <c r="A520" s="509"/>
      <c r="B520" s="510"/>
      <c r="C520" s="23"/>
      <c r="D520" s="23"/>
      <c r="E520" s="23"/>
      <c r="F520" s="21"/>
      <c r="G520" s="21"/>
      <c r="H520" s="21"/>
      <c r="I520" s="511"/>
    </row>
    <row r="521" spans="1:9">
      <c r="A521" s="509"/>
      <c r="B521" s="510"/>
      <c r="C521" s="23"/>
      <c r="D521" s="23"/>
      <c r="E521" s="23"/>
      <c r="F521" s="21"/>
      <c r="G521" s="21"/>
      <c r="H521" s="21"/>
      <c r="I521" s="511"/>
    </row>
    <row r="522" spans="1:9">
      <c r="A522" s="509"/>
      <c r="B522" s="510"/>
      <c r="C522" s="23"/>
      <c r="D522" s="23"/>
      <c r="E522" s="23"/>
      <c r="F522" s="21"/>
      <c r="G522" s="21"/>
      <c r="H522" s="21"/>
      <c r="I522" s="511"/>
    </row>
    <row r="523" spans="1:9">
      <c r="A523" s="509"/>
      <c r="B523" s="510"/>
      <c r="C523" s="23"/>
      <c r="D523" s="23"/>
      <c r="E523" s="23"/>
      <c r="F523" s="21"/>
      <c r="G523" s="21"/>
      <c r="H523" s="21"/>
      <c r="I523" s="511"/>
    </row>
    <row r="524" spans="1:9">
      <c r="A524" s="509"/>
      <c r="B524" s="510"/>
      <c r="C524" s="23"/>
      <c r="D524" s="23"/>
      <c r="E524" s="23"/>
      <c r="F524" s="21"/>
      <c r="G524" s="21"/>
      <c r="H524" s="21"/>
      <c r="I524" s="511"/>
    </row>
    <row r="525" spans="1:9">
      <c r="A525" s="509"/>
      <c r="B525" s="510"/>
      <c r="C525" s="23"/>
      <c r="D525" s="23"/>
      <c r="E525" s="23"/>
      <c r="F525" s="21"/>
      <c r="G525" s="21"/>
      <c r="H525" s="21"/>
      <c r="I525" s="511"/>
    </row>
    <row r="526" spans="1:9">
      <c r="A526" s="509"/>
      <c r="B526" s="510"/>
      <c r="C526" s="23"/>
      <c r="D526" s="23"/>
      <c r="E526" s="23"/>
      <c r="F526" s="21"/>
      <c r="G526" s="21"/>
      <c r="H526" s="21"/>
      <c r="I526" s="511"/>
    </row>
    <row r="527" spans="1:9">
      <c r="A527" s="509"/>
      <c r="B527" s="510"/>
      <c r="C527" s="23"/>
      <c r="D527" s="23"/>
      <c r="E527" s="23"/>
      <c r="F527" s="21"/>
      <c r="G527" s="21"/>
      <c r="H527" s="21"/>
      <c r="I527" s="511"/>
    </row>
    <row r="528" spans="1:9">
      <c r="A528" s="509"/>
      <c r="B528" s="510"/>
      <c r="C528" s="23"/>
      <c r="D528" s="23"/>
      <c r="E528" s="23"/>
      <c r="F528" s="21"/>
      <c r="G528" s="21"/>
      <c r="H528" s="21"/>
      <c r="I528" s="511"/>
    </row>
    <row r="529" spans="1:9">
      <c r="A529" s="509"/>
      <c r="B529" s="510"/>
      <c r="C529" s="23"/>
      <c r="D529" s="23"/>
      <c r="E529" s="23"/>
      <c r="F529" s="21"/>
      <c r="G529" s="21"/>
      <c r="H529" s="21"/>
      <c r="I529" s="511"/>
    </row>
    <row r="530" spans="1:9">
      <c r="A530" s="509"/>
      <c r="B530" s="510"/>
      <c r="C530" s="23"/>
      <c r="D530" s="23"/>
      <c r="E530" s="23"/>
      <c r="F530" s="21"/>
      <c r="G530" s="21"/>
      <c r="H530" s="21"/>
      <c r="I530" s="511"/>
    </row>
    <row r="531" spans="1:9">
      <c r="A531" s="509"/>
      <c r="B531" s="510"/>
      <c r="C531" s="23"/>
      <c r="D531" s="23"/>
      <c r="E531" s="23"/>
      <c r="F531" s="21"/>
      <c r="G531" s="21"/>
      <c r="H531" s="21"/>
      <c r="I531" s="511"/>
    </row>
    <row r="532" spans="1:9">
      <c r="A532" s="509"/>
      <c r="B532" s="510"/>
      <c r="C532" s="23"/>
      <c r="D532" s="23"/>
      <c r="E532" s="23"/>
      <c r="F532" s="21"/>
      <c r="G532" s="21"/>
      <c r="H532" s="21"/>
      <c r="I532" s="511"/>
    </row>
    <row r="533" spans="1:9">
      <c r="A533" s="509"/>
      <c r="B533" s="510"/>
      <c r="C533" s="23"/>
      <c r="D533" s="23"/>
      <c r="E533" s="23"/>
      <c r="F533" s="21"/>
      <c r="G533" s="21"/>
      <c r="H533" s="21"/>
      <c r="I533" s="511"/>
    </row>
    <row r="534" spans="1:9">
      <c r="A534" s="509"/>
      <c r="B534" s="510"/>
      <c r="C534" s="23"/>
      <c r="D534" s="23"/>
      <c r="E534" s="23"/>
      <c r="F534" s="21"/>
      <c r="G534" s="21"/>
      <c r="H534" s="21"/>
      <c r="I534" s="511"/>
    </row>
    <row r="535" spans="1:9">
      <c r="A535" s="509"/>
      <c r="B535" s="510"/>
      <c r="C535" s="23"/>
      <c r="D535" s="23"/>
      <c r="E535" s="23"/>
      <c r="F535" s="21"/>
      <c r="G535" s="21"/>
      <c r="H535" s="21"/>
      <c r="I535" s="511"/>
    </row>
    <row r="536" spans="1:9">
      <c r="A536" s="509"/>
      <c r="B536" s="510"/>
      <c r="C536" s="23"/>
      <c r="D536" s="23"/>
      <c r="E536" s="23"/>
      <c r="F536" s="21"/>
      <c r="G536" s="21"/>
      <c r="H536" s="21"/>
      <c r="I536" s="511"/>
    </row>
    <row r="537" spans="1:9">
      <c r="A537" s="509"/>
      <c r="B537" s="510"/>
      <c r="C537" s="23"/>
      <c r="D537" s="23"/>
      <c r="E537" s="23"/>
      <c r="F537" s="21"/>
      <c r="G537" s="21"/>
      <c r="H537" s="21"/>
      <c r="I537" s="511"/>
    </row>
    <row r="538" spans="1:9">
      <c r="A538" s="509"/>
      <c r="B538" s="510"/>
      <c r="C538" s="23"/>
      <c r="D538" s="23"/>
      <c r="E538" s="23"/>
      <c r="F538" s="21"/>
      <c r="G538" s="21"/>
      <c r="H538" s="21"/>
      <c r="I538" s="511"/>
    </row>
    <row r="539" spans="1:9">
      <c r="A539" s="509"/>
      <c r="B539" s="510"/>
      <c r="C539" s="23"/>
      <c r="D539" s="23"/>
      <c r="E539" s="23"/>
      <c r="F539" s="21"/>
      <c r="G539" s="21"/>
      <c r="H539" s="21"/>
      <c r="I539" s="511"/>
    </row>
    <row r="540" spans="1:9">
      <c r="A540" s="509"/>
      <c r="B540" s="510"/>
      <c r="C540" s="23"/>
      <c r="D540" s="23"/>
      <c r="E540" s="23"/>
      <c r="F540" s="21"/>
      <c r="G540" s="21"/>
      <c r="H540" s="21"/>
      <c r="I540" s="511"/>
    </row>
    <row r="541" spans="1:9">
      <c r="A541" s="509"/>
      <c r="B541" s="510"/>
      <c r="C541" s="23"/>
      <c r="D541" s="23"/>
      <c r="E541" s="23"/>
      <c r="F541" s="21"/>
      <c r="G541" s="21"/>
      <c r="H541" s="21"/>
      <c r="I541" s="511"/>
    </row>
    <row r="542" spans="1:9">
      <c r="A542" s="509"/>
      <c r="B542" s="510"/>
      <c r="C542" s="23"/>
      <c r="D542" s="23"/>
      <c r="E542" s="23"/>
      <c r="F542" s="21"/>
      <c r="G542" s="21"/>
      <c r="H542" s="21"/>
      <c r="I542" s="511"/>
    </row>
    <row r="543" spans="1:9">
      <c r="A543" s="509"/>
      <c r="B543" s="510"/>
      <c r="C543" s="23"/>
      <c r="D543" s="23"/>
      <c r="E543" s="23"/>
      <c r="F543" s="21"/>
      <c r="G543" s="21"/>
      <c r="H543" s="21"/>
      <c r="I543" s="511"/>
    </row>
    <row r="544" spans="1:9">
      <c r="A544" s="509"/>
      <c r="B544" s="510"/>
      <c r="C544" s="23"/>
      <c r="D544" s="23"/>
      <c r="E544" s="23"/>
      <c r="F544" s="21"/>
      <c r="G544" s="21"/>
      <c r="H544" s="21"/>
      <c r="I544" s="511"/>
    </row>
    <row r="545" spans="1:9">
      <c r="A545" s="509"/>
      <c r="B545" s="510"/>
      <c r="C545" s="23"/>
      <c r="D545" s="23"/>
      <c r="E545" s="23"/>
      <c r="F545" s="21"/>
      <c r="G545" s="21"/>
      <c r="H545" s="21"/>
      <c r="I545" s="511"/>
    </row>
    <row r="546" spans="1:9">
      <c r="A546" s="509"/>
      <c r="B546" s="510"/>
      <c r="C546" s="23"/>
      <c r="D546" s="23"/>
      <c r="E546" s="23"/>
      <c r="F546" s="21"/>
      <c r="G546" s="21"/>
      <c r="H546" s="21"/>
      <c r="I546" s="511"/>
    </row>
    <row r="547" spans="1:9">
      <c r="A547" s="509"/>
      <c r="B547" s="510"/>
      <c r="C547" s="23"/>
      <c r="D547" s="23"/>
      <c r="E547" s="23"/>
      <c r="F547" s="21"/>
      <c r="G547" s="21"/>
      <c r="H547" s="21"/>
      <c r="I547" s="511"/>
    </row>
    <row r="548" spans="1:9">
      <c r="A548" s="509"/>
      <c r="B548" s="510"/>
      <c r="C548" s="23"/>
      <c r="D548" s="23"/>
      <c r="E548" s="23"/>
      <c r="F548" s="21"/>
      <c r="G548" s="21"/>
      <c r="H548" s="21"/>
      <c r="I548" s="511"/>
    </row>
    <row r="549" spans="1:9">
      <c r="A549" s="509"/>
      <c r="B549" s="510"/>
      <c r="C549" s="23"/>
      <c r="D549" s="23"/>
      <c r="E549" s="23"/>
      <c r="F549" s="21"/>
      <c r="G549" s="21"/>
      <c r="H549" s="21"/>
      <c r="I549" s="511"/>
    </row>
    <row r="550" spans="1:9">
      <c r="A550" s="509"/>
      <c r="B550" s="510"/>
      <c r="C550" s="23"/>
      <c r="D550" s="23"/>
      <c r="E550" s="23"/>
      <c r="F550" s="21"/>
      <c r="G550" s="21"/>
      <c r="H550" s="21"/>
      <c r="I550" s="511"/>
    </row>
    <row r="551" spans="1:9">
      <c r="A551" s="509"/>
      <c r="B551" s="510"/>
      <c r="C551" s="23"/>
      <c r="D551" s="23"/>
      <c r="E551" s="23"/>
      <c r="F551" s="21"/>
      <c r="G551" s="21"/>
      <c r="H551" s="21"/>
      <c r="I551" s="511"/>
    </row>
    <row r="552" spans="1:9">
      <c r="A552" s="509"/>
      <c r="B552" s="510"/>
      <c r="C552" s="23"/>
      <c r="D552" s="23"/>
      <c r="E552" s="23"/>
      <c r="F552" s="21"/>
      <c r="G552" s="21"/>
      <c r="H552" s="21"/>
      <c r="I552" s="511"/>
    </row>
    <row r="553" spans="1:9">
      <c r="A553" s="509"/>
      <c r="B553" s="510"/>
      <c r="C553" s="23"/>
      <c r="D553" s="23"/>
      <c r="E553" s="23"/>
      <c r="F553" s="21"/>
      <c r="G553" s="21"/>
      <c r="H553" s="21"/>
      <c r="I553" s="511"/>
    </row>
    <row r="554" spans="1:9">
      <c r="A554" s="509"/>
      <c r="B554" s="510"/>
      <c r="C554" s="23"/>
      <c r="D554" s="23"/>
      <c r="E554" s="23"/>
      <c r="F554" s="21"/>
      <c r="G554" s="21"/>
      <c r="H554" s="21"/>
      <c r="I554" s="511"/>
    </row>
    <row r="555" spans="1:9">
      <c r="A555" s="509"/>
      <c r="B555" s="510"/>
      <c r="C555" s="23"/>
      <c r="D555" s="23"/>
      <c r="E555" s="23"/>
      <c r="F555" s="21"/>
      <c r="G555" s="21"/>
      <c r="H555" s="21"/>
      <c r="I555" s="511"/>
    </row>
    <row r="556" spans="1:9">
      <c r="A556" s="509"/>
      <c r="B556" s="510"/>
      <c r="C556" s="23"/>
      <c r="D556" s="23"/>
      <c r="E556" s="23"/>
      <c r="F556" s="21"/>
      <c r="G556" s="21"/>
      <c r="H556" s="21"/>
      <c r="I556" s="511"/>
    </row>
    <row r="557" spans="1:9">
      <c r="A557" s="509"/>
      <c r="B557" s="510"/>
      <c r="C557" s="23"/>
      <c r="D557" s="23"/>
      <c r="E557" s="23"/>
      <c r="F557" s="21"/>
      <c r="G557" s="21"/>
      <c r="H557" s="21"/>
      <c r="I557" s="511"/>
    </row>
    <row r="558" spans="1:9">
      <c r="A558" s="509"/>
      <c r="B558" s="510"/>
      <c r="C558" s="23"/>
      <c r="D558" s="23"/>
      <c r="E558" s="23"/>
      <c r="F558" s="21"/>
      <c r="G558" s="21"/>
      <c r="H558" s="21"/>
      <c r="I558" s="511"/>
    </row>
    <row r="559" spans="1:9">
      <c r="A559" s="509"/>
      <c r="B559" s="510"/>
      <c r="C559" s="23"/>
      <c r="D559" s="23"/>
      <c r="E559" s="23"/>
      <c r="F559" s="21"/>
      <c r="G559" s="21"/>
      <c r="H559" s="21"/>
      <c r="I559" s="511"/>
    </row>
    <row r="560" spans="1:9">
      <c r="A560" s="509"/>
      <c r="B560" s="510"/>
      <c r="C560" s="23"/>
      <c r="D560" s="23"/>
      <c r="E560" s="23"/>
      <c r="F560" s="21"/>
      <c r="G560" s="21"/>
      <c r="H560" s="21"/>
      <c r="I560" s="511"/>
    </row>
    <row r="561" spans="1:9">
      <c r="A561" s="509"/>
      <c r="B561" s="510"/>
      <c r="C561" s="23"/>
      <c r="D561" s="23"/>
      <c r="E561" s="23"/>
      <c r="F561" s="21"/>
      <c r="G561" s="21"/>
      <c r="H561" s="21"/>
      <c r="I561" s="511"/>
    </row>
    <row r="562" spans="1:9">
      <c r="A562" s="509"/>
      <c r="B562" s="510"/>
      <c r="C562" s="23"/>
      <c r="D562" s="23"/>
      <c r="E562" s="23"/>
      <c r="F562" s="21"/>
      <c r="G562" s="21"/>
      <c r="H562" s="21"/>
      <c r="I562" s="511"/>
    </row>
    <row r="563" spans="1:9">
      <c r="A563" s="509"/>
      <c r="B563" s="510"/>
      <c r="C563" s="23"/>
      <c r="D563" s="23"/>
      <c r="E563" s="23"/>
      <c r="F563" s="21"/>
      <c r="G563" s="21"/>
      <c r="H563" s="21"/>
      <c r="I563" s="511"/>
    </row>
    <row r="564" spans="1:9">
      <c r="A564" s="509"/>
      <c r="B564" s="510"/>
      <c r="C564" s="23"/>
      <c r="D564" s="23"/>
      <c r="E564" s="23"/>
      <c r="F564" s="21"/>
      <c r="G564" s="21"/>
      <c r="H564" s="21"/>
      <c r="I564" s="511"/>
    </row>
    <row r="565" spans="1:9">
      <c r="A565" s="509"/>
      <c r="B565" s="510"/>
      <c r="C565" s="23"/>
      <c r="D565" s="23"/>
      <c r="E565" s="23"/>
      <c r="F565" s="21"/>
      <c r="G565" s="21"/>
      <c r="H565" s="21"/>
      <c r="I565" s="511"/>
    </row>
    <row r="566" spans="1:9">
      <c r="A566" s="509"/>
      <c r="B566" s="510"/>
      <c r="C566" s="23"/>
      <c r="D566" s="23"/>
      <c r="E566" s="23"/>
      <c r="F566" s="21"/>
      <c r="G566" s="21"/>
      <c r="H566" s="21"/>
      <c r="I566" s="511"/>
    </row>
    <row r="567" spans="1:9">
      <c r="A567" s="509"/>
      <c r="B567" s="510"/>
      <c r="C567" s="23"/>
      <c r="D567" s="23"/>
      <c r="E567" s="23"/>
      <c r="F567" s="21"/>
      <c r="G567" s="21"/>
      <c r="H567" s="21"/>
      <c r="I567" s="511"/>
    </row>
    <row r="568" spans="1:9">
      <c r="A568" s="509"/>
      <c r="B568" s="510"/>
      <c r="C568" s="23"/>
      <c r="D568" s="23"/>
      <c r="E568" s="23"/>
      <c r="F568" s="21"/>
      <c r="G568" s="21"/>
      <c r="H568" s="21"/>
      <c r="I568" s="511"/>
    </row>
    <row r="569" spans="1:9">
      <c r="A569" s="509"/>
      <c r="B569" s="510"/>
      <c r="C569" s="23"/>
      <c r="D569" s="23"/>
      <c r="E569" s="23"/>
      <c r="F569" s="21"/>
      <c r="G569" s="21"/>
      <c r="H569" s="21"/>
      <c r="I569" s="511"/>
    </row>
    <row r="570" spans="1:9">
      <c r="A570" s="509"/>
      <c r="B570" s="510"/>
      <c r="C570" s="23"/>
      <c r="D570" s="23"/>
      <c r="E570" s="23"/>
      <c r="F570" s="21"/>
      <c r="G570" s="21"/>
      <c r="H570" s="21"/>
      <c r="I570" s="511"/>
    </row>
    <row r="571" spans="1:9">
      <c r="A571" s="509"/>
      <c r="B571" s="510"/>
      <c r="C571" s="23"/>
      <c r="D571" s="23"/>
      <c r="E571" s="23"/>
      <c r="F571" s="21"/>
      <c r="G571" s="21"/>
      <c r="H571" s="21"/>
      <c r="I571" s="511"/>
    </row>
    <row r="572" spans="1:9">
      <c r="A572" s="509"/>
      <c r="B572" s="510"/>
      <c r="C572" s="23"/>
      <c r="D572" s="23"/>
      <c r="E572" s="23"/>
      <c r="F572" s="21"/>
      <c r="G572" s="21"/>
      <c r="H572" s="21"/>
      <c r="I572" s="511"/>
    </row>
    <row r="573" spans="1:9">
      <c r="A573" s="509"/>
      <c r="B573" s="510"/>
      <c r="C573" s="23"/>
      <c r="D573" s="23"/>
      <c r="E573" s="23"/>
      <c r="F573" s="21"/>
      <c r="G573" s="21"/>
      <c r="H573" s="21"/>
      <c r="I573" s="511"/>
    </row>
    <row r="574" spans="1:9">
      <c r="A574" s="509"/>
      <c r="B574" s="510"/>
      <c r="C574" s="23"/>
      <c r="D574" s="23"/>
      <c r="E574" s="23"/>
      <c r="F574" s="21"/>
      <c r="G574" s="21"/>
      <c r="H574" s="21"/>
      <c r="I574" s="511"/>
    </row>
    <row r="575" spans="1:9">
      <c r="A575" s="509"/>
      <c r="B575" s="510"/>
      <c r="C575" s="23"/>
      <c r="D575" s="23"/>
      <c r="E575" s="23"/>
      <c r="F575" s="21"/>
      <c r="G575" s="21"/>
      <c r="H575" s="21"/>
      <c r="I575" s="511"/>
    </row>
    <row r="576" spans="1:9">
      <c r="A576" s="509"/>
      <c r="B576" s="510"/>
      <c r="C576" s="23"/>
      <c r="D576" s="23"/>
      <c r="E576" s="23"/>
      <c r="F576" s="21"/>
      <c r="G576" s="21"/>
      <c r="H576" s="21"/>
      <c r="I576" s="511"/>
    </row>
    <row r="577" spans="1:9">
      <c r="A577" s="509"/>
      <c r="B577" s="510"/>
      <c r="C577" s="23"/>
      <c r="D577" s="23"/>
      <c r="E577" s="23"/>
      <c r="F577" s="21"/>
      <c r="G577" s="21"/>
      <c r="H577" s="21"/>
      <c r="I577" s="511"/>
    </row>
    <row r="578" spans="1:9">
      <c r="A578" s="509"/>
      <c r="B578" s="510"/>
      <c r="C578" s="23"/>
      <c r="D578" s="23"/>
      <c r="E578" s="23"/>
      <c r="F578" s="21"/>
      <c r="G578" s="21"/>
      <c r="H578" s="21"/>
      <c r="I578" s="511"/>
    </row>
    <row r="579" spans="1:9">
      <c r="A579" s="509"/>
      <c r="B579" s="510"/>
      <c r="C579" s="23"/>
      <c r="D579" s="23"/>
      <c r="E579" s="23"/>
      <c r="F579" s="21"/>
      <c r="G579" s="21"/>
      <c r="H579" s="21"/>
      <c r="I579" s="511"/>
    </row>
    <row r="580" spans="1:9">
      <c r="A580" s="509"/>
      <c r="B580" s="510"/>
      <c r="C580" s="23"/>
      <c r="D580" s="23"/>
      <c r="E580" s="23"/>
      <c r="F580" s="21"/>
      <c r="G580" s="21"/>
      <c r="H580" s="21"/>
      <c r="I580" s="511"/>
    </row>
    <row r="581" spans="1:9">
      <c r="A581" s="509"/>
      <c r="B581" s="510"/>
      <c r="C581" s="23"/>
      <c r="D581" s="23"/>
      <c r="E581" s="23"/>
      <c r="F581" s="21"/>
      <c r="G581" s="21"/>
      <c r="H581" s="21"/>
      <c r="I581" s="511"/>
    </row>
    <row r="582" spans="1:9">
      <c r="A582" s="509"/>
      <c r="B582" s="510"/>
      <c r="C582" s="23"/>
      <c r="D582" s="23"/>
      <c r="E582" s="23"/>
      <c r="F582" s="21"/>
      <c r="G582" s="21"/>
      <c r="H582" s="21"/>
      <c r="I582" s="511"/>
    </row>
    <row r="583" spans="1:9">
      <c r="A583" s="509"/>
      <c r="B583" s="510"/>
      <c r="C583" s="23"/>
      <c r="D583" s="23"/>
      <c r="E583" s="23"/>
      <c r="F583" s="21"/>
      <c r="G583" s="21"/>
      <c r="H583" s="21"/>
      <c r="I583" s="511"/>
    </row>
    <row r="584" spans="1:9">
      <c r="A584" s="509"/>
      <c r="B584" s="510"/>
      <c r="C584" s="23"/>
      <c r="D584" s="23"/>
      <c r="E584" s="23"/>
      <c r="F584" s="21"/>
      <c r="G584" s="21"/>
      <c r="H584" s="21"/>
      <c r="I584" s="511"/>
    </row>
    <row r="585" spans="1:9">
      <c r="A585" s="509"/>
      <c r="B585" s="510"/>
      <c r="C585" s="23"/>
      <c r="D585" s="23"/>
      <c r="E585" s="23"/>
      <c r="F585" s="21"/>
      <c r="G585" s="21"/>
      <c r="H585" s="21"/>
      <c r="I585" s="511"/>
    </row>
    <row r="586" spans="1:9">
      <c r="A586" s="509"/>
      <c r="B586" s="510"/>
      <c r="C586" s="23"/>
      <c r="D586" s="23"/>
      <c r="E586" s="23"/>
      <c r="F586" s="21"/>
      <c r="G586" s="21"/>
      <c r="H586" s="21"/>
      <c r="I586" s="511"/>
    </row>
    <row r="587" spans="1:9">
      <c r="A587" s="509"/>
      <c r="B587" s="510"/>
      <c r="C587" s="23"/>
      <c r="D587" s="23"/>
      <c r="E587" s="23"/>
      <c r="F587" s="21"/>
      <c r="G587" s="21"/>
      <c r="H587" s="21"/>
      <c r="I587" s="511"/>
    </row>
    <row r="588" spans="1:9">
      <c r="A588" s="509"/>
      <c r="B588" s="510"/>
      <c r="C588" s="23"/>
      <c r="D588" s="23"/>
      <c r="E588" s="23"/>
      <c r="F588" s="21"/>
      <c r="G588" s="21"/>
      <c r="H588" s="21"/>
      <c r="I588" s="511"/>
    </row>
    <row r="589" spans="1:9">
      <c r="A589" s="509"/>
      <c r="B589" s="510"/>
      <c r="C589" s="23"/>
      <c r="D589" s="23"/>
      <c r="E589" s="23"/>
      <c r="F589" s="21"/>
      <c r="G589" s="21"/>
      <c r="H589" s="21"/>
      <c r="I589" s="511"/>
    </row>
    <row r="590" spans="1:9">
      <c r="A590" s="509"/>
      <c r="B590" s="510"/>
      <c r="C590" s="23"/>
      <c r="D590" s="23"/>
      <c r="E590" s="23"/>
      <c r="F590" s="21"/>
      <c r="G590" s="21"/>
      <c r="H590" s="21"/>
      <c r="I590" s="511"/>
    </row>
    <row r="591" spans="1:9">
      <c r="A591" s="509"/>
      <c r="B591" s="510"/>
      <c r="C591" s="23"/>
      <c r="D591" s="23"/>
      <c r="E591" s="23"/>
      <c r="F591" s="21"/>
      <c r="G591" s="21"/>
      <c r="H591" s="21"/>
      <c r="I591" s="511"/>
    </row>
    <row r="592" spans="1:9">
      <c r="A592" s="509"/>
      <c r="B592" s="510"/>
      <c r="C592" s="23"/>
      <c r="D592" s="23"/>
      <c r="E592" s="23"/>
      <c r="F592" s="21"/>
      <c r="G592" s="21"/>
      <c r="H592" s="21"/>
      <c r="I592" s="511"/>
    </row>
    <row r="593" spans="1:9">
      <c r="A593" s="509"/>
      <c r="B593" s="510"/>
      <c r="C593" s="23"/>
      <c r="D593" s="23"/>
      <c r="E593" s="23"/>
      <c r="F593" s="21"/>
      <c r="G593" s="21"/>
      <c r="H593" s="21"/>
      <c r="I593" s="511"/>
    </row>
    <row r="594" spans="1:9">
      <c r="A594" s="509"/>
      <c r="B594" s="510"/>
      <c r="C594" s="23"/>
      <c r="D594" s="23"/>
      <c r="E594" s="23"/>
      <c r="F594" s="21"/>
      <c r="G594" s="21"/>
      <c r="H594" s="21"/>
      <c r="I594" s="511"/>
    </row>
    <row r="595" spans="1:9">
      <c r="A595" s="509"/>
      <c r="B595" s="510"/>
      <c r="C595" s="23"/>
      <c r="D595" s="23"/>
      <c r="E595" s="23"/>
      <c r="F595" s="21"/>
      <c r="G595" s="21"/>
      <c r="H595" s="21"/>
      <c r="I595" s="511"/>
    </row>
    <row r="596" spans="1:9">
      <c r="A596" s="509"/>
      <c r="B596" s="510"/>
      <c r="C596" s="23"/>
      <c r="D596" s="23"/>
      <c r="E596" s="23"/>
      <c r="F596" s="21"/>
      <c r="G596" s="21"/>
      <c r="H596" s="21"/>
      <c r="I596" s="511"/>
    </row>
    <row r="597" spans="1:9">
      <c r="A597" s="509"/>
      <c r="B597" s="510"/>
      <c r="C597" s="23"/>
      <c r="D597" s="23"/>
      <c r="E597" s="23"/>
      <c r="F597" s="21"/>
      <c r="G597" s="21"/>
      <c r="H597" s="21"/>
      <c r="I597" s="511"/>
    </row>
    <row r="598" spans="1:9">
      <c r="A598" s="509"/>
      <c r="B598" s="510"/>
      <c r="C598" s="23"/>
      <c r="D598" s="23"/>
      <c r="E598" s="23"/>
      <c r="F598" s="21"/>
      <c r="G598" s="21"/>
      <c r="H598" s="21"/>
      <c r="I598" s="511"/>
    </row>
    <row r="599" spans="1:9">
      <c r="A599" s="509"/>
      <c r="B599" s="510"/>
      <c r="C599" s="23"/>
      <c r="D599" s="23"/>
      <c r="E599" s="23"/>
      <c r="F599" s="21"/>
      <c r="G599" s="21"/>
      <c r="H599" s="21"/>
      <c r="I599" s="511"/>
    </row>
    <row r="600" spans="1:9">
      <c r="A600" s="509"/>
      <c r="B600" s="510"/>
      <c r="C600" s="23"/>
      <c r="D600" s="23"/>
      <c r="E600" s="23"/>
      <c r="F600" s="21"/>
      <c r="G600" s="21"/>
      <c r="H600" s="21"/>
      <c r="I600" s="511"/>
    </row>
    <row r="601" spans="1:9">
      <c r="A601" s="509"/>
      <c r="B601" s="510"/>
      <c r="C601" s="23"/>
      <c r="D601" s="23"/>
      <c r="E601" s="23"/>
      <c r="F601" s="21"/>
      <c r="G601" s="21"/>
      <c r="H601" s="21"/>
      <c r="I601" s="511"/>
    </row>
    <row r="602" spans="1:9">
      <c r="A602" s="509"/>
      <c r="B602" s="510"/>
      <c r="C602" s="23"/>
      <c r="D602" s="23"/>
      <c r="E602" s="23"/>
      <c r="F602" s="21"/>
      <c r="G602" s="21"/>
      <c r="H602" s="21"/>
      <c r="I602" s="511"/>
    </row>
    <row r="603" spans="1:9">
      <c r="A603" s="509"/>
      <c r="B603" s="510"/>
      <c r="C603" s="23"/>
      <c r="D603" s="23"/>
      <c r="E603" s="23"/>
      <c r="F603" s="21"/>
      <c r="G603" s="21"/>
      <c r="H603" s="21"/>
      <c r="I603" s="511"/>
    </row>
    <row r="604" spans="1:9">
      <c r="A604" s="509"/>
      <c r="B604" s="510"/>
      <c r="C604" s="23"/>
      <c r="D604" s="23"/>
      <c r="E604" s="23"/>
      <c r="F604" s="21"/>
      <c r="G604" s="21"/>
      <c r="H604" s="21"/>
      <c r="I604" s="511"/>
    </row>
    <row r="605" spans="1:9">
      <c r="A605" s="509"/>
      <c r="B605" s="510"/>
      <c r="C605" s="23"/>
      <c r="D605" s="23"/>
      <c r="E605" s="23"/>
      <c r="F605" s="21"/>
      <c r="G605" s="21"/>
      <c r="H605" s="21"/>
      <c r="I605" s="511"/>
    </row>
    <row r="606" spans="1:9">
      <c r="A606" s="509"/>
      <c r="B606" s="510"/>
      <c r="C606" s="23"/>
      <c r="D606" s="23"/>
      <c r="E606" s="23"/>
      <c r="F606" s="21"/>
      <c r="G606" s="21"/>
      <c r="H606" s="21"/>
      <c r="I606" s="511"/>
    </row>
    <row r="607" spans="1:9">
      <c r="A607" s="509"/>
      <c r="B607" s="510"/>
      <c r="C607" s="23"/>
      <c r="D607" s="23"/>
      <c r="E607" s="23"/>
      <c r="F607" s="21"/>
      <c r="G607" s="21"/>
      <c r="H607" s="21"/>
      <c r="I607" s="511"/>
    </row>
    <row r="608" spans="1:9">
      <c r="A608" s="509"/>
      <c r="B608" s="510"/>
      <c r="C608" s="23"/>
      <c r="D608" s="23"/>
      <c r="E608" s="23"/>
      <c r="F608" s="21"/>
      <c r="G608" s="21"/>
      <c r="H608" s="21"/>
      <c r="I608" s="511"/>
    </row>
    <row r="609" spans="1:9">
      <c r="A609" s="509"/>
      <c r="B609" s="510"/>
      <c r="C609" s="23"/>
      <c r="D609" s="23"/>
      <c r="E609" s="23"/>
      <c r="F609" s="21"/>
      <c r="G609" s="21"/>
      <c r="H609" s="21"/>
      <c r="I609" s="511"/>
    </row>
    <row r="610" spans="1:9">
      <c r="A610" s="509"/>
      <c r="B610" s="510"/>
      <c r="C610" s="23"/>
      <c r="D610" s="23"/>
      <c r="E610" s="23"/>
      <c r="F610" s="21"/>
      <c r="G610" s="21"/>
      <c r="H610" s="21"/>
      <c r="I610" s="511"/>
    </row>
    <row r="611" spans="1:9">
      <c r="A611" s="509"/>
      <c r="B611" s="510"/>
      <c r="C611" s="23"/>
      <c r="D611" s="23"/>
      <c r="E611" s="23"/>
      <c r="F611" s="21"/>
      <c r="G611" s="21"/>
      <c r="H611" s="21"/>
      <c r="I611" s="511"/>
    </row>
    <row r="612" spans="1:9">
      <c r="A612" s="509"/>
      <c r="B612" s="510"/>
      <c r="C612" s="23"/>
      <c r="D612" s="23"/>
      <c r="E612" s="23"/>
      <c r="F612" s="21"/>
      <c r="G612" s="21"/>
      <c r="H612" s="21"/>
      <c r="I612" s="511"/>
    </row>
    <row r="613" spans="1:9">
      <c r="A613" s="509"/>
      <c r="B613" s="510"/>
      <c r="C613" s="23"/>
      <c r="D613" s="23"/>
      <c r="E613" s="23"/>
      <c r="F613" s="21"/>
      <c r="G613" s="21"/>
      <c r="H613" s="21"/>
      <c r="I613" s="511"/>
    </row>
    <row r="614" spans="1:9">
      <c r="A614" s="509"/>
      <c r="B614" s="510"/>
      <c r="C614" s="23"/>
      <c r="D614" s="23"/>
      <c r="E614" s="23"/>
      <c r="F614" s="21"/>
      <c r="G614" s="21"/>
      <c r="H614" s="21"/>
      <c r="I614" s="511"/>
    </row>
    <row r="615" spans="1:9">
      <c r="A615" s="509"/>
      <c r="B615" s="510"/>
      <c r="C615" s="23"/>
      <c r="D615" s="23"/>
      <c r="E615" s="23"/>
      <c r="F615" s="21"/>
      <c r="G615" s="21"/>
      <c r="H615" s="21"/>
      <c r="I615" s="511"/>
    </row>
    <row r="616" spans="1:9">
      <c r="A616" s="509"/>
      <c r="B616" s="510"/>
      <c r="C616" s="23"/>
      <c r="D616" s="23"/>
      <c r="E616" s="23"/>
      <c r="F616" s="21"/>
      <c r="G616" s="21"/>
      <c r="H616" s="21"/>
      <c r="I616" s="511"/>
    </row>
    <row r="617" spans="1:9">
      <c r="A617" s="509"/>
      <c r="B617" s="510"/>
      <c r="C617" s="23"/>
      <c r="D617" s="23"/>
      <c r="E617" s="23"/>
      <c r="F617" s="21"/>
      <c r="G617" s="21"/>
      <c r="H617" s="21"/>
      <c r="I617" s="511"/>
    </row>
    <row r="618" spans="1:9">
      <c r="A618" s="509"/>
      <c r="B618" s="510"/>
      <c r="C618" s="23"/>
      <c r="D618" s="23"/>
      <c r="E618" s="23"/>
      <c r="F618" s="21"/>
      <c r="G618" s="21"/>
      <c r="H618" s="21"/>
      <c r="I618" s="511"/>
    </row>
    <row r="619" spans="1:9">
      <c r="A619" s="509"/>
      <c r="B619" s="510"/>
      <c r="C619" s="23"/>
      <c r="D619" s="23"/>
      <c r="E619" s="23"/>
      <c r="F619" s="21"/>
      <c r="G619" s="21"/>
      <c r="H619" s="21"/>
      <c r="I619" s="511"/>
    </row>
    <row r="620" spans="1:9">
      <c r="A620" s="509"/>
      <c r="B620" s="510"/>
      <c r="C620" s="23"/>
      <c r="D620" s="23"/>
      <c r="E620" s="23"/>
      <c r="F620" s="21"/>
      <c r="G620" s="21"/>
      <c r="H620" s="21"/>
      <c r="I620" s="511"/>
    </row>
    <row r="621" spans="1:9">
      <c r="A621" s="509"/>
      <c r="B621" s="510"/>
      <c r="C621" s="23"/>
      <c r="D621" s="23"/>
      <c r="E621" s="23"/>
      <c r="F621" s="21"/>
      <c r="G621" s="21"/>
      <c r="H621" s="21"/>
      <c r="I621" s="511"/>
    </row>
    <row r="622" spans="1:9">
      <c r="A622" s="509"/>
      <c r="B622" s="510"/>
      <c r="C622" s="23"/>
      <c r="D622" s="23"/>
      <c r="E622" s="23"/>
      <c r="F622" s="21"/>
      <c r="G622" s="21"/>
      <c r="H622" s="21"/>
      <c r="I622" s="511"/>
    </row>
    <row r="623" spans="1:9">
      <c r="A623" s="509"/>
      <c r="B623" s="510"/>
      <c r="C623" s="23"/>
      <c r="D623" s="23"/>
      <c r="E623" s="23"/>
      <c r="F623" s="21"/>
      <c r="G623" s="21"/>
      <c r="H623" s="21"/>
      <c r="I623" s="511"/>
    </row>
    <row r="624" spans="1:9">
      <c r="A624" s="509"/>
      <c r="B624" s="510"/>
      <c r="C624" s="23"/>
      <c r="D624" s="23"/>
      <c r="E624" s="23"/>
      <c r="F624" s="21"/>
      <c r="G624" s="21"/>
      <c r="H624" s="21"/>
      <c r="I624" s="511"/>
    </row>
    <row r="625" spans="1:9">
      <c r="A625" s="509"/>
      <c r="B625" s="510"/>
      <c r="C625" s="23"/>
      <c r="D625" s="23"/>
      <c r="E625" s="23"/>
      <c r="F625" s="21"/>
      <c r="G625" s="21"/>
      <c r="H625" s="21"/>
      <c r="I625" s="511"/>
    </row>
    <row r="626" spans="1:9">
      <c r="A626" s="509"/>
      <c r="B626" s="510"/>
      <c r="C626" s="23"/>
      <c r="D626" s="23"/>
      <c r="E626" s="23"/>
      <c r="F626" s="21"/>
      <c r="G626" s="21"/>
      <c r="H626" s="21"/>
      <c r="I626" s="511"/>
    </row>
    <row r="627" spans="1:9">
      <c r="A627" s="509"/>
      <c r="B627" s="510"/>
      <c r="C627" s="23"/>
      <c r="D627" s="23"/>
      <c r="E627" s="23"/>
      <c r="F627" s="21"/>
      <c r="G627" s="21"/>
      <c r="H627" s="21"/>
      <c r="I627" s="511"/>
    </row>
    <row r="628" spans="1:9">
      <c r="A628" s="509"/>
      <c r="B628" s="510"/>
      <c r="C628" s="23"/>
      <c r="D628" s="23"/>
      <c r="E628" s="23"/>
      <c r="F628" s="21"/>
      <c r="G628" s="21"/>
      <c r="H628" s="21"/>
      <c r="I628" s="511"/>
    </row>
    <row r="629" spans="1:9">
      <c r="A629" s="509"/>
      <c r="B629" s="510"/>
      <c r="C629" s="23"/>
      <c r="D629" s="23"/>
      <c r="E629" s="23"/>
      <c r="F629" s="21"/>
      <c r="G629" s="21"/>
      <c r="H629" s="21"/>
      <c r="I629" s="511"/>
    </row>
    <row r="630" spans="1:9">
      <c r="A630" s="509"/>
      <c r="B630" s="510"/>
      <c r="C630" s="23"/>
      <c r="D630" s="23"/>
      <c r="E630" s="23"/>
      <c r="F630" s="21"/>
      <c r="G630" s="21"/>
      <c r="H630" s="21"/>
      <c r="I630" s="511"/>
    </row>
    <row r="631" spans="1:9">
      <c r="A631" s="509"/>
      <c r="B631" s="510"/>
      <c r="C631" s="23"/>
      <c r="D631" s="23"/>
      <c r="E631" s="23"/>
      <c r="F631" s="21"/>
      <c r="G631" s="21"/>
      <c r="H631" s="21"/>
      <c r="I631" s="511"/>
    </row>
    <row r="632" spans="1:9">
      <c r="A632" s="509"/>
      <c r="B632" s="510"/>
      <c r="C632" s="23"/>
      <c r="D632" s="23"/>
      <c r="E632" s="23"/>
      <c r="F632" s="21"/>
      <c r="G632" s="21"/>
      <c r="H632" s="21"/>
      <c r="I632" s="511"/>
    </row>
    <row r="633" spans="1:9">
      <c r="A633" s="509"/>
      <c r="B633" s="510"/>
      <c r="C633" s="23"/>
      <c r="D633" s="23"/>
      <c r="E633" s="23"/>
      <c r="F633" s="21"/>
      <c r="G633" s="21"/>
      <c r="H633" s="21"/>
      <c r="I633" s="511"/>
    </row>
    <row r="634" spans="1:9">
      <c r="A634" s="509"/>
      <c r="B634" s="510"/>
      <c r="C634" s="23"/>
      <c r="D634" s="23"/>
      <c r="E634" s="23"/>
      <c r="F634" s="21"/>
      <c r="G634" s="21"/>
      <c r="H634" s="21"/>
      <c r="I634" s="511"/>
    </row>
    <row r="635" spans="1:9">
      <c r="A635" s="509"/>
      <c r="B635" s="510"/>
      <c r="C635" s="23"/>
      <c r="D635" s="23"/>
      <c r="E635" s="23"/>
      <c r="F635" s="21"/>
      <c r="G635" s="21"/>
      <c r="H635" s="21"/>
      <c r="I635" s="511"/>
    </row>
    <row r="636" spans="1:9">
      <c r="A636" s="509"/>
      <c r="B636" s="510"/>
      <c r="C636" s="23"/>
      <c r="D636" s="23"/>
      <c r="E636" s="23"/>
      <c r="F636" s="21"/>
      <c r="G636" s="21"/>
      <c r="H636" s="21"/>
      <c r="I636" s="511"/>
    </row>
    <row r="637" spans="1:9">
      <c r="A637" s="509"/>
      <c r="B637" s="510"/>
      <c r="C637" s="23"/>
      <c r="D637" s="23"/>
      <c r="E637" s="23"/>
      <c r="F637" s="21"/>
      <c r="G637" s="21"/>
      <c r="H637" s="21"/>
      <c r="I637" s="511"/>
    </row>
    <row r="638" spans="1:9">
      <c r="A638" s="509"/>
      <c r="B638" s="510"/>
      <c r="C638" s="23"/>
      <c r="D638" s="23"/>
      <c r="E638" s="23"/>
      <c r="F638" s="21"/>
      <c r="G638" s="21"/>
      <c r="H638" s="21"/>
      <c r="I638" s="511"/>
    </row>
    <row r="639" spans="1:9">
      <c r="A639" s="509"/>
      <c r="B639" s="510"/>
      <c r="C639" s="23"/>
      <c r="D639" s="23"/>
      <c r="E639" s="23"/>
      <c r="F639" s="21"/>
      <c r="G639" s="21"/>
      <c r="H639" s="21"/>
      <c r="I639" s="511"/>
    </row>
    <row r="640" spans="1:9">
      <c r="A640" s="509"/>
      <c r="B640" s="510"/>
      <c r="C640" s="23"/>
      <c r="D640" s="23"/>
      <c r="E640" s="23"/>
      <c r="F640" s="21"/>
      <c r="G640" s="21"/>
      <c r="H640" s="21"/>
      <c r="I640" s="511"/>
    </row>
    <row r="641" spans="1:9">
      <c r="A641" s="509"/>
      <c r="B641" s="510"/>
      <c r="C641" s="23"/>
      <c r="D641" s="23"/>
      <c r="E641" s="23"/>
      <c r="F641" s="21"/>
      <c r="G641" s="21"/>
      <c r="H641" s="21"/>
      <c r="I641" s="511"/>
    </row>
    <row r="642" spans="1:9">
      <c r="A642" s="509"/>
      <c r="B642" s="510"/>
      <c r="C642" s="23"/>
      <c r="D642" s="23"/>
      <c r="E642" s="23"/>
      <c r="F642" s="21"/>
      <c r="G642" s="21"/>
      <c r="H642" s="21"/>
      <c r="I642" s="511"/>
    </row>
    <row r="643" spans="1:9">
      <c r="A643" s="509"/>
      <c r="B643" s="510"/>
      <c r="C643" s="23"/>
      <c r="D643" s="23"/>
      <c r="E643" s="23"/>
      <c r="F643" s="21"/>
      <c r="G643" s="21"/>
      <c r="H643" s="21"/>
      <c r="I643" s="511"/>
    </row>
    <row r="644" spans="1:9">
      <c r="A644" s="509"/>
      <c r="B644" s="510"/>
      <c r="C644" s="23"/>
      <c r="D644" s="23"/>
      <c r="E644" s="23"/>
      <c r="F644" s="21"/>
      <c r="G644" s="21"/>
      <c r="H644" s="21"/>
      <c r="I644" s="511"/>
    </row>
    <row r="645" spans="1:9">
      <c r="A645" s="509"/>
      <c r="B645" s="510"/>
      <c r="C645" s="23"/>
      <c r="D645" s="23"/>
      <c r="E645" s="23"/>
      <c r="F645" s="21"/>
      <c r="G645" s="21"/>
      <c r="H645" s="21"/>
      <c r="I645" s="511"/>
    </row>
    <row r="646" spans="1:9">
      <c r="A646" s="509"/>
      <c r="B646" s="510"/>
      <c r="C646" s="23"/>
      <c r="D646" s="23"/>
      <c r="E646" s="23"/>
      <c r="F646" s="21"/>
      <c r="G646" s="21"/>
      <c r="H646" s="21"/>
      <c r="I646" s="511"/>
    </row>
    <row r="647" spans="1:9">
      <c r="A647" s="509"/>
      <c r="B647" s="510"/>
      <c r="C647" s="23"/>
      <c r="D647" s="23"/>
      <c r="E647" s="23"/>
      <c r="F647" s="21"/>
      <c r="G647" s="21"/>
      <c r="H647" s="21"/>
      <c r="I647" s="511"/>
    </row>
    <row r="648" spans="1:9">
      <c r="A648" s="509"/>
      <c r="B648" s="510"/>
      <c r="C648" s="23"/>
      <c r="D648" s="23"/>
      <c r="E648" s="23"/>
      <c r="F648" s="21"/>
      <c r="G648" s="21"/>
      <c r="H648" s="21"/>
      <c r="I648" s="511"/>
    </row>
    <row r="649" spans="1:9">
      <c r="A649" s="509"/>
      <c r="B649" s="510"/>
      <c r="C649" s="23"/>
      <c r="D649" s="23"/>
      <c r="E649" s="23"/>
      <c r="F649" s="21"/>
      <c r="G649" s="21"/>
      <c r="H649" s="21"/>
      <c r="I649" s="511"/>
    </row>
    <row r="650" spans="1:9">
      <c r="A650" s="509"/>
      <c r="B650" s="510"/>
      <c r="C650" s="23"/>
      <c r="D650" s="23"/>
      <c r="E650" s="23"/>
      <c r="F650" s="21"/>
      <c r="G650" s="21"/>
      <c r="H650" s="21"/>
      <c r="I650" s="511"/>
    </row>
    <row r="651" spans="1:9">
      <c r="A651" s="509"/>
      <c r="B651" s="510"/>
      <c r="C651" s="23"/>
      <c r="D651" s="23"/>
      <c r="E651" s="23"/>
      <c r="F651" s="21"/>
      <c r="G651" s="21"/>
      <c r="H651" s="21"/>
      <c r="I651" s="511"/>
    </row>
    <row r="652" spans="1:9">
      <c r="A652" s="509"/>
      <c r="B652" s="510"/>
      <c r="C652" s="23"/>
      <c r="D652" s="23"/>
      <c r="E652" s="23"/>
      <c r="F652" s="21"/>
      <c r="G652" s="21"/>
      <c r="H652" s="21"/>
      <c r="I652" s="511"/>
    </row>
    <row r="653" spans="1:9">
      <c r="A653" s="509"/>
      <c r="B653" s="510"/>
      <c r="C653" s="23"/>
      <c r="D653" s="23"/>
      <c r="E653" s="23"/>
      <c r="F653" s="21"/>
      <c r="G653" s="21"/>
      <c r="H653" s="21"/>
      <c r="I653" s="511"/>
    </row>
    <row r="654" spans="1:9">
      <c r="A654" s="509"/>
      <c r="B654" s="510"/>
      <c r="C654" s="23"/>
      <c r="D654" s="23"/>
      <c r="E654" s="23"/>
      <c r="F654" s="21"/>
      <c r="G654" s="21"/>
      <c r="H654" s="21"/>
      <c r="I654" s="511"/>
    </row>
    <row r="655" spans="1:9">
      <c r="A655" s="509"/>
      <c r="B655" s="510"/>
      <c r="C655" s="23"/>
      <c r="D655" s="23"/>
      <c r="E655" s="23"/>
      <c r="F655" s="21"/>
      <c r="G655" s="21"/>
      <c r="H655" s="21"/>
      <c r="I655" s="511"/>
    </row>
    <row r="656" spans="1:9">
      <c r="A656" s="509"/>
      <c r="B656" s="510"/>
      <c r="C656" s="23"/>
      <c r="D656" s="23"/>
      <c r="E656" s="23"/>
      <c r="F656" s="21"/>
      <c r="G656" s="21"/>
      <c r="H656" s="21"/>
      <c r="I656" s="511"/>
    </row>
    <row r="657" spans="1:9">
      <c r="A657" s="509"/>
      <c r="B657" s="510"/>
      <c r="C657" s="23"/>
      <c r="D657" s="23"/>
      <c r="E657" s="23"/>
      <c r="F657" s="21"/>
      <c r="G657" s="21"/>
      <c r="H657" s="21"/>
      <c r="I657" s="511"/>
    </row>
    <row r="658" spans="1:9">
      <c r="A658" s="509"/>
      <c r="B658" s="510"/>
      <c r="C658" s="23"/>
      <c r="D658" s="23"/>
      <c r="E658" s="23"/>
      <c r="F658" s="21"/>
      <c r="G658" s="21"/>
      <c r="H658" s="21"/>
      <c r="I658" s="511"/>
    </row>
    <row r="659" spans="1:9">
      <c r="A659" s="509"/>
      <c r="B659" s="510"/>
      <c r="C659" s="23"/>
      <c r="D659" s="23"/>
      <c r="E659" s="23"/>
      <c r="F659" s="21"/>
      <c r="G659" s="21"/>
      <c r="H659" s="21"/>
      <c r="I659" s="511"/>
    </row>
    <row r="660" spans="1:9">
      <c r="A660" s="509"/>
      <c r="B660" s="510"/>
      <c r="C660" s="23"/>
      <c r="D660" s="23"/>
      <c r="E660" s="23"/>
      <c r="F660" s="21"/>
      <c r="G660" s="21"/>
      <c r="H660" s="21"/>
      <c r="I660" s="511"/>
    </row>
    <row r="661" spans="1:9">
      <c r="A661" s="509"/>
      <c r="B661" s="510"/>
      <c r="C661" s="23"/>
      <c r="D661" s="23"/>
      <c r="E661" s="23"/>
      <c r="F661" s="21"/>
      <c r="G661" s="21"/>
      <c r="H661" s="21"/>
      <c r="I661" s="511"/>
    </row>
    <row r="662" spans="1:9">
      <c r="A662" s="509"/>
      <c r="B662" s="510"/>
      <c r="C662" s="23"/>
      <c r="D662" s="23"/>
      <c r="E662" s="23"/>
      <c r="F662" s="21"/>
      <c r="G662" s="21"/>
      <c r="H662" s="21"/>
      <c r="I662" s="511"/>
    </row>
    <row r="663" spans="1:9">
      <c r="A663" s="509"/>
      <c r="B663" s="510"/>
      <c r="C663" s="23"/>
      <c r="D663" s="23"/>
      <c r="E663" s="23"/>
      <c r="F663" s="21"/>
      <c r="G663" s="21"/>
      <c r="H663" s="21"/>
      <c r="I663" s="511"/>
    </row>
    <row r="664" spans="1:9">
      <c r="A664" s="509"/>
      <c r="B664" s="510"/>
      <c r="C664" s="23"/>
      <c r="D664" s="23"/>
      <c r="E664" s="23"/>
      <c r="F664" s="21"/>
      <c r="G664" s="21"/>
      <c r="H664" s="21"/>
      <c r="I664" s="511"/>
    </row>
    <row r="665" spans="1:9">
      <c r="A665" s="509"/>
      <c r="B665" s="510"/>
      <c r="C665" s="23"/>
      <c r="D665" s="23"/>
      <c r="E665" s="23"/>
      <c r="F665" s="21"/>
      <c r="G665" s="21"/>
      <c r="H665" s="21"/>
      <c r="I665" s="511"/>
    </row>
    <row r="666" spans="1:9">
      <c r="A666" s="509"/>
      <c r="B666" s="510"/>
      <c r="C666" s="23"/>
      <c r="D666" s="23"/>
      <c r="E666" s="23"/>
      <c r="F666" s="21"/>
      <c r="G666" s="21"/>
      <c r="H666" s="21"/>
      <c r="I666" s="511"/>
    </row>
    <row r="667" spans="1:9">
      <c r="A667" s="509"/>
      <c r="B667" s="510"/>
      <c r="C667" s="23"/>
      <c r="D667" s="23"/>
      <c r="E667" s="23"/>
      <c r="F667" s="21"/>
      <c r="G667" s="21"/>
      <c r="H667" s="21"/>
      <c r="I667" s="511"/>
    </row>
    <row r="668" spans="1:9">
      <c r="A668" s="509"/>
      <c r="B668" s="510"/>
      <c r="C668" s="23"/>
      <c r="D668" s="23"/>
      <c r="E668" s="23"/>
      <c r="F668" s="21"/>
      <c r="G668" s="21"/>
      <c r="H668" s="21"/>
      <c r="I668" s="511"/>
    </row>
    <row r="669" spans="1:9">
      <c r="A669" s="509"/>
      <c r="B669" s="510"/>
      <c r="C669" s="23"/>
      <c r="D669" s="23"/>
      <c r="E669" s="23"/>
      <c r="F669" s="21"/>
      <c r="G669" s="21"/>
      <c r="H669" s="21"/>
      <c r="I669" s="511"/>
    </row>
    <row r="670" spans="1:9">
      <c r="A670" s="509"/>
      <c r="B670" s="510"/>
      <c r="C670" s="23"/>
      <c r="D670" s="23"/>
      <c r="E670" s="23"/>
      <c r="F670" s="21"/>
      <c r="G670" s="21"/>
      <c r="H670" s="21"/>
      <c r="I670" s="511"/>
    </row>
    <row r="671" spans="1:9">
      <c r="A671" s="509"/>
      <c r="B671" s="510"/>
      <c r="C671" s="23"/>
      <c r="D671" s="23"/>
      <c r="E671" s="23"/>
      <c r="F671" s="21"/>
      <c r="G671" s="21"/>
      <c r="H671" s="21"/>
      <c r="I671" s="511"/>
    </row>
    <row r="672" spans="1:9">
      <c r="A672" s="509"/>
      <c r="B672" s="510"/>
      <c r="C672" s="23"/>
      <c r="D672" s="23"/>
      <c r="E672" s="23"/>
      <c r="F672" s="21"/>
      <c r="G672" s="21"/>
      <c r="H672" s="21"/>
      <c r="I672" s="511"/>
    </row>
    <row r="673" spans="1:9">
      <c r="A673" s="509"/>
      <c r="B673" s="510"/>
      <c r="C673" s="23"/>
      <c r="D673" s="23"/>
      <c r="E673" s="23"/>
      <c r="F673" s="21"/>
      <c r="G673" s="21"/>
      <c r="H673" s="21"/>
      <c r="I673" s="511"/>
    </row>
    <row r="674" spans="1:9">
      <c r="A674" s="509"/>
      <c r="B674" s="510"/>
      <c r="C674" s="23"/>
      <c r="D674" s="23"/>
      <c r="E674" s="23"/>
      <c r="F674" s="21"/>
      <c r="G674" s="21"/>
      <c r="H674" s="21"/>
      <c r="I674" s="511"/>
    </row>
    <row r="675" spans="1:9">
      <c r="A675" s="509"/>
      <c r="B675" s="510"/>
      <c r="C675" s="23"/>
      <c r="D675" s="23"/>
      <c r="E675" s="23"/>
      <c r="F675" s="21"/>
      <c r="G675" s="21"/>
      <c r="H675" s="21"/>
      <c r="I675" s="511"/>
    </row>
    <row r="676" spans="1:9">
      <c r="A676" s="509"/>
      <c r="B676" s="510"/>
      <c r="C676" s="23"/>
      <c r="D676" s="23"/>
      <c r="E676" s="23"/>
      <c r="F676" s="21"/>
      <c r="G676" s="21"/>
      <c r="H676" s="21"/>
      <c r="I676" s="511"/>
    </row>
    <row r="677" spans="1:9">
      <c r="A677" s="509"/>
      <c r="B677" s="510"/>
      <c r="C677" s="23"/>
      <c r="D677" s="23"/>
      <c r="E677" s="23"/>
      <c r="F677" s="21"/>
      <c r="G677" s="21"/>
      <c r="H677" s="21"/>
      <c r="I677" s="511"/>
    </row>
    <row r="678" spans="1:9">
      <c r="A678" s="509"/>
      <c r="B678" s="510"/>
      <c r="C678" s="23"/>
      <c r="D678" s="23"/>
      <c r="E678" s="23"/>
      <c r="F678" s="21"/>
      <c r="G678" s="21"/>
      <c r="H678" s="21"/>
      <c r="I678" s="511"/>
    </row>
    <row r="679" spans="1:9">
      <c r="A679" s="509"/>
      <c r="B679" s="510"/>
      <c r="C679" s="23"/>
      <c r="D679" s="23"/>
      <c r="E679" s="23"/>
      <c r="F679" s="21"/>
      <c r="G679" s="21"/>
      <c r="H679" s="21"/>
      <c r="I679" s="511"/>
    </row>
    <row r="680" spans="1:9">
      <c r="A680" s="509"/>
      <c r="B680" s="510"/>
      <c r="C680" s="23"/>
      <c r="D680" s="23"/>
      <c r="E680" s="23"/>
      <c r="F680" s="21"/>
      <c r="G680" s="21"/>
      <c r="H680" s="21"/>
      <c r="I680" s="511"/>
    </row>
    <row r="681" spans="1:9">
      <c r="A681" s="509"/>
      <c r="B681" s="510"/>
      <c r="C681" s="23"/>
      <c r="D681" s="23"/>
      <c r="E681" s="23"/>
      <c r="F681" s="21"/>
      <c r="G681" s="21"/>
      <c r="H681" s="21"/>
      <c r="I681" s="511"/>
    </row>
    <row r="682" spans="1:9">
      <c r="A682" s="509"/>
      <c r="B682" s="510"/>
      <c r="C682" s="23"/>
      <c r="D682" s="23"/>
      <c r="E682" s="23"/>
      <c r="F682" s="21"/>
      <c r="G682" s="21"/>
      <c r="H682" s="21"/>
      <c r="I682" s="511"/>
    </row>
    <row r="683" spans="1:9">
      <c r="A683" s="509"/>
      <c r="B683" s="510"/>
      <c r="C683" s="23"/>
      <c r="D683" s="23"/>
      <c r="E683" s="23"/>
      <c r="F683" s="21"/>
      <c r="G683" s="21"/>
      <c r="H683" s="21"/>
      <c r="I683" s="511"/>
    </row>
    <row r="684" spans="1:9">
      <c r="A684" s="509"/>
      <c r="B684" s="510"/>
      <c r="C684" s="23"/>
      <c r="D684" s="23"/>
      <c r="E684" s="23"/>
      <c r="F684" s="21"/>
      <c r="G684" s="21"/>
      <c r="H684" s="21"/>
      <c r="I684" s="511"/>
    </row>
    <row r="685" spans="1:9">
      <c r="A685" s="509"/>
      <c r="B685" s="510"/>
      <c r="C685" s="23"/>
      <c r="D685" s="23"/>
      <c r="E685" s="23"/>
      <c r="F685" s="21"/>
      <c r="G685" s="21"/>
      <c r="H685" s="21"/>
      <c r="I685" s="511"/>
    </row>
    <row r="686" spans="1:9">
      <c r="A686" s="509"/>
      <c r="B686" s="510"/>
      <c r="C686" s="23"/>
      <c r="D686" s="23"/>
      <c r="E686" s="23"/>
      <c r="F686" s="21"/>
      <c r="G686" s="21"/>
      <c r="H686" s="21"/>
      <c r="I686" s="511"/>
    </row>
    <row r="687" spans="1:9">
      <c r="A687" s="509"/>
      <c r="B687" s="510"/>
      <c r="C687" s="23"/>
      <c r="D687" s="23"/>
      <c r="E687" s="23"/>
      <c r="F687" s="21"/>
      <c r="G687" s="21"/>
      <c r="H687" s="21"/>
      <c r="I687" s="511"/>
    </row>
    <row r="688" spans="1:9">
      <c r="A688" s="509"/>
      <c r="B688" s="510"/>
      <c r="C688" s="23"/>
      <c r="D688" s="23"/>
      <c r="E688" s="23"/>
      <c r="F688" s="21"/>
      <c r="G688" s="21"/>
      <c r="H688" s="21"/>
      <c r="I688" s="511"/>
    </row>
    <row r="689" spans="1:9">
      <c r="A689" s="509"/>
      <c r="B689" s="510"/>
      <c r="C689" s="23"/>
      <c r="D689" s="23"/>
      <c r="E689" s="23"/>
      <c r="F689" s="21"/>
      <c r="G689" s="21"/>
      <c r="H689" s="21"/>
      <c r="I689" s="511"/>
    </row>
    <row r="690" spans="1:9">
      <c r="A690" s="509"/>
      <c r="B690" s="510"/>
      <c r="C690" s="23"/>
      <c r="D690" s="23"/>
      <c r="E690" s="23"/>
      <c r="F690" s="21"/>
      <c r="G690" s="21"/>
      <c r="H690" s="21"/>
      <c r="I690" s="511"/>
    </row>
    <row r="691" spans="1:9">
      <c r="A691" s="509"/>
      <c r="B691" s="510"/>
      <c r="C691" s="23"/>
      <c r="D691" s="23"/>
      <c r="E691" s="23"/>
      <c r="F691" s="21"/>
      <c r="G691" s="21"/>
      <c r="H691" s="21"/>
      <c r="I691" s="511"/>
    </row>
    <row r="692" spans="1:9">
      <c r="A692" s="509"/>
      <c r="B692" s="510"/>
      <c r="C692" s="23"/>
      <c r="D692" s="23"/>
      <c r="E692" s="23"/>
      <c r="F692" s="21"/>
      <c r="G692" s="21"/>
      <c r="H692" s="21"/>
      <c r="I692" s="511"/>
    </row>
    <row r="693" spans="1:9">
      <c r="A693" s="509"/>
      <c r="B693" s="510"/>
      <c r="C693" s="23"/>
      <c r="D693" s="23"/>
      <c r="E693" s="23"/>
      <c r="F693" s="21"/>
      <c r="G693" s="21"/>
      <c r="H693" s="21"/>
      <c r="I693" s="511"/>
    </row>
    <row r="694" spans="1:9">
      <c r="A694" s="509"/>
      <c r="B694" s="510"/>
      <c r="C694" s="23"/>
      <c r="D694" s="23"/>
      <c r="E694" s="23"/>
      <c r="F694" s="21"/>
      <c r="G694" s="21"/>
      <c r="H694" s="21"/>
      <c r="I694" s="511"/>
    </row>
    <row r="695" spans="1:9">
      <c r="A695" s="509"/>
      <c r="B695" s="510"/>
      <c r="C695" s="23"/>
      <c r="D695" s="23"/>
      <c r="E695" s="23"/>
      <c r="F695" s="21"/>
      <c r="G695" s="21"/>
      <c r="H695" s="21"/>
      <c r="I695" s="511"/>
    </row>
    <row r="696" spans="1:9">
      <c r="A696" s="509"/>
      <c r="B696" s="510"/>
      <c r="C696" s="23"/>
      <c r="D696" s="23"/>
      <c r="E696" s="23"/>
      <c r="F696" s="21"/>
      <c r="G696" s="21"/>
      <c r="H696" s="21"/>
      <c r="I696" s="511"/>
    </row>
    <row r="697" spans="1:9">
      <c r="A697" s="509"/>
      <c r="B697" s="510"/>
      <c r="C697" s="23"/>
      <c r="D697" s="23"/>
      <c r="E697" s="23"/>
      <c r="F697" s="21"/>
      <c r="G697" s="21"/>
      <c r="H697" s="21"/>
      <c r="I697" s="511"/>
    </row>
    <row r="698" spans="1:9">
      <c r="A698" s="509"/>
      <c r="B698" s="510"/>
      <c r="C698" s="23"/>
      <c r="D698" s="23"/>
      <c r="E698" s="23"/>
      <c r="F698" s="21"/>
      <c r="G698" s="21"/>
      <c r="H698" s="21"/>
      <c r="I698" s="511"/>
    </row>
    <row r="699" spans="1:9">
      <c r="A699" s="509"/>
      <c r="B699" s="510"/>
      <c r="C699" s="23"/>
      <c r="D699" s="23"/>
      <c r="E699" s="23"/>
      <c r="F699" s="21"/>
      <c r="G699" s="21"/>
      <c r="H699" s="21"/>
      <c r="I699" s="511"/>
    </row>
    <row r="700" spans="1:9">
      <c r="A700" s="509"/>
      <c r="B700" s="510"/>
      <c r="C700" s="23"/>
      <c r="D700" s="23"/>
      <c r="E700" s="23"/>
      <c r="F700" s="21"/>
      <c r="G700" s="21"/>
      <c r="H700" s="21"/>
      <c r="I700" s="511"/>
    </row>
    <row r="701" spans="1:9">
      <c r="A701" s="509"/>
      <c r="B701" s="510"/>
      <c r="C701" s="23"/>
      <c r="D701" s="23"/>
      <c r="E701" s="23"/>
      <c r="F701" s="21"/>
      <c r="G701" s="21"/>
      <c r="H701" s="21"/>
      <c r="I701" s="511"/>
    </row>
    <row r="702" spans="1:9">
      <c r="A702" s="509"/>
      <c r="B702" s="510"/>
      <c r="C702" s="23"/>
      <c r="D702" s="23"/>
      <c r="E702" s="23"/>
      <c r="F702" s="21"/>
      <c r="G702" s="21"/>
      <c r="H702" s="21"/>
      <c r="I702" s="511"/>
    </row>
    <row r="703" spans="1:9">
      <c r="A703" s="509"/>
      <c r="B703" s="510"/>
      <c r="C703" s="23"/>
      <c r="D703" s="23"/>
      <c r="E703" s="23"/>
      <c r="F703" s="21"/>
      <c r="G703" s="21"/>
      <c r="H703" s="21"/>
      <c r="I703" s="511"/>
    </row>
    <row r="704" spans="1:9">
      <c r="A704" s="509"/>
      <c r="B704" s="510"/>
      <c r="C704" s="23"/>
      <c r="D704" s="23"/>
      <c r="E704" s="23"/>
      <c r="F704" s="21"/>
      <c r="G704" s="21"/>
      <c r="H704" s="21"/>
      <c r="I704" s="511"/>
    </row>
    <row r="705" spans="1:9">
      <c r="A705" s="509"/>
      <c r="B705" s="510"/>
      <c r="C705" s="23"/>
      <c r="D705" s="23"/>
      <c r="E705" s="23"/>
      <c r="F705" s="21"/>
      <c r="G705" s="21"/>
      <c r="H705" s="21"/>
      <c r="I705" s="511"/>
    </row>
    <row r="706" spans="1:9">
      <c r="A706" s="509"/>
      <c r="B706" s="510"/>
      <c r="C706" s="23"/>
      <c r="D706" s="23"/>
      <c r="E706" s="23"/>
      <c r="F706" s="21"/>
      <c r="G706" s="21"/>
      <c r="H706" s="21"/>
      <c r="I706" s="511"/>
    </row>
    <row r="707" spans="1:9">
      <c r="A707" s="509"/>
      <c r="B707" s="510"/>
      <c r="C707" s="23"/>
      <c r="D707" s="23"/>
      <c r="E707" s="23"/>
      <c r="F707" s="21"/>
      <c r="G707" s="21"/>
      <c r="H707" s="21"/>
      <c r="I707" s="511"/>
    </row>
    <row r="708" spans="1:9">
      <c r="A708" s="509"/>
      <c r="B708" s="510"/>
      <c r="C708" s="23"/>
      <c r="D708" s="23"/>
      <c r="E708" s="23"/>
      <c r="F708" s="21"/>
      <c r="G708" s="21"/>
      <c r="H708" s="21"/>
      <c r="I708" s="511"/>
    </row>
    <row r="709" spans="1:9">
      <c r="A709" s="509"/>
      <c r="B709" s="510"/>
      <c r="C709" s="23"/>
      <c r="D709" s="23"/>
      <c r="E709" s="23"/>
      <c r="F709" s="21"/>
      <c r="G709" s="21"/>
      <c r="H709" s="21"/>
      <c r="I709" s="511"/>
    </row>
    <row r="710" spans="1:9">
      <c r="A710" s="509"/>
      <c r="B710" s="510"/>
      <c r="C710" s="23"/>
      <c r="D710" s="23"/>
      <c r="E710" s="23"/>
      <c r="F710" s="21"/>
      <c r="G710" s="21"/>
      <c r="H710" s="21"/>
      <c r="I710" s="511"/>
    </row>
    <row r="711" spans="1:9">
      <c r="A711" s="509"/>
      <c r="B711" s="510"/>
      <c r="C711" s="23"/>
      <c r="D711" s="23"/>
      <c r="E711" s="23"/>
      <c r="F711" s="21"/>
      <c r="G711" s="21"/>
      <c r="H711" s="21"/>
      <c r="I711" s="511"/>
    </row>
    <row r="712" spans="1:9">
      <c r="A712" s="509"/>
      <c r="B712" s="510"/>
      <c r="C712" s="23"/>
      <c r="D712" s="23"/>
      <c r="E712" s="23"/>
      <c r="F712" s="21"/>
      <c r="G712" s="21"/>
      <c r="H712" s="21"/>
      <c r="I712" s="511"/>
    </row>
    <row r="713" spans="1:9">
      <c r="A713" s="509"/>
      <c r="B713" s="510"/>
      <c r="C713" s="23"/>
      <c r="D713" s="23"/>
      <c r="E713" s="23"/>
      <c r="F713" s="21"/>
      <c r="G713" s="21"/>
      <c r="H713" s="21"/>
      <c r="I713" s="511"/>
    </row>
    <row r="714" spans="1:9">
      <c r="A714" s="509"/>
      <c r="B714" s="510"/>
      <c r="C714" s="23"/>
      <c r="D714" s="23"/>
      <c r="E714" s="23"/>
      <c r="F714" s="21"/>
      <c r="G714" s="21"/>
      <c r="H714" s="21"/>
      <c r="I714" s="511"/>
    </row>
    <row r="715" spans="1:9">
      <c r="A715" s="509"/>
      <c r="B715" s="510"/>
      <c r="C715" s="23"/>
      <c r="D715" s="23"/>
      <c r="E715" s="23"/>
      <c r="F715" s="21"/>
      <c r="G715" s="21"/>
      <c r="H715" s="21"/>
      <c r="I715" s="511"/>
    </row>
    <row r="716" spans="1:9">
      <c r="A716" s="509"/>
      <c r="B716" s="510"/>
      <c r="C716" s="23"/>
      <c r="D716" s="23"/>
      <c r="E716" s="23"/>
      <c r="F716" s="21"/>
      <c r="G716" s="21"/>
      <c r="H716" s="21"/>
      <c r="I716" s="511"/>
    </row>
    <row r="717" spans="1:9">
      <c r="A717" s="509"/>
      <c r="B717" s="510"/>
      <c r="C717" s="23"/>
      <c r="D717" s="23"/>
      <c r="E717" s="23"/>
      <c r="F717" s="21"/>
      <c r="G717" s="21"/>
      <c r="H717" s="21"/>
      <c r="I717" s="511"/>
    </row>
    <row r="718" spans="1:9">
      <c r="A718" s="509"/>
      <c r="B718" s="510"/>
      <c r="C718" s="23"/>
      <c r="D718" s="23"/>
      <c r="E718" s="23"/>
      <c r="F718" s="21"/>
      <c r="G718" s="21"/>
      <c r="H718" s="21"/>
      <c r="I718" s="511"/>
    </row>
    <row r="719" spans="1:9">
      <c r="A719" s="509"/>
      <c r="B719" s="510"/>
      <c r="C719" s="23"/>
      <c r="D719" s="23"/>
      <c r="E719" s="23"/>
      <c r="F719" s="21"/>
      <c r="G719" s="21"/>
      <c r="H719" s="21"/>
      <c r="I719" s="511"/>
    </row>
    <row r="720" spans="1:9">
      <c r="A720" s="509"/>
      <c r="B720" s="510"/>
      <c r="C720" s="23"/>
      <c r="D720" s="23"/>
      <c r="E720" s="23"/>
      <c r="F720" s="21"/>
      <c r="G720" s="21"/>
      <c r="H720" s="21"/>
      <c r="I720" s="511"/>
    </row>
    <row r="721" spans="1:9">
      <c r="A721" s="509"/>
      <c r="B721" s="510"/>
      <c r="C721" s="23"/>
      <c r="D721" s="23"/>
      <c r="E721" s="23"/>
      <c r="F721" s="21"/>
      <c r="G721" s="21"/>
      <c r="H721" s="21"/>
      <c r="I721" s="511"/>
    </row>
    <row r="722" spans="1:9">
      <c r="A722" s="509"/>
      <c r="B722" s="510"/>
      <c r="C722" s="23"/>
      <c r="D722" s="23"/>
      <c r="E722" s="23"/>
      <c r="F722" s="21"/>
      <c r="G722" s="21"/>
      <c r="H722" s="21"/>
      <c r="I722" s="511"/>
    </row>
    <row r="723" spans="1:9">
      <c r="A723" s="509"/>
      <c r="B723" s="510"/>
      <c r="C723" s="23"/>
      <c r="D723" s="23"/>
      <c r="E723" s="23"/>
      <c r="F723" s="21"/>
      <c r="G723" s="21"/>
      <c r="H723" s="21"/>
      <c r="I723" s="511"/>
    </row>
    <row r="724" spans="1:9">
      <c r="A724" s="509"/>
      <c r="B724" s="510"/>
      <c r="C724" s="23"/>
      <c r="D724" s="23"/>
      <c r="E724" s="23"/>
      <c r="F724" s="21"/>
      <c r="G724" s="21"/>
      <c r="H724" s="21"/>
      <c r="I724" s="511"/>
    </row>
    <row r="725" spans="1:9">
      <c r="A725" s="509"/>
      <c r="B725" s="510"/>
      <c r="C725" s="23"/>
      <c r="D725" s="23"/>
      <c r="E725" s="23"/>
      <c r="F725" s="21"/>
      <c r="G725" s="21"/>
      <c r="H725" s="21"/>
      <c r="I725" s="511"/>
    </row>
    <row r="726" spans="1:9">
      <c r="A726" s="509"/>
      <c r="B726" s="510"/>
      <c r="C726" s="23"/>
      <c r="D726" s="23"/>
      <c r="E726" s="23"/>
      <c r="F726" s="21"/>
      <c r="G726" s="21"/>
      <c r="H726" s="21"/>
      <c r="I726" s="511"/>
    </row>
    <row r="727" spans="1:9">
      <c r="A727" s="509"/>
      <c r="B727" s="510"/>
      <c r="C727" s="23"/>
      <c r="D727" s="23"/>
      <c r="E727" s="23"/>
      <c r="F727" s="21"/>
      <c r="G727" s="21"/>
      <c r="H727" s="21"/>
      <c r="I727" s="511"/>
    </row>
    <row r="728" spans="1:9">
      <c r="A728" s="509"/>
      <c r="B728" s="510"/>
      <c r="C728" s="23"/>
      <c r="D728" s="23"/>
      <c r="E728" s="23"/>
      <c r="F728" s="21"/>
      <c r="G728" s="21"/>
      <c r="H728" s="21"/>
      <c r="I728" s="511"/>
    </row>
    <row r="729" spans="1:9">
      <c r="A729" s="509"/>
      <c r="B729" s="510"/>
      <c r="C729" s="23"/>
      <c r="D729" s="23"/>
      <c r="E729" s="23"/>
      <c r="F729" s="21"/>
      <c r="G729" s="21"/>
      <c r="H729" s="21"/>
      <c r="I729" s="511"/>
    </row>
    <row r="730" spans="1:9">
      <c r="A730" s="509"/>
      <c r="B730" s="510"/>
      <c r="C730" s="23"/>
      <c r="D730" s="23"/>
      <c r="E730" s="23"/>
      <c r="F730" s="21"/>
      <c r="G730" s="21"/>
      <c r="H730" s="21"/>
      <c r="I730" s="511"/>
    </row>
    <row r="731" spans="1:9">
      <c r="A731" s="509"/>
      <c r="B731" s="510"/>
      <c r="C731" s="23"/>
      <c r="D731" s="23"/>
      <c r="E731" s="23"/>
      <c r="F731" s="21"/>
      <c r="G731" s="21"/>
      <c r="H731" s="21"/>
      <c r="I731" s="511"/>
    </row>
    <row r="732" spans="1:9">
      <c r="A732" s="509"/>
      <c r="B732" s="510"/>
      <c r="C732" s="23"/>
      <c r="D732" s="23"/>
      <c r="E732" s="23"/>
      <c r="F732" s="21"/>
      <c r="G732" s="21"/>
      <c r="H732" s="21"/>
      <c r="I732" s="511"/>
    </row>
    <row r="733" spans="1:9">
      <c r="A733" s="509"/>
      <c r="B733" s="510"/>
      <c r="C733" s="23"/>
      <c r="D733" s="23"/>
      <c r="E733" s="23"/>
      <c r="F733" s="21"/>
      <c r="G733" s="21"/>
      <c r="H733" s="21"/>
      <c r="I733" s="511"/>
    </row>
    <row r="734" spans="1:9">
      <c r="A734" s="509"/>
      <c r="B734" s="510"/>
      <c r="C734" s="23"/>
      <c r="D734" s="23"/>
      <c r="E734" s="23"/>
      <c r="F734" s="21"/>
      <c r="G734" s="21"/>
      <c r="H734" s="21"/>
      <c r="I734" s="511"/>
    </row>
    <row r="735" spans="1:9">
      <c r="A735" s="509"/>
      <c r="B735" s="510"/>
      <c r="C735" s="23"/>
      <c r="D735" s="23"/>
      <c r="E735" s="23"/>
      <c r="F735" s="21"/>
      <c r="G735" s="21"/>
      <c r="H735" s="21"/>
      <c r="I735" s="511"/>
    </row>
    <row r="736" spans="1:9">
      <c r="A736" s="509"/>
      <c r="B736" s="510"/>
      <c r="C736" s="23"/>
      <c r="D736" s="23"/>
      <c r="E736" s="23"/>
      <c r="F736" s="21"/>
      <c r="G736" s="21"/>
      <c r="H736" s="21"/>
      <c r="I736" s="511"/>
    </row>
    <row r="737" spans="1:9">
      <c r="A737" s="509"/>
      <c r="B737" s="510"/>
      <c r="C737" s="23"/>
      <c r="D737" s="23"/>
      <c r="E737" s="23"/>
      <c r="F737" s="21"/>
      <c r="G737" s="21"/>
      <c r="H737" s="21"/>
      <c r="I737" s="511"/>
    </row>
    <row r="738" spans="1:9">
      <c r="A738" s="509"/>
      <c r="B738" s="510"/>
      <c r="C738" s="23"/>
      <c r="D738" s="23"/>
      <c r="E738" s="23"/>
      <c r="F738" s="21"/>
      <c r="G738" s="21"/>
      <c r="H738" s="21"/>
      <c r="I738" s="511"/>
    </row>
    <row r="739" spans="1:9">
      <c r="A739" s="509"/>
      <c r="B739" s="510"/>
      <c r="C739" s="23"/>
      <c r="D739" s="23"/>
      <c r="E739" s="23"/>
      <c r="F739" s="21"/>
      <c r="G739" s="21"/>
      <c r="H739" s="21"/>
      <c r="I739" s="511"/>
    </row>
    <row r="740" spans="1:9">
      <c r="A740" s="509"/>
      <c r="B740" s="510"/>
      <c r="C740" s="23"/>
      <c r="D740" s="23"/>
      <c r="E740" s="23"/>
      <c r="F740" s="21"/>
      <c r="G740" s="21"/>
      <c r="H740" s="21"/>
      <c r="I740" s="511"/>
    </row>
    <row r="741" spans="1:9">
      <c r="A741" s="509"/>
      <c r="B741" s="510"/>
      <c r="C741" s="23"/>
      <c r="D741" s="23"/>
      <c r="E741" s="23"/>
      <c r="F741" s="21"/>
      <c r="G741" s="21"/>
      <c r="H741" s="21"/>
      <c r="I741" s="511"/>
    </row>
    <row r="742" spans="1:9">
      <c r="A742" s="509"/>
      <c r="B742" s="510"/>
      <c r="C742" s="23"/>
      <c r="D742" s="23"/>
      <c r="E742" s="23"/>
      <c r="F742" s="21"/>
      <c r="G742" s="21"/>
      <c r="H742" s="21"/>
      <c r="I742" s="511"/>
    </row>
    <row r="743" spans="1:9">
      <c r="A743" s="509"/>
      <c r="B743" s="510"/>
      <c r="C743" s="23"/>
      <c r="D743" s="23"/>
      <c r="E743" s="23"/>
      <c r="F743" s="21"/>
      <c r="G743" s="21"/>
      <c r="H743" s="21"/>
      <c r="I743" s="511"/>
    </row>
    <row r="744" spans="1:9">
      <c r="A744" s="509"/>
      <c r="B744" s="510"/>
      <c r="C744" s="23"/>
      <c r="D744" s="23"/>
      <c r="E744" s="23"/>
      <c r="F744" s="21"/>
      <c r="G744" s="21"/>
      <c r="H744" s="21"/>
      <c r="I744" s="511"/>
    </row>
    <row r="745" spans="1:9">
      <c r="A745" s="509"/>
      <c r="B745" s="510"/>
      <c r="C745" s="23"/>
      <c r="D745" s="23"/>
      <c r="E745" s="23"/>
      <c r="F745" s="21"/>
      <c r="G745" s="21"/>
      <c r="H745" s="21"/>
      <c r="I745" s="511"/>
    </row>
    <row r="746" spans="1:9">
      <c r="A746" s="509"/>
      <c r="B746" s="510"/>
      <c r="C746" s="23"/>
      <c r="D746" s="23"/>
      <c r="E746" s="23"/>
      <c r="F746" s="21"/>
      <c r="G746" s="21"/>
      <c r="H746" s="21"/>
      <c r="I746" s="511"/>
    </row>
    <row r="747" spans="1:9">
      <c r="A747" s="509"/>
      <c r="B747" s="510"/>
      <c r="C747" s="23"/>
      <c r="D747" s="23"/>
      <c r="E747" s="23"/>
      <c r="F747" s="21"/>
      <c r="G747" s="21"/>
      <c r="H747" s="21"/>
      <c r="I747" s="511"/>
    </row>
    <row r="748" spans="1:9">
      <c r="A748" s="509"/>
      <c r="B748" s="510"/>
      <c r="C748" s="23"/>
      <c r="D748" s="23"/>
      <c r="E748" s="23"/>
      <c r="F748" s="21"/>
      <c r="G748" s="21"/>
      <c r="H748" s="21"/>
      <c r="I748" s="511"/>
    </row>
    <row r="749" spans="1:9">
      <c r="A749" s="509"/>
      <c r="B749" s="510"/>
      <c r="C749" s="23"/>
      <c r="D749" s="23"/>
      <c r="E749" s="23"/>
      <c r="F749" s="21"/>
      <c r="G749" s="21"/>
      <c r="H749" s="21"/>
      <c r="I749" s="511"/>
    </row>
    <row r="750" spans="1:9">
      <c r="A750" s="509"/>
      <c r="B750" s="510"/>
      <c r="C750" s="23"/>
      <c r="D750" s="23"/>
      <c r="E750" s="23"/>
      <c r="F750" s="21"/>
      <c r="G750" s="21"/>
      <c r="H750" s="21"/>
      <c r="I750" s="511"/>
    </row>
    <row r="751" spans="1:9">
      <c r="A751" s="509"/>
      <c r="B751" s="510"/>
      <c r="C751" s="23"/>
      <c r="D751" s="23"/>
      <c r="E751" s="23"/>
      <c r="F751" s="21"/>
      <c r="G751" s="21"/>
      <c r="H751" s="21"/>
      <c r="I751" s="511"/>
    </row>
    <row r="752" spans="1:9">
      <c r="A752" s="509"/>
      <c r="B752" s="510"/>
      <c r="C752" s="23"/>
      <c r="D752" s="23"/>
      <c r="E752" s="23"/>
      <c r="F752" s="21"/>
      <c r="G752" s="21"/>
      <c r="H752" s="21"/>
      <c r="I752" s="511"/>
    </row>
    <row r="753" spans="1:9">
      <c r="A753" s="509"/>
      <c r="B753" s="510"/>
      <c r="C753" s="23"/>
      <c r="D753" s="23"/>
      <c r="E753" s="23"/>
      <c r="F753" s="21"/>
      <c r="G753" s="21"/>
      <c r="H753" s="21"/>
      <c r="I753" s="511"/>
    </row>
    <row r="754" spans="1:9">
      <c r="A754" s="509"/>
      <c r="B754" s="510"/>
      <c r="C754" s="23"/>
      <c r="D754" s="23"/>
      <c r="E754" s="23"/>
      <c r="F754" s="21"/>
      <c r="G754" s="21"/>
      <c r="H754" s="21"/>
      <c r="I754" s="511"/>
    </row>
    <row r="755" spans="1:9">
      <c r="A755" s="509"/>
      <c r="B755" s="510"/>
      <c r="C755" s="23"/>
      <c r="D755" s="23"/>
      <c r="E755" s="23"/>
      <c r="F755" s="21"/>
      <c r="G755" s="21"/>
      <c r="H755" s="21"/>
      <c r="I755" s="511"/>
    </row>
    <row r="756" spans="1:9">
      <c r="A756" s="509"/>
      <c r="B756" s="510"/>
      <c r="C756" s="23"/>
      <c r="D756" s="23"/>
      <c r="E756" s="23"/>
      <c r="F756" s="21"/>
      <c r="G756" s="21"/>
      <c r="H756" s="21"/>
      <c r="I756" s="511"/>
    </row>
    <row r="757" spans="1:9">
      <c r="A757" s="509"/>
      <c r="B757" s="510"/>
      <c r="C757" s="23"/>
      <c r="D757" s="23"/>
      <c r="E757" s="23"/>
      <c r="F757" s="21"/>
      <c r="G757" s="21"/>
      <c r="H757" s="21"/>
      <c r="I757" s="511"/>
    </row>
    <row r="758" spans="1:9">
      <c r="A758" s="509"/>
      <c r="B758" s="510"/>
      <c r="C758" s="23"/>
      <c r="D758" s="23"/>
      <c r="E758" s="23"/>
      <c r="F758" s="21"/>
      <c r="G758" s="21"/>
      <c r="H758" s="21"/>
      <c r="I758" s="511"/>
    </row>
    <row r="759" spans="1:9">
      <c r="A759" s="509"/>
      <c r="B759" s="510"/>
      <c r="C759" s="23"/>
      <c r="D759" s="23"/>
      <c r="E759" s="23"/>
      <c r="F759" s="21"/>
      <c r="G759" s="21"/>
      <c r="H759" s="21"/>
      <c r="I759" s="511"/>
    </row>
    <row r="760" spans="1:9">
      <c r="A760" s="509"/>
      <c r="B760" s="510"/>
      <c r="C760" s="23"/>
      <c r="D760" s="23"/>
      <c r="E760" s="23"/>
      <c r="F760" s="21"/>
      <c r="G760" s="21"/>
      <c r="H760" s="21"/>
      <c r="I760" s="511"/>
    </row>
    <row r="761" spans="1:9">
      <c r="A761" s="509"/>
      <c r="B761" s="510"/>
      <c r="C761" s="23"/>
      <c r="D761" s="23"/>
      <c r="E761" s="23"/>
      <c r="F761" s="21"/>
      <c r="G761" s="21"/>
      <c r="H761" s="21"/>
      <c r="I761" s="511"/>
    </row>
    <row r="762" spans="1:9">
      <c r="A762" s="509"/>
      <c r="B762" s="510"/>
      <c r="C762" s="23"/>
      <c r="D762" s="23"/>
      <c r="E762" s="23"/>
      <c r="F762" s="21"/>
      <c r="G762" s="21"/>
      <c r="H762" s="21"/>
      <c r="I762" s="511"/>
    </row>
    <row r="763" spans="1:9">
      <c r="A763" s="509"/>
      <c r="B763" s="510"/>
      <c r="C763" s="23"/>
      <c r="D763" s="23"/>
      <c r="E763" s="23"/>
      <c r="F763" s="21"/>
      <c r="G763" s="21"/>
      <c r="H763" s="21"/>
      <c r="I763" s="511"/>
    </row>
    <row r="764" spans="1:9">
      <c r="A764" s="509"/>
      <c r="B764" s="510"/>
      <c r="C764" s="23"/>
      <c r="D764" s="23"/>
      <c r="E764" s="23"/>
      <c r="F764" s="21"/>
      <c r="G764" s="21"/>
      <c r="H764" s="21"/>
      <c r="I764" s="511"/>
    </row>
    <row r="765" spans="1:9">
      <c r="A765" s="509"/>
      <c r="B765" s="510"/>
      <c r="C765" s="23"/>
      <c r="D765" s="23"/>
      <c r="E765" s="23"/>
      <c r="F765" s="21"/>
      <c r="G765" s="21"/>
      <c r="H765" s="21"/>
      <c r="I765" s="511"/>
    </row>
    <row r="766" spans="1:9">
      <c r="A766" s="509"/>
      <c r="B766" s="510"/>
      <c r="C766" s="23"/>
      <c r="D766" s="23"/>
      <c r="E766" s="23"/>
      <c r="F766" s="21"/>
      <c r="G766" s="21"/>
      <c r="H766" s="21"/>
      <c r="I766" s="511"/>
    </row>
    <row r="767" spans="1:9">
      <c r="A767" s="509"/>
      <c r="B767" s="510"/>
      <c r="C767" s="23"/>
      <c r="D767" s="23"/>
      <c r="E767" s="23"/>
      <c r="F767" s="21"/>
      <c r="G767" s="21"/>
      <c r="H767" s="21"/>
      <c r="I767" s="511"/>
    </row>
    <row r="768" spans="1:9">
      <c r="A768" s="509"/>
      <c r="B768" s="510"/>
      <c r="C768" s="23"/>
      <c r="D768" s="23"/>
      <c r="E768" s="23"/>
      <c r="F768" s="21"/>
      <c r="G768" s="21"/>
      <c r="H768" s="21"/>
      <c r="I768" s="511"/>
    </row>
    <row r="769" spans="1:9">
      <c r="A769" s="509"/>
      <c r="B769" s="510"/>
      <c r="C769" s="23"/>
      <c r="D769" s="23"/>
      <c r="E769" s="23"/>
      <c r="F769" s="21"/>
      <c r="G769" s="21"/>
      <c r="H769" s="21"/>
      <c r="I769" s="511"/>
    </row>
    <row r="770" spans="1:9">
      <c r="A770" s="509"/>
      <c r="B770" s="510"/>
      <c r="C770" s="23"/>
      <c r="D770" s="23"/>
      <c r="E770" s="23"/>
      <c r="F770" s="21"/>
      <c r="G770" s="21"/>
      <c r="H770" s="21"/>
      <c r="I770" s="511"/>
    </row>
    <row r="771" spans="1:9">
      <c r="A771" s="509"/>
      <c r="B771" s="510"/>
      <c r="C771" s="23"/>
      <c r="D771" s="23"/>
      <c r="E771" s="23"/>
      <c r="F771" s="21"/>
      <c r="G771" s="21"/>
      <c r="H771" s="21"/>
      <c r="I771" s="511"/>
    </row>
    <row r="772" spans="1:9">
      <c r="A772" s="509"/>
      <c r="B772" s="510"/>
      <c r="C772" s="23"/>
      <c r="D772" s="23"/>
      <c r="E772" s="23"/>
      <c r="F772" s="21"/>
      <c r="G772" s="21"/>
      <c r="H772" s="21"/>
      <c r="I772" s="511"/>
    </row>
    <row r="773" spans="1:9">
      <c r="A773" s="509"/>
      <c r="B773" s="510"/>
      <c r="C773" s="23"/>
      <c r="D773" s="23"/>
      <c r="E773" s="23"/>
      <c r="F773" s="21"/>
      <c r="G773" s="21"/>
      <c r="H773" s="21"/>
      <c r="I773" s="511"/>
    </row>
    <row r="774" spans="1:9">
      <c r="A774" s="509"/>
      <c r="B774" s="510"/>
      <c r="C774" s="23"/>
      <c r="D774" s="23"/>
      <c r="E774" s="23"/>
      <c r="F774" s="21"/>
      <c r="G774" s="21"/>
      <c r="H774" s="21"/>
      <c r="I774" s="511"/>
    </row>
    <row r="775" spans="1:9">
      <c r="A775" s="509"/>
      <c r="B775" s="510"/>
      <c r="C775" s="23"/>
      <c r="D775" s="23"/>
      <c r="E775" s="23"/>
      <c r="F775" s="21"/>
      <c r="G775" s="21"/>
      <c r="H775" s="21"/>
      <c r="I775" s="511"/>
    </row>
    <row r="776" spans="1:9">
      <c r="A776" s="509"/>
      <c r="B776" s="510"/>
      <c r="C776" s="23"/>
      <c r="D776" s="23"/>
      <c r="E776" s="23"/>
      <c r="F776" s="21"/>
      <c r="G776" s="21"/>
      <c r="H776" s="21"/>
      <c r="I776" s="511"/>
    </row>
    <row r="777" spans="1:9">
      <c r="A777" s="509"/>
      <c r="B777" s="510"/>
      <c r="C777" s="23"/>
      <c r="D777" s="23"/>
      <c r="E777" s="23"/>
      <c r="F777" s="21"/>
      <c r="G777" s="21"/>
      <c r="H777" s="21"/>
      <c r="I777" s="511"/>
    </row>
    <row r="778" spans="1:9">
      <c r="A778" s="509"/>
      <c r="B778" s="510"/>
      <c r="C778" s="23"/>
      <c r="D778" s="23"/>
      <c r="E778" s="23"/>
      <c r="F778" s="21"/>
      <c r="G778" s="21"/>
      <c r="H778" s="21"/>
      <c r="I778" s="511"/>
    </row>
    <row r="779" spans="1:9">
      <c r="A779" s="509"/>
      <c r="B779" s="510"/>
      <c r="C779" s="23"/>
      <c r="D779" s="23"/>
      <c r="E779" s="23"/>
      <c r="F779" s="21"/>
      <c r="G779" s="21"/>
      <c r="H779" s="21"/>
      <c r="I779" s="511"/>
    </row>
    <row r="780" spans="1:9">
      <c r="A780" s="509"/>
      <c r="B780" s="510"/>
      <c r="C780" s="23"/>
      <c r="D780" s="23"/>
      <c r="E780" s="23"/>
      <c r="F780" s="21"/>
      <c r="G780" s="21"/>
      <c r="H780" s="21"/>
      <c r="I780" s="511"/>
    </row>
    <row r="781" spans="1:9">
      <c r="A781" s="509"/>
      <c r="B781" s="510"/>
      <c r="C781" s="23"/>
      <c r="D781" s="23"/>
      <c r="E781" s="23"/>
      <c r="F781" s="21"/>
      <c r="G781" s="21"/>
      <c r="H781" s="21"/>
      <c r="I781" s="511"/>
    </row>
    <row r="782" spans="1:9">
      <c r="A782" s="509"/>
      <c r="B782" s="510"/>
      <c r="C782" s="23"/>
      <c r="D782" s="23"/>
      <c r="E782" s="23"/>
      <c r="F782" s="21"/>
      <c r="G782" s="21"/>
      <c r="H782" s="21"/>
      <c r="I782" s="511"/>
    </row>
    <row r="783" spans="1:9">
      <c r="A783" s="509"/>
      <c r="B783" s="510"/>
      <c r="C783" s="23"/>
      <c r="D783" s="23"/>
      <c r="E783" s="23"/>
      <c r="F783" s="21"/>
      <c r="G783" s="21"/>
      <c r="H783" s="21"/>
      <c r="I783" s="511"/>
    </row>
    <row r="784" spans="1:9">
      <c r="A784" s="509"/>
      <c r="B784" s="510"/>
      <c r="C784" s="23"/>
      <c r="D784" s="23"/>
      <c r="E784" s="23"/>
      <c r="F784" s="21"/>
      <c r="G784" s="21"/>
      <c r="H784" s="21"/>
      <c r="I784" s="511"/>
    </row>
    <row r="785" spans="1:9">
      <c r="A785" s="509"/>
      <c r="B785" s="510"/>
      <c r="C785" s="23"/>
      <c r="D785" s="23"/>
      <c r="E785" s="23"/>
      <c r="F785" s="21"/>
      <c r="G785" s="21"/>
      <c r="H785" s="21"/>
      <c r="I785" s="511"/>
    </row>
    <row r="786" spans="1:9">
      <c r="A786" s="509"/>
      <c r="B786" s="510"/>
      <c r="C786" s="23"/>
      <c r="D786" s="23"/>
      <c r="E786" s="23"/>
      <c r="F786" s="21"/>
      <c r="G786" s="21"/>
      <c r="H786" s="21"/>
      <c r="I786" s="511"/>
    </row>
    <row r="787" spans="1:9">
      <c r="A787" s="509"/>
      <c r="B787" s="510"/>
      <c r="C787" s="23"/>
      <c r="D787" s="23"/>
      <c r="E787" s="23"/>
      <c r="F787" s="21"/>
      <c r="G787" s="21"/>
      <c r="H787" s="21"/>
      <c r="I787" s="511"/>
    </row>
    <row r="788" spans="1:9">
      <c r="A788" s="509"/>
      <c r="B788" s="510"/>
      <c r="C788" s="23"/>
      <c r="D788" s="23"/>
      <c r="E788" s="23"/>
      <c r="F788" s="21"/>
      <c r="G788" s="21"/>
      <c r="H788" s="21"/>
      <c r="I788" s="511"/>
    </row>
    <row r="789" spans="1:9">
      <c r="A789" s="509"/>
      <c r="B789" s="510"/>
      <c r="C789" s="23"/>
      <c r="D789" s="23"/>
      <c r="E789" s="23"/>
      <c r="F789" s="21"/>
      <c r="G789" s="21"/>
      <c r="H789" s="21"/>
      <c r="I789" s="511"/>
    </row>
    <row r="790" spans="1:9">
      <c r="A790" s="509"/>
      <c r="B790" s="510"/>
      <c r="C790" s="23"/>
      <c r="D790" s="23"/>
      <c r="E790" s="23"/>
      <c r="F790" s="21"/>
      <c r="G790" s="21"/>
      <c r="H790" s="21"/>
      <c r="I790" s="511"/>
    </row>
    <row r="791" spans="1:9">
      <c r="A791" s="509"/>
      <c r="B791" s="510"/>
      <c r="C791" s="23"/>
      <c r="D791" s="23"/>
      <c r="E791" s="23"/>
      <c r="F791" s="21"/>
      <c r="G791" s="21"/>
      <c r="H791" s="21"/>
      <c r="I791" s="511"/>
    </row>
    <row r="792" spans="1:9">
      <c r="A792" s="509"/>
      <c r="B792" s="510"/>
      <c r="C792" s="23"/>
      <c r="D792" s="23"/>
      <c r="E792" s="23"/>
      <c r="F792" s="21"/>
      <c r="G792" s="21"/>
      <c r="H792" s="21"/>
      <c r="I792" s="511"/>
    </row>
    <row r="793" spans="1:9">
      <c r="A793" s="509"/>
      <c r="B793" s="510"/>
      <c r="C793" s="23"/>
      <c r="D793" s="23"/>
      <c r="E793" s="23"/>
      <c r="F793" s="21"/>
      <c r="G793" s="21"/>
      <c r="H793" s="21"/>
      <c r="I793" s="511"/>
    </row>
    <row r="794" spans="1:9">
      <c r="A794" s="509"/>
      <c r="B794" s="510"/>
      <c r="C794" s="23"/>
      <c r="D794" s="23"/>
      <c r="E794" s="23"/>
      <c r="F794" s="21"/>
      <c r="G794" s="21"/>
      <c r="H794" s="21"/>
      <c r="I794" s="511"/>
    </row>
    <row r="795" spans="1:9">
      <c r="A795" s="509"/>
      <c r="B795" s="510"/>
      <c r="C795" s="23"/>
      <c r="D795" s="23"/>
      <c r="E795" s="23"/>
      <c r="F795" s="21"/>
      <c r="G795" s="21"/>
      <c r="H795" s="21"/>
      <c r="I795" s="511"/>
    </row>
    <row r="796" spans="1:9">
      <c r="A796" s="509"/>
      <c r="B796" s="510"/>
      <c r="C796" s="23"/>
      <c r="D796" s="23"/>
      <c r="E796" s="23"/>
      <c r="F796" s="21"/>
      <c r="G796" s="21"/>
      <c r="H796" s="21"/>
      <c r="I796" s="511"/>
    </row>
    <row r="797" spans="1:9">
      <c r="A797" s="509"/>
      <c r="B797" s="510"/>
      <c r="C797" s="23"/>
      <c r="D797" s="23"/>
      <c r="E797" s="23"/>
      <c r="F797" s="21"/>
      <c r="G797" s="21"/>
      <c r="H797" s="21"/>
      <c r="I797" s="511"/>
    </row>
    <row r="798" spans="1:9">
      <c r="A798" s="509"/>
      <c r="B798" s="510"/>
      <c r="C798" s="23"/>
      <c r="D798" s="23"/>
      <c r="E798" s="23"/>
      <c r="F798" s="21"/>
      <c r="G798" s="21"/>
      <c r="H798" s="21"/>
      <c r="I798" s="511"/>
    </row>
    <row r="799" spans="1:9">
      <c r="A799" s="509"/>
      <c r="B799" s="510"/>
      <c r="C799" s="23"/>
      <c r="D799" s="23"/>
      <c r="E799" s="23"/>
      <c r="F799" s="21"/>
      <c r="G799" s="21"/>
      <c r="H799" s="21"/>
      <c r="I799" s="511"/>
    </row>
    <row r="800" spans="1:9">
      <c r="A800" s="509"/>
      <c r="B800" s="510"/>
      <c r="C800" s="23"/>
      <c r="D800" s="23"/>
      <c r="E800" s="23"/>
      <c r="F800" s="21"/>
      <c r="G800" s="21"/>
      <c r="H800" s="21"/>
      <c r="I800" s="511"/>
    </row>
    <row r="801" spans="1:9">
      <c r="A801" s="509"/>
      <c r="B801" s="510"/>
      <c r="C801" s="23"/>
      <c r="D801" s="23"/>
      <c r="E801" s="23"/>
      <c r="F801" s="21"/>
      <c r="G801" s="21"/>
      <c r="H801" s="21"/>
      <c r="I801" s="511"/>
    </row>
    <row r="802" spans="1:9">
      <c r="A802" s="509"/>
      <c r="B802" s="510"/>
      <c r="C802" s="23"/>
      <c r="D802" s="23"/>
      <c r="E802" s="23"/>
      <c r="F802" s="21"/>
      <c r="G802" s="21"/>
      <c r="H802" s="21"/>
      <c r="I802" s="511"/>
    </row>
    <row r="803" spans="1:9">
      <c r="A803" s="509"/>
      <c r="B803" s="510"/>
      <c r="C803" s="23"/>
      <c r="D803" s="23"/>
      <c r="E803" s="23"/>
      <c r="F803" s="21"/>
      <c r="G803" s="21"/>
      <c r="H803" s="21"/>
      <c r="I803" s="511"/>
    </row>
    <row r="804" spans="1:9">
      <c r="A804" s="509"/>
      <c r="B804" s="510"/>
      <c r="C804" s="23"/>
      <c r="D804" s="23"/>
      <c r="E804" s="23"/>
      <c r="F804" s="21"/>
      <c r="G804" s="21"/>
      <c r="H804" s="21"/>
      <c r="I804" s="511"/>
    </row>
    <row r="805" spans="1:9">
      <c r="A805" s="509"/>
      <c r="B805" s="510"/>
      <c r="C805" s="23"/>
      <c r="D805" s="23"/>
      <c r="E805" s="23"/>
      <c r="F805" s="21"/>
      <c r="G805" s="21"/>
      <c r="H805" s="21"/>
      <c r="I805" s="511"/>
    </row>
    <row r="806" spans="1:9">
      <c r="A806" s="509"/>
      <c r="B806" s="510"/>
      <c r="C806" s="23"/>
      <c r="D806" s="23"/>
      <c r="E806" s="23"/>
      <c r="F806" s="21"/>
      <c r="G806" s="21"/>
      <c r="H806" s="21"/>
      <c r="I806" s="511"/>
    </row>
    <row r="807" spans="1:9">
      <c r="A807" s="509"/>
      <c r="B807" s="510"/>
      <c r="C807" s="23"/>
      <c r="D807" s="23"/>
      <c r="E807" s="23"/>
      <c r="F807" s="21"/>
      <c r="G807" s="21"/>
      <c r="H807" s="21"/>
      <c r="I807" s="511"/>
    </row>
    <row r="808" spans="1:9">
      <c r="A808" s="509"/>
      <c r="B808" s="510"/>
      <c r="C808" s="23"/>
      <c r="D808" s="23"/>
      <c r="E808" s="23"/>
      <c r="F808" s="21"/>
      <c r="G808" s="21"/>
      <c r="H808" s="21"/>
      <c r="I808" s="511"/>
    </row>
    <row r="809" spans="1:9">
      <c r="A809" s="509"/>
      <c r="B809" s="510"/>
      <c r="C809" s="23"/>
      <c r="D809" s="23"/>
      <c r="E809" s="23"/>
      <c r="F809" s="21"/>
      <c r="G809" s="21"/>
      <c r="H809" s="21"/>
      <c r="I809" s="511"/>
    </row>
    <row r="810" spans="1:9">
      <c r="A810" s="509"/>
      <c r="B810" s="510"/>
      <c r="C810" s="23"/>
      <c r="D810" s="23"/>
      <c r="E810" s="23"/>
      <c r="F810" s="21"/>
      <c r="G810" s="21"/>
      <c r="H810" s="21"/>
      <c r="I810" s="511"/>
    </row>
    <row r="811" spans="1:9">
      <c r="A811" s="509"/>
      <c r="B811" s="510"/>
      <c r="C811" s="23"/>
      <c r="D811" s="23"/>
      <c r="E811" s="23"/>
      <c r="F811" s="21"/>
      <c r="G811" s="21"/>
      <c r="H811" s="21"/>
      <c r="I811" s="511"/>
    </row>
    <row r="812" spans="1:9">
      <c r="A812" s="509"/>
      <c r="B812" s="510"/>
      <c r="C812" s="23"/>
      <c r="D812" s="23"/>
      <c r="E812" s="23"/>
      <c r="F812" s="21"/>
      <c r="G812" s="21"/>
      <c r="H812" s="21"/>
      <c r="I812" s="511"/>
    </row>
    <row r="813" spans="1:9">
      <c r="A813" s="509"/>
      <c r="B813" s="510"/>
      <c r="C813" s="23"/>
      <c r="D813" s="23"/>
      <c r="E813" s="23"/>
      <c r="F813" s="21"/>
      <c r="G813" s="21"/>
      <c r="H813" s="21"/>
      <c r="I813" s="511"/>
    </row>
    <row r="814" spans="1:9">
      <c r="A814" s="509"/>
      <c r="B814" s="510"/>
      <c r="C814" s="23"/>
      <c r="D814" s="23"/>
      <c r="E814" s="23"/>
      <c r="F814" s="21"/>
      <c r="G814" s="21"/>
      <c r="H814" s="21"/>
      <c r="I814" s="511"/>
    </row>
    <row r="815" spans="1:9">
      <c r="A815" s="509"/>
      <c r="B815" s="510"/>
      <c r="C815" s="23"/>
      <c r="D815" s="23"/>
      <c r="E815" s="23"/>
      <c r="F815" s="21"/>
      <c r="G815" s="21"/>
      <c r="H815" s="21"/>
      <c r="I815" s="511"/>
    </row>
    <row r="816" spans="1:9">
      <c r="A816" s="509"/>
      <c r="B816" s="510"/>
      <c r="C816" s="23"/>
      <c r="D816" s="23"/>
      <c r="E816" s="23"/>
      <c r="F816" s="21"/>
      <c r="G816" s="21"/>
      <c r="H816" s="21"/>
      <c r="I816" s="511"/>
    </row>
    <row r="817" spans="1:9">
      <c r="A817" s="509"/>
      <c r="B817" s="510"/>
      <c r="C817" s="23"/>
      <c r="D817" s="23"/>
      <c r="E817" s="23"/>
      <c r="F817" s="21"/>
      <c r="G817" s="21"/>
      <c r="H817" s="21"/>
      <c r="I817" s="511"/>
    </row>
    <row r="818" spans="1:9">
      <c r="A818" s="509"/>
      <c r="B818" s="510"/>
      <c r="C818" s="23"/>
      <c r="D818" s="23"/>
      <c r="E818" s="23"/>
      <c r="F818" s="21"/>
      <c r="G818" s="21"/>
      <c r="H818" s="21"/>
      <c r="I818" s="511"/>
    </row>
    <row r="819" spans="1:9">
      <c r="A819" s="509"/>
      <c r="B819" s="510"/>
      <c r="C819" s="23"/>
      <c r="D819" s="23"/>
      <c r="E819" s="23"/>
      <c r="F819" s="21"/>
      <c r="G819" s="21"/>
      <c r="H819" s="21"/>
      <c r="I819" s="511"/>
    </row>
    <row r="820" spans="1:9">
      <c r="A820" s="509"/>
      <c r="B820" s="510"/>
      <c r="C820" s="23"/>
      <c r="D820" s="23"/>
      <c r="E820" s="23"/>
      <c r="F820" s="21"/>
      <c r="G820" s="21"/>
      <c r="H820" s="21"/>
      <c r="I820" s="511"/>
    </row>
    <row r="821" spans="1:9">
      <c r="A821" s="509"/>
      <c r="B821" s="510"/>
      <c r="C821" s="23"/>
      <c r="D821" s="23"/>
      <c r="E821" s="23"/>
      <c r="F821" s="21"/>
      <c r="G821" s="21"/>
      <c r="H821" s="21"/>
      <c r="I821" s="511"/>
    </row>
    <row r="822" spans="1:9">
      <c r="A822" s="509"/>
      <c r="B822" s="510"/>
      <c r="C822" s="23"/>
      <c r="D822" s="23"/>
      <c r="E822" s="23"/>
      <c r="F822" s="21"/>
      <c r="G822" s="21"/>
      <c r="H822" s="21"/>
      <c r="I822" s="511"/>
    </row>
    <row r="823" spans="1:9">
      <c r="A823" s="509"/>
      <c r="B823" s="510"/>
      <c r="C823" s="23"/>
      <c r="D823" s="23"/>
      <c r="E823" s="23"/>
      <c r="F823" s="21"/>
      <c r="G823" s="21"/>
      <c r="H823" s="21"/>
      <c r="I823" s="511"/>
    </row>
    <row r="824" spans="1:9">
      <c r="A824" s="509"/>
      <c r="B824" s="510"/>
      <c r="C824" s="23"/>
      <c r="D824" s="23"/>
      <c r="E824" s="23"/>
      <c r="F824" s="21"/>
      <c r="G824" s="21"/>
      <c r="H824" s="21"/>
      <c r="I824" s="511"/>
    </row>
    <row r="825" spans="1:9">
      <c r="A825" s="509"/>
      <c r="B825" s="510"/>
      <c r="C825" s="23"/>
      <c r="D825" s="23"/>
      <c r="E825" s="23"/>
      <c r="F825" s="21"/>
      <c r="G825" s="21"/>
      <c r="H825" s="21"/>
      <c r="I825" s="511"/>
    </row>
    <row r="826" spans="1:9">
      <c r="A826" s="509"/>
      <c r="B826" s="510"/>
      <c r="C826" s="23"/>
      <c r="D826" s="23"/>
      <c r="E826" s="23"/>
      <c r="F826" s="21"/>
      <c r="G826" s="21"/>
      <c r="H826" s="21"/>
      <c r="I826" s="511"/>
    </row>
    <row r="827" spans="1:9">
      <c r="A827" s="509"/>
      <c r="B827" s="510"/>
      <c r="C827" s="23"/>
      <c r="D827" s="23"/>
      <c r="E827" s="23"/>
      <c r="F827" s="21"/>
      <c r="G827" s="21"/>
      <c r="H827" s="21"/>
      <c r="I827" s="511"/>
    </row>
    <row r="828" spans="1:9">
      <c r="A828" s="509"/>
      <c r="B828" s="510"/>
      <c r="C828" s="23"/>
      <c r="D828" s="23"/>
      <c r="E828" s="23"/>
      <c r="F828" s="21"/>
      <c r="G828" s="21"/>
      <c r="H828" s="21"/>
      <c r="I828" s="511"/>
    </row>
    <row r="829" spans="1:9">
      <c r="A829" s="509"/>
      <c r="B829" s="510"/>
      <c r="C829" s="23"/>
      <c r="D829" s="23"/>
      <c r="E829" s="23"/>
      <c r="F829" s="21"/>
      <c r="G829" s="21"/>
      <c r="H829" s="21"/>
      <c r="I829" s="511"/>
    </row>
    <row r="830" spans="1:9">
      <c r="A830" s="509"/>
      <c r="B830" s="510"/>
      <c r="C830" s="23"/>
      <c r="D830" s="23"/>
      <c r="E830" s="23"/>
      <c r="F830" s="21"/>
      <c r="G830" s="21"/>
      <c r="H830" s="21"/>
      <c r="I830" s="511"/>
    </row>
    <row r="831" spans="1:9">
      <c r="A831" s="509"/>
      <c r="B831" s="510"/>
      <c r="C831" s="23"/>
      <c r="D831" s="23"/>
      <c r="E831" s="23"/>
      <c r="F831" s="21"/>
      <c r="G831" s="21"/>
      <c r="H831" s="21"/>
      <c r="I831" s="511"/>
    </row>
    <row r="832" spans="1:9">
      <c r="A832" s="509"/>
      <c r="B832" s="510"/>
      <c r="C832" s="23"/>
      <c r="D832" s="23"/>
      <c r="E832" s="23"/>
      <c r="F832" s="21"/>
      <c r="G832" s="21"/>
      <c r="H832" s="21"/>
      <c r="I832" s="511"/>
    </row>
    <row r="833" spans="1:9">
      <c r="A833" s="509"/>
      <c r="B833" s="510"/>
      <c r="C833" s="23"/>
      <c r="D833" s="23"/>
      <c r="E833" s="23"/>
      <c r="F833" s="21"/>
      <c r="G833" s="21"/>
      <c r="H833" s="21"/>
      <c r="I833" s="511"/>
    </row>
    <row r="834" spans="1:9">
      <c r="A834" s="509"/>
      <c r="B834" s="510"/>
      <c r="C834" s="23"/>
      <c r="D834" s="23"/>
      <c r="E834" s="23"/>
      <c r="F834" s="21"/>
      <c r="G834" s="21"/>
      <c r="H834" s="21"/>
      <c r="I834" s="511"/>
    </row>
    <row r="835" spans="1:9">
      <c r="A835" s="509"/>
      <c r="B835" s="510"/>
      <c r="C835" s="23"/>
      <c r="D835" s="23"/>
      <c r="E835" s="23"/>
      <c r="F835" s="21"/>
      <c r="G835" s="21"/>
      <c r="H835" s="21"/>
      <c r="I835" s="511"/>
    </row>
    <row r="836" spans="1:9">
      <c r="A836" s="509"/>
      <c r="B836" s="510"/>
      <c r="C836" s="23"/>
      <c r="D836" s="23"/>
      <c r="E836" s="23"/>
      <c r="F836" s="21"/>
      <c r="G836" s="21"/>
      <c r="H836" s="21"/>
      <c r="I836" s="511"/>
    </row>
    <row r="837" spans="1:9">
      <c r="A837" s="509"/>
      <c r="B837" s="510"/>
      <c r="C837" s="23"/>
      <c r="D837" s="23"/>
      <c r="E837" s="23"/>
      <c r="F837" s="21"/>
      <c r="G837" s="21"/>
      <c r="H837" s="21"/>
      <c r="I837" s="511"/>
    </row>
    <row r="838" spans="1:9">
      <c r="A838" s="509"/>
      <c r="B838" s="510"/>
      <c r="C838" s="23"/>
      <c r="D838" s="23"/>
      <c r="E838" s="23"/>
      <c r="F838" s="21"/>
      <c r="G838" s="21"/>
      <c r="H838" s="21"/>
      <c r="I838" s="511"/>
    </row>
    <row r="839" spans="1:9">
      <c r="A839" s="509"/>
      <c r="B839" s="510"/>
      <c r="C839" s="23"/>
      <c r="D839" s="23"/>
      <c r="E839" s="23"/>
      <c r="F839" s="21"/>
      <c r="G839" s="21"/>
      <c r="H839" s="21"/>
      <c r="I839" s="511"/>
    </row>
    <row r="840" spans="1:9">
      <c r="A840" s="509"/>
      <c r="B840" s="510"/>
      <c r="C840" s="23"/>
      <c r="D840" s="23"/>
      <c r="E840" s="23"/>
      <c r="F840" s="21"/>
      <c r="G840" s="21"/>
      <c r="H840" s="21"/>
      <c r="I840" s="511"/>
    </row>
    <row r="841" spans="1:9">
      <c r="A841" s="509"/>
      <c r="B841" s="510"/>
      <c r="C841" s="23"/>
      <c r="D841" s="23"/>
      <c r="E841" s="23"/>
      <c r="F841" s="21"/>
      <c r="G841" s="21"/>
      <c r="H841" s="21"/>
      <c r="I841" s="511"/>
    </row>
    <row r="842" spans="1:9">
      <c r="A842" s="509"/>
      <c r="B842" s="510"/>
      <c r="C842" s="23"/>
      <c r="D842" s="23"/>
      <c r="E842" s="23"/>
      <c r="F842" s="21"/>
      <c r="G842" s="21"/>
      <c r="H842" s="21"/>
      <c r="I842" s="511"/>
    </row>
    <row r="843" spans="1:9">
      <c r="A843" s="509"/>
      <c r="B843" s="510"/>
      <c r="C843" s="23"/>
      <c r="D843" s="23"/>
      <c r="E843" s="23"/>
      <c r="F843" s="21"/>
      <c r="G843" s="21"/>
      <c r="H843" s="21"/>
      <c r="I843" s="511"/>
    </row>
    <row r="844" spans="1:9">
      <c r="A844" s="509"/>
      <c r="B844" s="510"/>
      <c r="C844" s="23"/>
      <c r="D844" s="23"/>
      <c r="E844" s="23"/>
      <c r="F844" s="21"/>
      <c r="G844" s="21"/>
      <c r="H844" s="21"/>
      <c r="I844" s="511"/>
    </row>
    <row r="845" spans="1:9">
      <c r="A845" s="509"/>
      <c r="B845" s="510"/>
      <c r="C845" s="23"/>
      <c r="D845" s="23"/>
      <c r="E845" s="23"/>
      <c r="F845" s="21"/>
      <c r="G845" s="21"/>
      <c r="H845" s="21"/>
      <c r="I845" s="511"/>
    </row>
    <row r="846" spans="1:9">
      <c r="A846" s="509"/>
      <c r="B846" s="510"/>
      <c r="C846" s="23"/>
      <c r="D846" s="23"/>
      <c r="E846" s="23"/>
      <c r="F846" s="21"/>
      <c r="G846" s="21"/>
      <c r="H846" s="21"/>
      <c r="I846" s="511"/>
    </row>
    <row r="847" spans="1:9">
      <c r="A847" s="509"/>
      <c r="B847" s="510"/>
      <c r="C847" s="23"/>
      <c r="D847" s="23"/>
      <c r="E847" s="23"/>
      <c r="F847" s="21"/>
      <c r="G847" s="21"/>
      <c r="H847" s="21"/>
      <c r="I847" s="511"/>
    </row>
    <row r="848" spans="1:9">
      <c r="A848" s="509"/>
      <c r="B848" s="510"/>
      <c r="C848" s="23"/>
      <c r="D848" s="23"/>
      <c r="E848" s="23"/>
      <c r="F848" s="21"/>
      <c r="G848" s="21"/>
      <c r="H848" s="21"/>
      <c r="I848" s="511"/>
    </row>
    <row r="849" spans="1:9">
      <c r="A849" s="509"/>
      <c r="B849" s="510"/>
      <c r="C849" s="23"/>
      <c r="D849" s="23"/>
      <c r="E849" s="23"/>
      <c r="F849" s="21"/>
      <c r="G849" s="21"/>
      <c r="H849" s="21"/>
      <c r="I849" s="511"/>
    </row>
    <row r="850" spans="1:9">
      <c r="A850" s="509"/>
      <c r="B850" s="510"/>
      <c r="C850" s="23"/>
      <c r="D850" s="23"/>
      <c r="E850" s="23"/>
      <c r="F850" s="21"/>
      <c r="G850" s="21"/>
      <c r="H850" s="21"/>
      <c r="I850" s="511"/>
    </row>
    <row r="851" spans="1:9">
      <c r="A851" s="509"/>
      <c r="B851" s="510"/>
      <c r="C851" s="23"/>
      <c r="D851" s="23"/>
      <c r="E851" s="23"/>
      <c r="F851" s="21"/>
      <c r="G851" s="21"/>
      <c r="H851" s="21"/>
      <c r="I851" s="511"/>
    </row>
    <row r="852" spans="1:9">
      <c r="A852" s="509"/>
      <c r="B852" s="510"/>
      <c r="C852" s="23"/>
      <c r="D852" s="23"/>
      <c r="E852" s="23"/>
      <c r="F852" s="21"/>
      <c r="G852" s="21"/>
      <c r="H852" s="21"/>
      <c r="I852" s="511"/>
    </row>
    <row r="853" spans="1:9">
      <c r="A853" s="509"/>
      <c r="B853" s="510"/>
      <c r="C853" s="23"/>
      <c r="D853" s="23"/>
      <c r="E853" s="23"/>
      <c r="F853" s="21"/>
      <c r="G853" s="21"/>
      <c r="H853" s="21"/>
      <c r="I853" s="511"/>
    </row>
    <row r="854" spans="1:9">
      <c r="A854" s="509"/>
      <c r="B854" s="510"/>
      <c r="C854" s="23"/>
      <c r="D854" s="23"/>
      <c r="E854" s="23"/>
      <c r="F854" s="21"/>
      <c r="G854" s="21"/>
      <c r="H854" s="21"/>
      <c r="I854" s="511"/>
    </row>
    <row r="855" spans="1:9">
      <c r="A855" s="509"/>
      <c r="B855" s="510"/>
      <c r="C855" s="23"/>
      <c r="D855" s="23"/>
      <c r="E855" s="23"/>
      <c r="F855" s="21"/>
      <c r="G855" s="21"/>
      <c r="H855" s="21"/>
      <c r="I855" s="511"/>
    </row>
    <row r="856" spans="1:9">
      <c r="A856" s="509"/>
      <c r="B856" s="510"/>
      <c r="C856" s="23"/>
      <c r="D856" s="23"/>
      <c r="E856" s="23"/>
      <c r="F856" s="21"/>
      <c r="G856" s="21"/>
      <c r="H856" s="21"/>
      <c r="I856" s="511"/>
    </row>
    <row r="857" spans="1:9">
      <c r="A857" s="509"/>
      <c r="B857" s="510"/>
      <c r="C857" s="23"/>
      <c r="D857" s="23"/>
      <c r="E857" s="23"/>
      <c r="F857" s="21"/>
      <c r="G857" s="21"/>
      <c r="H857" s="21"/>
      <c r="I857" s="511"/>
    </row>
    <row r="858" spans="1:9">
      <c r="A858" s="509"/>
      <c r="B858" s="510"/>
      <c r="C858" s="23"/>
      <c r="D858" s="23"/>
      <c r="E858" s="23"/>
      <c r="F858" s="21"/>
      <c r="G858" s="21"/>
      <c r="H858" s="21"/>
      <c r="I858" s="511"/>
    </row>
    <row r="859" spans="1:9">
      <c r="A859" s="509"/>
      <c r="B859" s="510"/>
      <c r="C859" s="23"/>
      <c r="D859" s="23"/>
      <c r="E859" s="23"/>
      <c r="F859" s="21"/>
      <c r="G859" s="21"/>
      <c r="H859" s="21"/>
      <c r="I859" s="511"/>
    </row>
    <row r="860" spans="1:9">
      <c r="A860" s="509"/>
      <c r="B860" s="510"/>
      <c r="C860" s="23"/>
      <c r="D860" s="23"/>
      <c r="E860" s="23"/>
      <c r="F860" s="21"/>
      <c r="G860" s="21"/>
      <c r="H860" s="21"/>
      <c r="I860" s="511"/>
    </row>
    <row r="861" spans="1:9">
      <c r="A861" s="509"/>
      <c r="B861" s="510"/>
      <c r="C861" s="23"/>
      <c r="D861" s="23"/>
      <c r="E861" s="23"/>
      <c r="F861" s="21"/>
      <c r="G861" s="21"/>
      <c r="H861" s="21"/>
      <c r="I861" s="511"/>
    </row>
    <row r="862" spans="1:9">
      <c r="A862" s="509"/>
      <c r="B862" s="510"/>
      <c r="C862" s="23"/>
      <c r="D862" s="23"/>
      <c r="E862" s="23"/>
      <c r="F862" s="21"/>
      <c r="G862" s="21"/>
      <c r="H862" s="21"/>
      <c r="I862" s="511"/>
    </row>
    <row r="863" spans="1:9">
      <c r="A863" s="509"/>
      <c r="B863" s="510"/>
      <c r="C863" s="23"/>
      <c r="D863" s="23"/>
      <c r="E863" s="23"/>
      <c r="F863" s="21"/>
      <c r="G863" s="21"/>
      <c r="H863" s="21"/>
      <c r="I863" s="511"/>
    </row>
    <row r="864" spans="1:9">
      <c r="A864" s="509"/>
      <c r="B864" s="510"/>
      <c r="C864" s="23"/>
      <c r="D864" s="23"/>
      <c r="E864" s="23"/>
      <c r="F864" s="21"/>
      <c r="G864" s="21"/>
      <c r="H864" s="21"/>
      <c r="I864" s="511"/>
    </row>
    <row r="865" spans="1:9">
      <c r="A865" s="509"/>
      <c r="B865" s="510"/>
      <c r="C865" s="23"/>
      <c r="D865" s="23"/>
      <c r="E865" s="23"/>
      <c r="F865" s="21"/>
      <c r="G865" s="21"/>
      <c r="H865" s="21"/>
      <c r="I865" s="511"/>
    </row>
    <row r="866" spans="1:9">
      <c r="A866" s="509"/>
      <c r="B866" s="510"/>
      <c r="C866" s="23"/>
      <c r="D866" s="23"/>
      <c r="E866" s="23"/>
      <c r="F866" s="21"/>
      <c r="G866" s="21"/>
      <c r="H866" s="21"/>
      <c r="I866" s="511"/>
    </row>
    <row r="867" spans="1:9">
      <c r="A867" s="509"/>
      <c r="B867" s="510"/>
      <c r="C867" s="23"/>
      <c r="D867" s="23"/>
      <c r="E867" s="23"/>
      <c r="F867" s="21"/>
      <c r="G867" s="21"/>
      <c r="H867" s="21"/>
      <c r="I867" s="511"/>
    </row>
    <row r="868" spans="1:9">
      <c r="A868" s="509"/>
      <c r="B868" s="510"/>
      <c r="C868" s="23"/>
      <c r="D868" s="23"/>
      <c r="E868" s="23"/>
      <c r="F868" s="21"/>
      <c r="G868" s="21"/>
      <c r="H868" s="21"/>
      <c r="I868" s="511"/>
    </row>
    <row r="869" spans="1:9">
      <c r="A869" s="509"/>
      <c r="B869" s="510"/>
      <c r="C869" s="23"/>
      <c r="D869" s="23"/>
      <c r="E869" s="23"/>
      <c r="F869" s="21"/>
      <c r="G869" s="21"/>
      <c r="H869" s="21"/>
      <c r="I869" s="511"/>
    </row>
    <row r="870" spans="1:9">
      <c r="A870" s="509"/>
      <c r="B870" s="510"/>
      <c r="C870" s="23"/>
      <c r="D870" s="23"/>
      <c r="E870" s="23"/>
      <c r="F870" s="21"/>
      <c r="G870" s="21"/>
      <c r="H870" s="21"/>
      <c r="I870" s="511"/>
    </row>
    <row r="871" spans="1:9">
      <c r="A871" s="509"/>
      <c r="B871" s="510"/>
      <c r="C871" s="23"/>
      <c r="D871" s="23"/>
      <c r="E871" s="23"/>
      <c r="F871" s="21"/>
      <c r="G871" s="21"/>
      <c r="H871" s="21"/>
      <c r="I871" s="511"/>
    </row>
    <row r="872" spans="1:9">
      <c r="A872" s="509"/>
      <c r="B872" s="510"/>
      <c r="C872" s="23"/>
      <c r="D872" s="23"/>
      <c r="E872" s="23"/>
      <c r="F872" s="21"/>
      <c r="G872" s="21"/>
      <c r="H872" s="21"/>
      <c r="I872" s="511"/>
    </row>
    <row r="873" spans="1:9">
      <c r="A873" s="509"/>
      <c r="B873" s="510"/>
      <c r="C873" s="23"/>
      <c r="D873" s="23"/>
      <c r="E873" s="23"/>
      <c r="F873" s="21"/>
      <c r="G873" s="21"/>
      <c r="H873" s="21"/>
      <c r="I873" s="511"/>
    </row>
    <row r="874" spans="1:9">
      <c r="A874" s="509"/>
      <c r="B874" s="510"/>
      <c r="C874" s="23"/>
      <c r="D874" s="23"/>
      <c r="E874" s="23"/>
      <c r="F874" s="21"/>
      <c r="G874" s="21"/>
      <c r="H874" s="21"/>
      <c r="I874" s="511"/>
    </row>
    <row r="875" spans="1:9">
      <c r="A875" s="509"/>
      <c r="B875" s="510"/>
      <c r="C875" s="23"/>
      <c r="D875" s="23"/>
      <c r="E875" s="23"/>
      <c r="F875" s="21"/>
      <c r="G875" s="21"/>
      <c r="H875" s="21"/>
      <c r="I875" s="511"/>
    </row>
    <row r="876" spans="1:9">
      <c r="A876" s="509"/>
      <c r="B876" s="510"/>
      <c r="C876" s="23"/>
      <c r="D876" s="23"/>
      <c r="E876" s="23"/>
      <c r="F876" s="21"/>
      <c r="G876" s="21"/>
      <c r="H876" s="21"/>
      <c r="I876" s="511"/>
    </row>
    <row r="877" spans="1:9">
      <c r="A877" s="509"/>
      <c r="B877" s="510"/>
      <c r="C877" s="23"/>
      <c r="D877" s="23"/>
      <c r="E877" s="23"/>
      <c r="F877" s="21"/>
      <c r="G877" s="21"/>
      <c r="H877" s="21"/>
      <c r="I877" s="511"/>
    </row>
    <row r="878" spans="1:9">
      <c r="A878" s="509"/>
      <c r="B878" s="510"/>
      <c r="C878" s="23"/>
      <c r="D878" s="23"/>
      <c r="E878" s="23"/>
      <c r="F878" s="21"/>
      <c r="G878" s="21"/>
      <c r="H878" s="21"/>
      <c r="I878" s="511"/>
    </row>
    <row r="879" spans="1:9">
      <c r="A879" s="509"/>
      <c r="B879" s="510"/>
      <c r="C879" s="23"/>
      <c r="D879" s="23"/>
      <c r="E879" s="23"/>
      <c r="F879" s="21"/>
      <c r="G879" s="21"/>
      <c r="H879" s="21"/>
      <c r="I879" s="511"/>
    </row>
    <row r="880" spans="1:9">
      <c r="A880" s="509"/>
      <c r="B880" s="510"/>
      <c r="C880" s="23"/>
      <c r="D880" s="23"/>
      <c r="E880" s="23"/>
      <c r="F880" s="21"/>
      <c r="G880" s="21"/>
      <c r="H880" s="21"/>
      <c r="I880" s="511"/>
    </row>
    <row r="881" spans="1:9">
      <c r="A881" s="509"/>
      <c r="B881" s="510"/>
      <c r="C881" s="23"/>
      <c r="D881" s="23"/>
      <c r="E881" s="23"/>
      <c r="F881" s="21"/>
      <c r="G881" s="21"/>
      <c r="H881" s="21"/>
      <c r="I881" s="511"/>
    </row>
    <row r="882" spans="1:9">
      <c r="A882" s="509"/>
      <c r="B882" s="510"/>
      <c r="C882" s="23"/>
      <c r="D882" s="23"/>
      <c r="E882" s="23"/>
      <c r="F882" s="21"/>
      <c r="G882" s="21"/>
      <c r="H882" s="21"/>
      <c r="I882" s="511"/>
    </row>
    <row r="883" spans="1:9">
      <c r="A883" s="509"/>
      <c r="B883" s="510"/>
      <c r="C883" s="23"/>
      <c r="D883" s="23"/>
      <c r="E883" s="23"/>
      <c r="F883" s="21"/>
      <c r="G883" s="21"/>
      <c r="H883" s="21"/>
      <c r="I883" s="511"/>
    </row>
    <row r="884" spans="1:9">
      <c r="A884" s="509"/>
      <c r="B884" s="510"/>
      <c r="C884" s="23"/>
      <c r="D884" s="23"/>
      <c r="E884" s="23"/>
      <c r="F884" s="21"/>
      <c r="G884" s="21"/>
      <c r="H884" s="21"/>
      <c r="I884" s="511"/>
    </row>
    <row r="885" spans="1:9">
      <c r="A885" s="509"/>
      <c r="B885" s="510"/>
      <c r="C885" s="23"/>
      <c r="D885" s="23"/>
      <c r="E885" s="23"/>
      <c r="F885" s="21"/>
      <c r="G885" s="21"/>
      <c r="H885" s="21"/>
      <c r="I885" s="511"/>
    </row>
    <row r="886" spans="1:9">
      <c r="A886" s="509"/>
      <c r="B886" s="510"/>
      <c r="C886" s="23"/>
      <c r="D886" s="23"/>
      <c r="E886" s="23"/>
      <c r="F886" s="21"/>
      <c r="G886" s="21"/>
      <c r="H886" s="21"/>
      <c r="I886" s="511"/>
    </row>
    <row r="887" spans="1:9">
      <c r="A887" s="509"/>
      <c r="B887" s="510"/>
      <c r="C887" s="23"/>
      <c r="D887" s="23"/>
      <c r="E887" s="23"/>
      <c r="F887" s="21"/>
      <c r="G887" s="21"/>
      <c r="H887" s="21"/>
      <c r="I887" s="511"/>
    </row>
    <row r="888" spans="1:9">
      <c r="A888" s="509"/>
      <c r="B888" s="510"/>
      <c r="C888" s="23"/>
      <c r="D888" s="23"/>
      <c r="E888" s="23"/>
      <c r="F888" s="21"/>
      <c r="G888" s="21"/>
      <c r="H888" s="21"/>
      <c r="I888" s="511"/>
    </row>
    <row r="889" spans="1:9">
      <c r="A889" s="509"/>
      <c r="B889" s="510"/>
      <c r="C889" s="23"/>
      <c r="D889" s="23"/>
      <c r="E889" s="23"/>
      <c r="F889" s="21"/>
      <c r="G889" s="21"/>
      <c r="H889" s="21"/>
      <c r="I889" s="511"/>
    </row>
    <row r="890" spans="1:9">
      <c r="A890" s="509"/>
      <c r="B890" s="510"/>
      <c r="C890" s="23"/>
      <c r="D890" s="23"/>
      <c r="E890" s="23"/>
      <c r="F890" s="21"/>
      <c r="G890" s="21"/>
      <c r="H890" s="21"/>
      <c r="I890" s="511"/>
    </row>
    <row r="891" spans="1:9">
      <c r="A891" s="509"/>
      <c r="B891" s="510"/>
      <c r="C891" s="23"/>
      <c r="D891" s="23"/>
      <c r="E891" s="23"/>
      <c r="F891" s="21"/>
      <c r="G891" s="21"/>
      <c r="H891" s="21"/>
      <c r="I891" s="511"/>
    </row>
    <row r="892" spans="1:9">
      <c r="A892" s="509"/>
      <c r="B892" s="510"/>
      <c r="C892" s="23"/>
      <c r="D892" s="23"/>
      <c r="E892" s="23"/>
      <c r="F892" s="21"/>
      <c r="G892" s="21"/>
      <c r="H892" s="21"/>
      <c r="I892" s="511"/>
    </row>
    <row r="893" spans="1:9">
      <c r="A893" s="509"/>
      <c r="B893" s="510"/>
      <c r="C893" s="23"/>
      <c r="D893" s="23"/>
      <c r="E893" s="23"/>
      <c r="F893" s="21"/>
      <c r="G893" s="21"/>
      <c r="H893" s="21"/>
      <c r="I893" s="511"/>
    </row>
    <row r="894" spans="1:9">
      <c r="A894" s="509"/>
      <c r="B894" s="510"/>
      <c r="C894" s="23"/>
      <c r="D894" s="23"/>
      <c r="E894" s="23"/>
      <c r="F894" s="21"/>
      <c r="G894" s="21"/>
      <c r="H894" s="21"/>
      <c r="I894" s="511"/>
    </row>
    <row r="895" spans="1:9">
      <c r="A895" s="509"/>
      <c r="B895" s="510"/>
      <c r="C895" s="23"/>
      <c r="D895" s="23"/>
      <c r="E895" s="23"/>
      <c r="F895" s="21"/>
      <c r="G895" s="21"/>
      <c r="H895" s="21"/>
      <c r="I895" s="511"/>
    </row>
    <row r="896" spans="1:9">
      <c r="A896" s="509"/>
      <c r="B896" s="510"/>
      <c r="C896" s="23"/>
      <c r="D896" s="23"/>
      <c r="E896" s="23"/>
      <c r="F896" s="21"/>
      <c r="G896" s="21"/>
      <c r="H896" s="21"/>
      <c r="I896" s="511"/>
    </row>
    <row r="897" spans="1:9">
      <c r="A897" s="509"/>
      <c r="B897" s="510"/>
      <c r="C897" s="23"/>
      <c r="D897" s="23"/>
      <c r="E897" s="23"/>
      <c r="F897" s="21"/>
      <c r="G897" s="21"/>
      <c r="H897" s="21"/>
      <c r="I897" s="511"/>
    </row>
    <row r="898" spans="1:9">
      <c r="A898" s="509"/>
      <c r="B898" s="510"/>
      <c r="C898" s="23"/>
      <c r="D898" s="23"/>
      <c r="E898" s="23"/>
      <c r="F898" s="21"/>
      <c r="G898" s="21"/>
      <c r="H898" s="21"/>
      <c r="I898" s="511"/>
    </row>
    <row r="899" spans="1:9">
      <c r="A899" s="509"/>
      <c r="B899" s="510"/>
      <c r="C899" s="23"/>
      <c r="D899" s="23"/>
      <c r="E899" s="23"/>
      <c r="F899" s="21"/>
      <c r="G899" s="21"/>
      <c r="H899" s="21"/>
      <c r="I899" s="511"/>
    </row>
    <row r="900" spans="1:9">
      <c r="A900" s="509"/>
      <c r="B900" s="510"/>
      <c r="C900" s="23"/>
      <c r="D900" s="23"/>
      <c r="E900" s="23"/>
      <c r="F900" s="21"/>
      <c r="G900" s="21"/>
      <c r="H900" s="21"/>
      <c r="I900" s="511"/>
    </row>
    <row r="901" spans="1:9">
      <c r="A901" s="509"/>
      <c r="B901" s="510"/>
      <c r="C901" s="23"/>
      <c r="D901" s="23"/>
      <c r="E901" s="23"/>
      <c r="F901" s="21"/>
      <c r="G901" s="21"/>
      <c r="H901" s="21"/>
      <c r="I901" s="511"/>
    </row>
    <row r="902" spans="1:9">
      <c r="A902" s="509"/>
      <c r="B902" s="510"/>
      <c r="C902" s="23"/>
      <c r="D902" s="23"/>
      <c r="E902" s="23"/>
      <c r="F902" s="21"/>
      <c r="G902" s="21"/>
      <c r="H902" s="21"/>
      <c r="I902" s="511"/>
    </row>
    <row r="903" spans="1:9">
      <c r="A903" s="509"/>
      <c r="B903" s="510"/>
      <c r="C903" s="23"/>
      <c r="D903" s="23"/>
      <c r="E903" s="23"/>
      <c r="F903" s="21"/>
      <c r="G903" s="21"/>
      <c r="H903" s="21"/>
      <c r="I903" s="511"/>
    </row>
    <row r="904" spans="1:9">
      <c r="A904" s="509"/>
      <c r="B904" s="510"/>
      <c r="C904" s="23"/>
      <c r="D904" s="23"/>
      <c r="E904" s="23"/>
      <c r="F904" s="21"/>
      <c r="G904" s="21"/>
      <c r="H904" s="21"/>
      <c r="I904" s="511"/>
    </row>
    <row r="905" spans="1:9">
      <c r="A905" s="509"/>
      <c r="B905" s="510"/>
      <c r="C905" s="23"/>
      <c r="D905" s="23"/>
      <c r="E905" s="23"/>
      <c r="F905" s="21"/>
      <c r="G905" s="21"/>
      <c r="H905" s="21"/>
      <c r="I905" s="511"/>
    </row>
    <row r="906" spans="1:9">
      <c r="A906" s="509"/>
      <c r="B906" s="510"/>
      <c r="C906" s="23"/>
      <c r="D906" s="23"/>
      <c r="E906" s="23"/>
      <c r="F906" s="21"/>
      <c r="G906" s="21"/>
      <c r="H906" s="21"/>
      <c r="I906" s="511"/>
    </row>
    <row r="907" spans="1:9">
      <c r="A907" s="509"/>
      <c r="B907" s="510"/>
      <c r="C907" s="23"/>
      <c r="D907" s="23"/>
      <c r="E907" s="23"/>
      <c r="F907" s="21"/>
      <c r="G907" s="21"/>
      <c r="H907" s="21"/>
      <c r="I907" s="511"/>
    </row>
    <row r="908" spans="1:9">
      <c r="A908" s="509"/>
      <c r="B908" s="510"/>
      <c r="C908" s="23"/>
      <c r="D908" s="23"/>
      <c r="E908" s="23"/>
      <c r="F908" s="21"/>
      <c r="G908" s="21"/>
      <c r="H908" s="21"/>
      <c r="I908" s="511"/>
    </row>
    <row r="909" spans="1:9">
      <c r="A909" s="509"/>
      <c r="B909" s="510"/>
      <c r="C909" s="23"/>
      <c r="D909" s="23"/>
      <c r="E909" s="23"/>
      <c r="F909" s="21"/>
      <c r="G909" s="21"/>
      <c r="H909" s="21"/>
      <c r="I909" s="511"/>
    </row>
    <row r="910" spans="1:9">
      <c r="A910" s="509"/>
      <c r="B910" s="510"/>
      <c r="C910" s="23"/>
      <c r="D910" s="23"/>
      <c r="E910" s="23"/>
      <c r="F910" s="21"/>
      <c r="G910" s="21"/>
      <c r="H910" s="21"/>
      <c r="I910" s="511"/>
    </row>
    <row r="911" spans="1:9">
      <c r="A911" s="509"/>
      <c r="B911" s="510"/>
      <c r="C911" s="23"/>
      <c r="D911" s="23"/>
      <c r="E911" s="23"/>
      <c r="F911" s="21"/>
      <c r="G911" s="21"/>
      <c r="H911" s="21"/>
      <c r="I911" s="511"/>
    </row>
    <row r="912" spans="1:9">
      <c r="A912" s="509"/>
      <c r="B912" s="510"/>
      <c r="C912" s="23"/>
      <c r="D912" s="23"/>
      <c r="E912" s="23"/>
      <c r="F912" s="21"/>
      <c r="G912" s="21"/>
      <c r="H912" s="21"/>
      <c r="I912" s="511"/>
    </row>
    <row r="913" spans="1:9">
      <c r="A913" s="509"/>
      <c r="B913" s="510"/>
      <c r="C913" s="23"/>
      <c r="D913" s="23"/>
      <c r="E913" s="23"/>
      <c r="F913" s="21"/>
      <c r="G913" s="21"/>
      <c r="H913" s="21"/>
      <c r="I913" s="511"/>
    </row>
    <row r="914" spans="1:9">
      <c r="A914" s="509"/>
      <c r="B914" s="510"/>
      <c r="C914" s="23"/>
      <c r="D914" s="23"/>
      <c r="E914" s="23"/>
      <c r="F914" s="21"/>
      <c r="G914" s="21"/>
      <c r="H914" s="21"/>
      <c r="I914" s="511"/>
    </row>
    <row r="915" spans="1:9">
      <c r="A915" s="509"/>
      <c r="B915" s="510"/>
      <c r="C915" s="23"/>
      <c r="D915" s="23"/>
      <c r="E915" s="23"/>
      <c r="F915" s="21"/>
      <c r="G915" s="21"/>
      <c r="H915" s="21"/>
      <c r="I915" s="511"/>
    </row>
    <row r="916" spans="1:9">
      <c r="A916" s="509"/>
      <c r="B916" s="510"/>
      <c r="C916" s="23"/>
      <c r="D916" s="23"/>
      <c r="E916" s="23"/>
      <c r="F916" s="21"/>
      <c r="G916" s="21"/>
      <c r="H916" s="21"/>
      <c r="I916" s="511"/>
    </row>
    <row r="917" spans="1:9">
      <c r="A917" s="509"/>
      <c r="B917" s="510"/>
      <c r="C917" s="23"/>
      <c r="D917" s="23"/>
      <c r="E917" s="23"/>
      <c r="F917" s="21"/>
      <c r="G917" s="21"/>
      <c r="H917" s="21"/>
      <c r="I917" s="511"/>
    </row>
    <row r="918" spans="1:9">
      <c r="A918" s="509"/>
      <c r="B918" s="510"/>
      <c r="C918" s="23"/>
      <c r="D918" s="23"/>
      <c r="E918" s="23"/>
      <c r="F918" s="21"/>
      <c r="G918" s="21"/>
      <c r="H918" s="21"/>
      <c r="I918" s="511"/>
    </row>
    <row r="919" spans="1:9">
      <c r="A919" s="509"/>
      <c r="B919" s="510"/>
      <c r="C919" s="23"/>
      <c r="D919" s="23"/>
      <c r="E919" s="23"/>
      <c r="F919" s="21"/>
      <c r="G919" s="21"/>
      <c r="H919" s="21"/>
      <c r="I919" s="511"/>
    </row>
    <row r="920" spans="1:9">
      <c r="A920" s="509"/>
      <c r="B920" s="510"/>
      <c r="C920" s="23"/>
      <c r="D920" s="23"/>
      <c r="E920" s="23"/>
      <c r="F920" s="21"/>
      <c r="G920" s="21"/>
      <c r="H920" s="21"/>
      <c r="I920" s="511"/>
    </row>
    <row r="921" spans="1:9">
      <c r="A921" s="509"/>
      <c r="B921" s="510"/>
      <c r="C921" s="23"/>
      <c r="D921" s="23"/>
      <c r="E921" s="23"/>
      <c r="F921" s="21"/>
      <c r="G921" s="21"/>
      <c r="H921" s="21"/>
      <c r="I921" s="511"/>
    </row>
    <row r="922" spans="1:9">
      <c r="A922" s="509"/>
      <c r="B922" s="510"/>
      <c r="C922" s="23"/>
      <c r="D922" s="23"/>
      <c r="E922" s="23"/>
      <c r="F922" s="21"/>
      <c r="G922" s="21"/>
      <c r="H922" s="21"/>
      <c r="I922" s="511"/>
    </row>
    <row r="923" spans="1:9">
      <c r="A923" s="509"/>
      <c r="B923" s="510"/>
      <c r="C923" s="23"/>
      <c r="D923" s="23"/>
      <c r="E923" s="23"/>
      <c r="F923" s="21"/>
      <c r="G923" s="21"/>
      <c r="H923" s="21"/>
      <c r="I923" s="511"/>
    </row>
    <row r="924" spans="1:9">
      <c r="A924" s="509"/>
      <c r="B924" s="510"/>
      <c r="C924" s="23"/>
      <c r="D924" s="23"/>
      <c r="E924" s="23"/>
      <c r="F924" s="21"/>
      <c r="G924" s="21"/>
      <c r="H924" s="21"/>
      <c r="I924" s="511"/>
    </row>
    <row r="925" spans="1:9">
      <c r="A925" s="509"/>
      <c r="B925" s="510"/>
      <c r="C925" s="23"/>
      <c r="D925" s="23"/>
      <c r="E925" s="23"/>
      <c r="F925" s="21"/>
      <c r="G925" s="21"/>
      <c r="H925" s="21"/>
      <c r="I925" s="511"/>
    </row>
    <row r="926" spans="1:9">
      <c r="A926" s="509"/>
      <c r="B926" s="510"/>
      <c r="C926" s="23"/>
      <c r="D926" s="23"/>
      <c r="E926" s="23"/>
      <c r="F926" s="21"/>
      <c r="G926" s="21"/>
      <c r="H926" s="21"/>
      <c r="I926" s="511"/>
    </row>
    <row r="927" spans="1:9">
      <c r="A927" s="509"/>
      <c r="B927" s="510"/>
      <c r="C927" s="23"/>
      <c r="D927" s="23"/>
      <c r="E927" s="23"/>
      <c r="F927" s="21"/>
      <c r="G927" s="21"/>
      <c r="H927" s="21"/>
      <c r="I927" s="511"/>
    </row>
    <row r="928" spans="1:9">
      <c r="A928" s="509"/>
      <c r="B928" s="510"/>
      <c r="C928" s="23"/>
      <c r="D928" s="23"/>
      <c r="E928" s="23"/>
      <c r="F928" s="21"/>
      <c r="G928" s="21"/>
      <c r="H928" s="21"/>
      <c r="I928" s="511"/>
    </row>
    <row r="929" spans="1:9">
      <c r="A929" s="509"/>
      <c r="B929" s="510"/>
      <c r="C929" s="23"/>
      <c r="D929" s="23"/>
      <c r="E929" s="23"/>
      <c r="F929" s="21"/>
      <c r="G929" s="21"/>
      <c r="H929" s="21"/>
      <c r="I929" s="511"/>
    </row>
    <row r="930" spans="1:9">
      <c r="A930" s="509"/>
      <c r="B930" s="510"/>
      <c r="C930" s="23"/>
      <c r="D930" s="23"/>
      <c r="E930" s="23"/>
      <c r="F930" s="21"/>
      <c r="G930" s="21"/>
      <c r="H930" s="21"/>
      <c r="I930" s="511"/>
    </row>
    <row r="931" spans="1:9">
      <c r="A931" s="509"/>
      <c r="B931" s="510"/>
      <c r="C931" s="23"/>
      <c r="D931" s="23"/>
      <c r="E931" s="23"/>
      <c r="F931" s="21"/>
      <c r="G931" s="21"/>
      <c r="H931" s="21"/>
      <c r="I931" s="511"/>
    </row>
    <row r="932" spans="1:9">
      <c r="A932" s="509"/>
      <c r="B932" s="510"/>
      <c r="C932" s="23"/>
      <c r="D932" s="23"/>
      <c r="E932" s="23"/>
      <c r="F932" s="21"/>
      <c r="G932" s="21"/>
      <c r="H932" s="21"/>
      <c r="I932" s="511"/>
    </row>
    <row r="933" spans="1:9">
      <c r="A933" s="509"/>
      <c r="B933" s="510"/>
      <c r="C933" s="23"/>
      <c r="D933" s="23"/>
      <c r="E933" s="23"/>
      <c r="F933" s="21"/>
      <c r="G933" s="21"/>
      <c r="H933" s="21"/>
      <c r="I933" s="511"/>
    </row>
    <row r="934" spans="1:9">
      <c r="A934" s="509"/>
      <c r="B934" s="510"/>
      <c r="C934" s="23"/>
      <c r="D934" s="23"/>
      <c r="E934" s="23"/>
      <c r="F934" s="21"/>
      <c r="G934" s="21"/>
      <c r="H934" s="21"/>
      <c r="I934" s="511"/>
    </row>
    <row r="935" spans="1:9">
      <c r="A935" s="509"/>
      <c r="B935" s="510"/>
      <c r="C935" s="23"/>
      <c r="D935" s="23"/>
      <c r="E935" s="23"/>
      <c r="F935" s="21"/>
      <c r="G935" s="21"/>
      <c r="H935" s="21"/>
      <c r="I935" s="511"/>
    </row>
    <row r="936" spans="1:9">
      <c r="A936" s="509"/>
      <c r="B936" s="510"/>
      <c r="C936" s="23"/>
      <c r="D936" s="23"/>
      <c r="E936" s="23"/>
      <c r="F936" s="21"/>
      <c r="G936" s="21"/>
      <c r="H936" s="21"/>
      <c r="I936" s="511"/>
    </row>
    <row r="937" spans="1:9">
      <c r="A937" s="509"/>
      <c r="B937" s="510"/>
      <c r="C937" s="23"/>
      <c r="D937" s="23"/>
      <c r="E937" s="23"/>
      <c r="F937" s="21"/>
      <c r="G937" s="21"/>
      <c r="H937" s="21"/>
      <c r="I937" s="511"/>
    </row>
    <row r="938" spans="1:9">
      <c r="A938" s="509"/>
      <c r="B938" s="510"/>
      <c r="C938" s="23"/>
      <c r="D938" s="23"/>
      <c r="E938" s="23"/>
      <c r="F938" s="21"/>
      <c r="G938" s="21"/>
      <c r="H938" s="21"/>
      <c r="I938" s="511"/>
    </row>
    <row r="939" spans="1:9">
      <c r="A939" s="509"/>
      <c r="B939" s="510"/>
      <c r="C939" s="23"/>
      <c r="D939" s="23"/>
      <c r="E939" s="23"/>
      <c r="F939" s="21"/>
      <c r="G939" s="21"/>
      <c r="H939" s="21"/>
      <c r="I939" s="511"/>
    </row>
    <row r="940" spans="1:9">
      <c r="A940" s="509"/>
      <c r="B940" s="510"/>
      <c r="C940" s="23"/>
      <c r="D940" s="23"/>
      <c r="E940" s="23"/>
      <c r="F940" s="21"/>
      <c r="G940" s="21"/>
      <c r="H940" s="21"/>
      <c r="I940" s="511"/>
    </row>
    <row r="941" spans="1:9">
      <c r="A941" s="509"/>
      <c r="B941" s="510"/>
      <c r="C941" s="23"/>
      <c r="D941" s="23"/>
      <c r="E941" s="23"/>
      <c r="F941" s="21"/>
      <c r="G941" s="21"/>
      <c r="H941" s="21"/>
      <c r="I941" s="511"/>
    </row>
    <row r="942" spans="1:9">
      <c r="A942" s="509"/>
      <c r="B942" s="510"/>
      <c r="C942" s="23"/>
      <c r="D942" s="23"/>
      <c r="E942" s="23"/>
      <c r="F942" s="21"/>
      <c r="G942" s="21"/>
      <c r="H942" s="21"/>
      <c r="I942" s="511"/>
    </row>
    <row r="943" spans="1:9">
      <c r="A943" s="509"/>
      <c r="B943" s="510"/>
      <c r="C943" s="23"/>
      <c r="D943" s="23"/>
      <c r="E943" s="23"/>
      <c r="F943" s="21"/>
      <c r="G943" s="21"/>
      <c r="H943" s="21"/>
      <c r="I943" s="511"/>
    </row>
    <row r="944" spans="1:9">
      <c r="A944" s="509"/>
      <c r="B944" s="510"/>
      <c r="C944" s="23"/>
      <c r="D944" s="23"/>
      <c r="E944" s="23"/>
      <c r="F944" s="21"/>
      <c r="G944" s="21"/>
      <c r="H944" s="21"/>
      <c r="I944" s="511"/>
    </row>
    <row r="945" spans="1:9">
      <c r="A945" s="509"/>
      <c r="B945" s="510"/>
      <c r="C945" s="23"/>
      <c r="D945" s="23"/>
      <c r="E945" s="23"/>
      <c r="F945" s="21"/>
      <c r="G945" s="21"/>
      <c r="H945" s="21"/>
      <c r="I945" s="511"/>
    </row>
    <row r="946" spans="1:9">
      <c r="A946" s="509"/>
      <c r="B946" s="510"/>
      <c r="C946" s="23"/>
      <c r="D946" s="23"/>
      <c r="E946" s="23"/>
      <c r="F946" s="21"/>
      <c r="G946" s="21"/>
      <c r="H946" s="21"/>
      <c r="I946" s="511"/>
    </row>
    <row r="947" spans="1:9">
      <c r="A947" s="509"/>
      <c r="B947" s="510"/>
      <c r="C947" s="23"/>
      <c r="D947" s="23"/>
      <c r="E947" s="23"/>
      <c r="F947" s="21"/>
      <c r="G947" s="21"/>
      <c r="H947" s="21"/>
      <c r="I947" s="511"/>
    </row>
    <row r="948" spans="1:9">
      <c r="A948" s="509"/>
      <c r="B948" s="510"/>
      <c r="C948" s="23"/>
      <c r="D948" s="23"/>
      <c r="E948" s="23"/>
      <c r="F948" s="21"/>
      <c r="G948" s="21"/>
      <c r="H948" s="21"/>
      <c r="I948" s="511"/>
    </row>
    <row r="949" spans="1:9">
      <c r="A949" s="509"/>
      <c r="B949" s="510"/>
      <c r="C949" s="23"/>
      <c r="D949" s="23"/>
      <c r="E949" s="23"/>
      <c r="F949" s="21"/>
      <c r="G949" s="21"/>
      <c r="H949" s="21"/>
      <c r="I949" s="511"/>
    </row>
    <row r="950" spans="1:9">
      <c r="A950" s="509"/>
      <c r="B950" s="510"/>
      <c r="C950" s="23"/>
      <c r="D950" s="23"/>
      <c r="E950" s="23"/>
      <c r="F950" s="21"/>
      <c r="G950" s="21"/>
      <c r="H950" s="21"/>
      <c r="I950" s="511"/>
    </row>
    <row r="951" spans="1:9">
      <c r="A951" s="509"/>
      <c r="B951" s="510"/>
      <c r="C951" s="23"/>
      <c r="D951" s="23"/>
      <c r="E951" s="23"/>
      <c r="F951" s="21"/>
      <c r="G951" s="21"/>
      <c r="H951" s="21"/>
      <c r="I951" s="511"/>
    </row>
    <row r="952" spans="1:9">
      <c r="A952" s="509"/>
      <c r="B952" s="510"/>
      <c r="C952" s="23"/>
      <c r="D952" s="23"/>
      <c r="E952" s="23"/>
      <c r="F952" s="21"/>
      <c r="G952" s="21"/>
      <c r="H952" s="21"/>
      <c r="I952" s="511"/>
    </row>
    <row r="953" spans="1:9">
      <c r="A953" s="509"/>
      <c r="B953" s="510"/>
      <c r="C953" s="23"/>
      <c r="D953" s="23"/>
      <c r="E953" s="23"/>
      <c r="F953" s="21"/>
      <c r="G953" s="21"/>
      <c r="H953" s="21"/>
      <c r="I953" s="511"/>
    </row>
    <row r="954" spans="1:9">
      <c r="A954" s="509"/>
      <c r="B954" s="510"/>
      <c r="C954" s="23"/>
      <c r="D954" s="23"/>
      <c r="E954" s="23"/>
      <c r="F954" s="21"/>
      <c r="G954" s="21"/>
      <c r="H954" s="21"/>
      <c r="I954" s="511"/>
    </row>
    <row r="955" spans="1:9">
      <c r="A955" s="509"/>
      <c r="B955" s="510"/>
      <c r="C955" s="23"/>
      <c r="D955" s="23"/>
      <c r="E955" s="23"/>
      <c r="F955" s="21"/>
      <c r="G955" s="21"/>
      <c r="H955" s="21"/>
      <c r="I955" s="511"/>
    </row>
    <row r="956" spans="1:9">
      <c r="A956" s="509"/>
      <c r="B956" s="510"/>
      <c r="C956" s="23"/>
      <c r="D956" s="23"/>
      <c r="E956" s="23"/>
      <c r="F956" s="21"/>
      <c r="G956" s="21"/>
      <c r="H956" s="21"/>
      <c r="I956" s="511"/>
    </row>
    <row r="957" spans="1:9">
      <c r="A957" s="509"/>
      <c r="B957" s="510"/>
      <c r="C957" s="23"/>
      <c r="D957" s="23"/>
      <c r="E957" s="23"/>
      <c r="F957" s="21"/>
      <c r="G957" s="21"/>
      <c r="H957" s="21"/>
      <c r="I957" s="511"/>
    </row>
    <row r="958" spans="1:9">
      <c r="A958" s="509"/>
      <c r="B958" s="510"/>
      <c r="C958" s="23"/>
      <c r="D958" s="23"/>
      <c r="E958" s="23"/>
      <c r="F958" s="21"/>
      <c r="G958" s="21"/>
      <c r="H958" s="21"/>
      <c r="I958" s="511"/>
    </row>
    <row r="959" spans="1:9">
      <c r="A959" s="509"/>
      <c r="B959" s="510"/>
      <c r="C959" s="23"/>
      <c r="D959" s="23"/>
      <c r="E959" s="23"/>
      <c r="F959" s="21"/>
      <c r="G959" s="21"/>
      <c r="H959" s="21"/>
      <c r="I959" s="511"/>
    </row>
    <row r="960" spans="1:9">
      <c r="A960" s="509"/>
      <c r="B960" s="510"/>
      <c r="C960" s="23"/>
      <c r="D960" s="23"/>
      <c r="E960" s="23"/>
      <c r="F960" s="21"/>
      <c r="G960" s="21"/>
      <c r="H960" s="21"/>
      <c r="I960" s="511"/>
    </row>
    <row r="961" spans="1:9">
      <c r="A961" s="509"/>
      <c r="B961" s="510"/>
      <c r="C961" s="23"/>
      <c r="D961" s="23"/>
      <c r="E961" s="23"/>
      <c r="F961" s="21"/>
      <c r="G961" s="21"/>
      <c r="H961" s="21"/>
      <c r="I961" s="511"/>
    </row>
    <row r="962" spans="1:9">
      <c r="A962" s="509"/>
      <c r="B962" s="510"/>
      <c r="C962" s="23"/>
      <c r="D962" s="23"/>
      <c r="E962" s="23"/>
      <c r="F962" s="21"/>
      <c r="G962" s="21"/>
      <c r="H962" s="21"/>
      <c r="I962" s="511"/>
    </row>
    <row r="963" spans="1:9">
      <c r="A963" s="509"/>
      <c r="B963" s="510"/>
      <c r="C963" s="23"/>
      <c r="D963" s="23"/>
      <c r="E963" s="23"/>
      <c r="F963" s="21"/>
      <c r="G963" s="21"/>
      <c r="H963" s="21"/>
      <c r="I963" s="511"/>
    </row>
    <row r="964" spans="1:9">
      <c r="A964" s="509"/>
      <c r="B964" s="510"/>
      <c r="C964" s="23"/>
      <c r="D964" s="23"/>
      <c r="E964" s="23"/>
      <c r="F964" s="21"/>
      <c r="G964" s="21"/>
      <c r="H964" s="21"/>
      <c r="I964" s="511"/>
    </row>
    <row r="965" spans="1:9">
      <c r="A965" s="509"/>
      <c r="B965" s="510"/>
      <c r="C965" s="23"/>
      <c r="D965" s="23"/>
      <c r="E965" s="23"/>
      <c r="F965" s="21"/>
      <c r="G965" s="21"/>
      <c r="H965" s="21"/>
      <c r="I965" s="511"/>
    </row>
    <row r="966" spans="1:9">
      <c r="A966" s="509"/>
      <c r="B966" s="510"/>
      <c r="C966" s="23"/>
      <c r="D966" s="23"/>
      <c r="E966" s="23"/>
      <c r="F966" s="21"/>
      <c r="G966" s="21"/>
      <c r="H966" s="21"/>
      <c r="I966" s="511"/>
    </row>
    <row r="967" spans="1:9">
      <c r="A967" s="509"/>
      <c r="B967" s="510"/>
      <c r="C967" s="23"/>
      <c r="D967" s="23"/>
      <c r="E967" s="23"/>
      <c r="F967" s="21"/>
      <c r="G967" s="21"/>
      <c r="H967" s="21"/>
      <c r="I967" s="511"/>
    </row>
    <row r="968" spans="1:9">
      <c r="A968" s="509"/>
      <c r="B968" s="510"/>
      <c r="C968" s="23"/>
      <c r="D968" s="23"/>
      <c r="E968" s="23"/>
      <c r="F968" s="21"/>
      <c r="G968" s="21"/>
      <c r="H968" s="21"/>
      <c r="I968" s="511"/>
    </row>
    <row r="969" spans="1:9">
      <c r="A969" s="509"/>
      <c r="B969" s="510"/>
      <c r="C969" s="23"/>
      <c r="D969" s="23"/>
      <c r="E969" s="23"/>
      <c r="F969" s="21"/>
      <c r="G969" s="21"/>
      <c r="H969" s="21"/>
      <c r="I969" s="511"/>
    </row>
    <row r="970" spans="1:9">
      <c r="A970" s="509"/>
      <c r="B970" s="510"/>
      <c r="C970" s="23"/>
      <c r="D970" s="23"/>
      <c r="E970" s="23"/>
      <c r="F970" s="21"/>
      <c r="G970" s="21"/>
      <c r="H970" s="21"/>
      <c r="I970" s="511"/>
    </row>
    <row r="971" spans="1:9">
      <c r="A971" s="509"/>
      <c r="B971" s="510"/>
      <c r="C971" s="23"/>
      <c r="D971" s="23"/>
      <c r="E971" s="23"/>
      <c r="F971" s="21"/>
      <c r="G971" s="21"/>
      <c r="H971" s="21"/>
      <c r="I971" s="511"/>
    </row>
    <row r="972" spans="1:9">
      <c r="A972" s="509"/>
      <c r="B972" s="510"/>
      <c r="C972" s="23"/>
      <c r="D972" s="23"/>
      <c r="E972" s="23"/>
      <c r="F972" s="21"/>
      <c r="G972" s="21"/>
      <c r="H972" s="21"/>
      <c r="I972" s="511"/>
    </row>
    <row r="973" spans="1:9">
      <c r="A973" s="509"/>
      <c r="B973" s="510"/>
      <c r="C973" s="23"/>
      <c r="D973" s="23"/>
      <c r="E973" s="23"/>
      <c r="F973" s="21"/>
      <c r="G973" s="21"/>
      <c r="H973" s="21"/>
      <c r="I973" s="511"/>
    </row>
    <row r="974" spans="1:9">
      <c r="A974" s="509"/>
      <c r="B974" s="510"/>
      <c r="C974" s="23"/>
      <c r="D974" s="23"/>
      <c r="E974" s="23"/>
      <c r="F974" s="21"/>
      <c r="G974" s="21"/>
      <c r="H974" s="21"/>
      <c r="I974" s="511"/>
    </row>
    <row r="975" spans="1:9">
      <c r="A975" s="509"/>
      <c r="B975" s="510"/>
      <c r="C975" s="23"/>
      <c r="D975" s="23"/>
      <c r="E975" s="23"/>
      <c r="F975" s="21"/>
      <c r="G975" s="21"/>
      <c r="H975" s="21"/>
      <c r="I975" s="511"/>
    </row>
    <row r="976" spans="1:9">
      <c r="A976" s="509"/>
      <c r="B976" s="510"/>
      <c r="C976" s="23"/>
      <c r="D976" s="23"/>
      <c r="E976" s="23"/>
      <c r="F976" s="21"/>
      <c r="G976" s="21"/>
      <c r="H976" s="21"/>
      <c r="I976" s="511"/>
    </row>
    <row r="977" spans="1:9">
      <c r="A977" s="509"/>
      <c r="B977" s="510"/>
      <c r="C977" s="23"/>
      <c r="D977" s="23"/>
      <c r="E977" s="23"/>
      <c r="F977" s="21"/>
      <c r="G977" s="21"/>
      <c r="H977" s="21"/>
      <c r="I977" s="511"/>
    </row>
    <row r="978" spans="1:9">
      <c r="A978" s="509"/>
      <c r="B978" s="510"/>
      <c r="C978" s="23"/>
      <c r="D978" s="23"/>
      <c r="E978" s="23"/>
      <c r="F978" s="21"/>
      <c r="G978" s="21"/>
      <c r="H978" s="21"/>
      <c r="I978" s="511"/>
    </row>
    <row r="979" spans="1:9">
      <c r="A979" s="509"/>
      <c r="B979" s="510"/>
      <c r="C979" s="23"/>
      <c r="D979" s="23"/>
      <c r="E979" s="23"/>
      <c r="F979" s="21"/>
      <c r="G979" s="21"/>
      <c r="H979" s="21"/>
      <c r="I979" s="511"/>
    </row>
    <row r="980" spans="1:9">
      <c r="A980" s="509"/>
      <c r="B980" s="510"/>
      <c r="C980" s="23"/>
      <c r="D980" s="23"/>
      <c r="E980" s="23"/>
      <c r="F980" s="21"/>
      <c r="G980" s="21"/>
      <c r="H980" s="21"/>
      <c r="I980" s="511"/>
    </row>
    <row r="981" spans="1:9">
      <c r="A981" s="509"/>
      <c r="B981" s="510"/>
      <c r="C981" s="23"/>
      <c r="D981" s="23"/>
      <c r="E981" s="23"/>
      <c r="F981" s="21"/>
      <c r="G981" s="21"/>
      <c r="H981" s="21"/>
      <c r="I981" s="511"/>
    </row>
    <row r="982" spans="1:9">
      <c r="A982" s="509"/>
      <c r="B982" s="510"/>
      <c r="C982" s="23"/>
      <c r="D982" s="23"/>
      <c r="E982" s="23"/>
      <c r="F982" s="21"/>
      <c r="G982" s="21"/>
      <c r="H982" s="21"/>
      <c r="I982" s="511"/>
    </row>
    <row r="983" spans="1:9">
      <c r="A983" s="509"/>
      <c r="B983" s="510"/>
      <c r="C983" s="23"/>
      <c r="D983" s="23"/>
      <c r="E983" s="23"/>
      <c r="F983" s="21"/>
      <c r="G983" s="21"/>
      <c r="H983" s="21"/>
      <c r="I983" s="511"/>
    </row>
    <row r="984" spans="1:9">
      <c r="A984" s="509"/>
      <c r="B984" s="510"/>
      <c r="C984" s="23"/>
      <c r="D984" s="23"/>
      <c r="E984" s="23"/>
      <c r="F984" s="21"/>
      <c r="G984" s="21"/>
      <c r="H984" s="21"/>
      <c r="I984" s="511"/>
    </row>
    <row r="985" spans="1:9">
      <c r="A985" s="509"/>
      <c r="B985" s="510"/>
      <c r="C985" s="23"/>
      <c r="D985" s="23"/>
      <c r="E985" s="23"/>
      <c r="F985" s="21"/>
      <c r="G985" s="21"/>
      <c r="H985" s="21"/>
      <c r="I985" s="511"/>
    </row>
    <row r="986" spans="1:9">
      <c r="A986" s="509"/>
      <c r="B986" s="510"/>
      <c r="C986" s="23"/>
      <c r="D986" s="23"/>
      <c r="E986" s="23"/>
      <c r="F986" s="21"/>
      <c r="G986" s="21"/>
      <c r="H986" s="21"/>
      <c r="I986" s="511"/>
    </row>
    <row r="987" spans="1:9">
      <c r="A987" s="509"/>
      <c r="B987" s="510"/>
      <c r="C987" s="23"/>
      <c r="D987" s="23"/>
      <c r="E987" s="23"/>
      <c r="F987" s="21"/>
      <c r="G987" s="21"/>
      <c r="H987" s="21"/>
      <c r="I987" s="511"/>
    </row>
    <row r="988" spans="1:9">
      <c r="A988" s="509"/>
      <c r="B988" s="510"/>
      <c r="C988" s="23"/>
      <c r="D988" s="23"/>
      <c r="E988" s="23"/>
      <c r="F988" s="21"/>
      <c r="G988" s="21"/>
      <c r="H988" s="21"/>
      <c r="I988" s="511"/>
    </row>
    <row r="989" spans="1:9">
      <c r="A989" s="509"/>
      <c r="B989" s="510"/>
      <c r="C989" s="23"/>
      <c r="D989" s="23"/>
      <c r="E989" s="23"/>
      <c r="F989" s="21"/>
      <c r="G989" s="21"/>
      <c r="H989" s="21"/>
      <c r="I989" s="511"/>
    </row>
    <row r="990" spans="1:9">
      <c r="A990" s="509"/>
      <c r="B990" s="510"/>
      <c r="C990" s="23"/>
      <c r="D990" s="23"/>
      <c r="E990" s="23"/>
      <c r="F990" s="21"/>
      <c r="G990" s="21"/>
      <c r="H990" s="21"/>
      <c r="I990" s="511"/>
    </row>
    <row r="991" spans="1:9">
      <c r="A991" s="509"/>
      <c r="B991" s="510"/>
      <c r="C991" s="23"/>
      <c r="D991" s="23"/>
      <c r="E991" s="23"/>
      <c r="F991" s="21"/>
      <c r="G991" s="21"/>
      <c r="H991" s="21"/>
      <c r="I991" s="511"/>
    </row>
    <row r="992" spans="1:9">
      <c r="A992" s="509"/>
      <c r="B992" s="510"/>
      <c r="C992" s="23"/>
      <c r="D992" s="23"/>
      <c r="E992" s="23"/>
      <c r="F992" s="21"/>
      <c r="G992" s="21"/>
      <c r="H992" s="21"/>
      <c r="I992" s="511"/>
    </row>
    <row r="993" spans="1:9">
      <c r="A993" s="509"/>
      <c r="B993" s="510"/>
      <c r="C993" s="23"/>
      <c r="D993" s="23"/>
      <c r="E993" s="23"/>
      <c r="F993" s="21"/>
      <c r="G993" s="21"/>
      <c r="H993" s="21"/>
      <c r="I993" s="511"/>
    </row>
    <row r="994" spans="1:9">
      <c r="A994" s="509"/>
      <c r="B994" s="510"/>
      <c r="C994" s="23"/>
      <c r="D994" s="23"/>
      <c r="E994" s="23"/>
      <c r="F994" s="21"/>
      <c r="G994" s="21"/>
      <c r="H994" s="21"/>
      <c r="I994" s="511"/>
    </row>
    <row r="995" spans="1:9">
      <c r="A995" s="509"/>
      <c r="B995" s="510"/>
      <c r="C995" s="23"/>
      <c r="D995" s="23"/>
      <c r="E995" s="23"/>
      <c r="F995" s="21"/>
      <c r="G995" s="21"/>
      <c r="H995" s="21"/>
      <c r="I995" s="511"/>
    </row>
    <row r="996" spans="1:9">
      <c r="A996" s="509"/>
      <c r="B996" s="510"/>
      <c r="C996" s="23"/>
      <c r="D996" s="23"/>
      <c r="E996" s="23"/>
      <c r="F996" s="21"/>
      <c r="G996" s="21"/>
      <c r="H996" s="21"/>
      <c r="I996" s="511"/>
    </row>
    <row r="997" spans="1:9">
      <c r="A997" s="509"/>
      <c r="B997" s="510"/>
      <c r="C997" s="23"/>
      <c r="D997" s="23"/>
      <c r="E997" s="23"/>
      <c r="F997" s="21"/>
      <c r="G997" s="21"/>
      <c r="H997" s="21"/>
      <c r="I997" s="511"/>
    </row>
    <row r="998" spans="1:9">
      <c r="A998" s="509"/>
      <c r="B998" s="510"/>
      <c r="C998" s="23"/>
      <c r="D998" s="23"/>
      <c r="E998" s="23"/>
      <c r="F998" s="21"/>
      <c r="G998" s="21"/>
      <c r="H998" s="21"/>
      <c r="I998" s="511"/>
    </row>
    <row r="999" spans="1:9">
      <c r="A999" s="509"/>
      <c r="B999" s="510"/>
      <c r="C999" s="23"/>
      <c r="D999" s="23"/>
      <c r="E999" s="23"/>
      <c r="F999" s="21"/>
      <c r="G999" s="21"/>
      <c r="H999" s="21"/>
      <c r="I999" s="511"/>
    </row>
    <row r="1000" spans="1:9">
      <c r="A1000" s="509"/>
      <c r="B1000" s="510"/>
      <c r="C1000" s="23"/>
      <c r="D1000" s="23"/>
      <c r="E1000" s="23"/>
      <c r="F1000" s="21"/>
      <c r="G1000" s="21"/>
      <c r="H1000" s="21"/>
      <c r="I1000" s="511"/>
    </row>
    <row r="1001" spans="1:9">
      <c r="A1001" s="509"/>
      <c r="B1001" s="510"/>
      <c r="C1001" s="23"/>
      <c r="D1001" s="23"/>
      <c r="E1001" s="23"/>
      <c r="F1001" s="21"/>
      <c r="G1001" s="21"/>
      <c r="H1001" s="21"/>
      <c r="I1001" s="511"/>
    </row>
    <row r="1002" spans="1:9">
      <c r="A1002" s="509"/>
      <c r="B1002" s="510"/>
      <c r="C1002" s="23"/>
      <c r="D1002" s="23"/>
      <c r="E1002" s="23"/>
      <c r="F1002" s="21"/>
      <c r="G1002" s="21"/>
      <c r="H1002" s="21"/>
      <c r="I1002" s="511"/>
    </row>
    <row r="1003" spans="1:9">
      <c r="A1003" s="509"/>
      <c r="B1003" s="510"/>
      <c r="C1003" s="23"/>
      <c r="D1003" s="23"/>
      <c r="E1003" s="23"/>
      <c r="F1003" s="21"/>
      <c r="G1003" s="21"/>
      <c r="H1003" s="21"/>
      <c r="I1003" s="511"/>
    </row>
    <row r="1004" spans="1:9">
      <c r="A1004" s="509"/>
      <c r="B1004" s="510"/>
      <c r="C1004" s="23"/>
      <c r="D1004" s="23"/>
      <c r="E1004" s="23"/>
      <c r="F1004" s="21"/>
      <c r="G1004" s="21"/>
      <c r="H1004" s="21"/>
      <c r="I1004" s="511"/>
    </row>
    <row r="1005" spans="1:9">
      <c r="A1005" s="509"/>
      <c r="B1005" s="510"/>
      <c r="C1005" s="23"/>
      <c r="D1005" s="23"/>
      <c r="E1005" s="23"/>
      <c r="F1005" s="21"/>
      <c r="G1005" s="21"/>
      <c r="H1005" s="21"/>
      <c r="I1005" s="511"/>
    </row>
    <row r="1006" spans="1:9">
      <c r="A1006" s="509"/>
      <c r="B1006" s="510"/>
      <c r="C1006" s="23"/>
      <c r="D1006" s="23"/>
      <c r="E1006" s="23"/>
      <c r="F1006" s="21"/>
      <c r="G1006" s="21"/>
      <c r="H1006" s="21"/>
      <c r="I1006" s="511"/>
    </row>
    <row r="1007" spans="1:9">
      <c r="A1007" s="509"/>
      <c r="B1007" s="510"/>
      <c r="C1007" s="23"/>
      <c r="D1007" s="23"/>
      <c r="E1007" s="23"/>
      <c r="F1007" s="21"/>
      <c r="G1007" s="21"/>
      <c r="H1007" s="21"/>
      <c r="I1007" s="511"/>
    </row>
    <row r="1008" spans="1:9">
      <c r="A1008" s="509"/>
      <c r="B1008" s="510"/>
      <c r="C1008" s="23"/>
      <c r="D1008" s="23"/>
      <c r="E1008" s="23"/>
      <c r="F1008" s="21"/>
      <c r="G1008" s="21"/>
      <c r="H1008" s="21"/>
      <c r="I1008" s="511"/>
    </row>
    <row r="1009" spans="1:9">
      <c r="A1009" s="509"/>
      <c r="B1009" s="510"/>
      <c r="C1009" s="23"/>
      <c r="D1009" s="23"/>
      <c r="E1009" s="23"/>
      <c r="F1009" s="21"/>
      <c r="G1009" s="21"/>
      <c r="H1009" s="21"/>
      <c r="I1009" s="511"/>
    </row>
    <row r="1010" spans="1:9">
      <c r="A1010" s="509"/>
      <c r="B1010" s="510"/>
      <c r="C1010" s="23"/>
      <c r="D1010" s="23"/>
      <c r="E1010" s="23"/>
      <c r="F1010" s="21"/>
      <c r="G1010" s="21"/>
      <c r="H1010" s="21"/>
      <c r="I1010" s="511"/>
    </row>
    <row r="1011" spans="1:9">
      <c r="A1011" s="509"/>
      <c r="B1011" s="510"/>
      <c r="C1011" s="23"/>
      <c r="D1011" s="23"/>
      <c r="E1011" s="23"/>
      <c r="F1011" s="21"/>
      <c r="G1011" s="21"/>
      <c r="H1011" s="21"/>
      <c r="I1011" s="511"/>
    </row>
    <row r="1012" spans="1:9">
      <c r="A1012" s="509"/>
      <c r="B1012" s="510"/>
      <c r="C1012" s="23"/>
      <c r="D1012" s="23"/>
      <c r="E1012" s="23"/>
      <c r="F1012" s="21"/>
      <c r="G1012" s="21"/>
      <c r="H1012" s="21"/>
      <c r="I1012" s="511"/>
    </row>
    <row r="1013" spans="1:9">
      <c r="A1013" s="509"/>
      <c r="B1013" s="510"/>
      <c r="C1013" s="23"/>
      <c r="D1013" s="23"/>
      <c r="E1013" s="23"/>
      <c r="F1013" s="21"/>
      <c r="G1013" s="21"/>
      <c r="H1013" s="21"/>
      <c r="I1013" s="511"/>
    </row>
    <row r="1014" spans="1:9">
      <c r="A1014" s="509"/>
      <c r="B1014" s="510"/>
      <c r="C1014" s="23"/>
      <c r="D1014" s="23"/>
      <c r="E1014" s="23"/>
      <c r="F1014" s="21"/>
      <c r="G1014" s="21"/>
      <c r="H1014" s="21"/>
      <c r="I1014" s="511"/>
    </row>
    <row r="1015" spans="1:9">
      <c r="A1015" s="509"/>
      <c r="B1015" s="510"/>
      <c r="C1015" s="23"/>
      <c r="D1015" s="23"/>
      <c r="E1015" s="23"/>
      <c r="F1015" s="21"/>
      <c r="G1015" s="21"/>
      <c r="H1015" s="21"/>
      <c r="I1015" s="511"/>
    </row>
    <row r="1016" spans="1:9">
      <c r="A1016" s="509"/>
      <c r="B1016" s="510"/>
      <c r="C1016" s="23"/>
      <c r="D1016" s="23"/>
      <c r="E1016" s="23"/>
      <c r="F1016" s="21"/>
      <c r="G1016" s="21"/>
      <c r="H1016" s="21"/>
      <c r="I1016" s="511"/>
    </row>
    <row r="1017" spans="1:9">
      <c r="A1017" s="509"/>
      <c r="B1017" s="510"/>
      <c r="C1017" s="23"/>
      <c r="D1017" s="23"/>
      <c r="E1017" s="23"/>
      <c r="F1017" s="21"/>
      <c r="G1017" s="21"/>
      <c r="H1017" s="21"/>
      <c r="I1017" s="511"/>
    </row>
    <row r="1018" spans="1:9">
      <c r="A1018" s="509"/>
      <c r="B1018" s="510"/>
      <c r="C1018" s="23"/>
      <c r="D1018" s="23"/>
      <c r="E1018" s="23"/>
      <c r="F1018" s="21"/>
      <c r="G1018" s="21"/>
      <c r="H1018" s="21"/>
      <c r="I1018" s="511"/>
    </row>
    <row r="1019" spans="1:9">
      <c r="A1019" s="509"/>
      <c r="B1019" s="510"/>
      <c r="C1019" s="23"/>
      <c r="D1019" s="23"/>
      <c r="E1019" s="23"/>
      <c r="F1019" s="21"/>
      <c r="G1019" s="21"/>
      <c r="H1019" s="21"/>
      <c r="I1019" s="511"/>
    </row>
    <row r="1020" spans="1:9">
      <c r="A1020" s="509"/>
      <c r="B1020" s="510"/>
      <c r="C1020" s="23"/>
      <c r="D1020" s="23"/>
      <c r="E1020" s="23"/>
      <c r="F1020" s="21"/>
      <c r="G1020" s="21"/>
      <c r="H1020" s="21"/>
      <c r="I1020" s="511"/>
    </row>
    <row r="1021" spans="1:9">
      <c r="A1021" s="509"/>
      <c r="B1021" s="510"/>
      <c r="C1021" s="23"/>
      <c r="D1021" s="23"/>
      <c r="E1021" s="23"/>
      <c r="F1021" s="21"/>
      <c r="G1021" s="21"/>
      <c r="H1021" s="21"/>
      <c r="I1021" s="511"/>
    </row>
    <row r="1022" spans="1:9">
      <c r="A1022" s="509"/>
      <c r="B1022" s="510"/>
      <c r="C1022" s="23"/>
      <c r="D1022" s="23"/>
      <c r="E1022" s="23"/>
      <c r="F1022" s="21"/>
      <c r="G1022" s="21"/>
      <c r="H1022" s="21"/>
      <c r="I1022" s="511"/>
    </row>
    <row r="1023" spans="1:9">
      <c r="A1023" s="509"/>
      <c r="B1023" s="510"/>
      <c r="C1023" s="23"/>
      <c r="D1023" s="23"/>
      <c r="E1023" s="23"/>
      <c r="F1023" s="21"/>
      <c r="G1023" s="21"/>
      <c r="H1023" s="21"/>
      <c r="I1023" s="511"/>
    </row>
    <row r="1024" spans="1:9">
      <c r="A1024" s="509"/>
      <c r="B1024" s="510"/>
      <c r="C1024" s="23"/>
      <c r="D1024" s="23"/>
      <c r="E1024" s="23"/>
      <c r="F1024" s="21"/>
      <c r="G1024" s="21"/>
      <c r="H1024" s="21"/>
      <c r="I1024" s="511"/>
    </row>
    <row r="1025" spans="1:9">
      <c r="A1025" s="509"/>
      <c r="B1025" s="510"/>
      <c r="C1025" s="23"/>
      <c r="D1025" s="23"/>
      <c r="E1025" s="23"/>
      <c r="F1025" s="21"/>
      <c r="G1025" s="21"/>
      <c r="H1025" s="21"/>
      <c r="I1025" s="511"/>
    </row>
    <row r="1026" spans="1:9">
      <c r="A1026" s="509"/>
      <c r="B1026" s="510"/>
      <c r="C1026" s="23"/>
      <c r="D1026" s="23"/>
      <c r="E1026" s="23"/>
      <c r="F1026" s="21"/>
      <c r="G1026" s="21"/>
      <c r="H1026" s="21"/>
      <c r="I1026" s="511"/>
    </row>
    <row r="1027" spans="1:9">
      <c r="A1027" s="509"/>
      <c r="B1027" s="510"/>
      <c r="C1027" s="23"/>
      <c r="D1027" s="23"/>
      <c r="E1027" s="23"/>
      <c r="F1027" s="21"/>
      <c r="G1027" s="21"/>
      <c r="H1027" s="21"/>
      <c r="I1027" s="511"/>
    </row>
    <row r="1028" spans="1:9">
      <c r="A1028" s="509"/>
      <c r="B1028" s="510"/>
      <c r="C1028" s="23"/>
      <c r="D1028" s="23"/>
      <c r="E1028" s="23"/>
      <c r="F1028" s="21"/>
      <c r="G1028" s="21"/>
      <c r="H1028" s="21"/>
      <c r="I1028" s="511"/>
    </row>
    <row r="1029" spans="1:9">
      <c r="A1029" s="509"/>
      <c r="B1029" s="510"/>
      <c r="C1029" s="23"/>
      <c r="D1029" s="23"/>
      <c r="E1029" s="23"/>
      <c r="F1029" s="21"/>
      <c r="G1029" s="21"/>
      <c r="H1029" s="21"/>
      <c r="I1029" s="511"/>
    </row>
    <row r="1030" spans="1:9">
      <c r="A1030" s="509"/>
      <c r="B1030" s="510"/>
      <c r="C1030" s="23"/>
      <c r="D1030" s="23"/>
      <c r="E1030" s="23"/>
      <c r="F1030" s="21"/>
      <c r="G1030" s="21"/>
      <c r="H1030" s="21"/>
      <c r="I1030" s="511"/>
    </row>
    <row r="1031" spans="1:9">
      <c r="A1031" s="509"/>
      <c r="B1031" s="510"/>
      <c r="C1031" s="23"/>
      <c r="D1031" s="23"/>
      <c r="E1031" s="23"/>
      <c r="F1031" s="21"/>
      <c r="G1031" s="21"/>
      <c r="H1031" s="21"/>
      <c r="I1031" s="511"/>
    </row>
    <row r="1032" spans="1:9">
      <c r="A1032" s="509"/>
      <c r="B1032" s="510"/>
      <c r="C1032" s="23"/>
      <c r="D1032" s="23"/>
      <c r="E1032" s="23"/>
      <c r="F1032" s="21"/>
      <c r="G1032" s="21"/>
      <c r="H1032" s="21"/>
      <c r="I1032" s="511"/>
    </row>
    <row r="1033" spans="1:9">
      <c r="A1033" s="509"/>
      <c r="B1033" s="510"/>
      <c r="C1033" s="23"/>
      <c r="D1033" s="23"/>
      <c r="E1033" s="23"/>
      <c r="F1033" s="21"/>
      <c r="G1033" s="21"/>
      <c r="H1033" s="21"/>
      <c r="I1033" s="511"/>
    </row>
    <row r="1034" spans="1:9">
      <c r="A1034" s="509"/>
      <c r="B1034" s="510"/>
      <c r="C1034" s="23"/>
      <c r="D1034" s="23"/>
      <c r="E1034" s="23"/>
      <c r="F1034" s="21"/>
      <c r="G1034" s="21"/>
      <c r="H1034" s="21"/>
      <c r="I1034" s="511"/>
    </row>
    <row r="1035" spans="1:9">
      <c r="A1035" s="509"/>
      <c r="B1035" s="510"/>
      <c r="C1035" s="23"/>
      <c r="D1035" s="23"/>
      <c r="E1035" s="23"/>
      <c r="F1035" s="21"/>
      <c r="G1035" s="21"/>
      <c r="H1035" s="21"/>
      <c r="I1035" s="511"/>
    </row>
    <row r="1036" spans="1:9">
      <c r="A1036" s="509"/>
      <c r="B1036" s="510"/>
      <c r="C1036" s="23"/>
      <c r="D1036" s="23"/>
      <c r="E1036" s="23"/>
      <c r="F1036" s="21"/>
      <c r="G1036" s="21"/>
      <c r="H1036" s="21"/>
      <c r="I1036" s="511"/>
    </row>
    <row r="1037" spans="1:9">
      <c r="A1037" s="509"/>
      <c r="B1037" s="510"/>
      <c r="C1037" s="23"/>
      <c r="D1037" s="23"/>
      <c r="E1037" s="23"/>
      <c r="F1037" s="21"/>
      <c r="G1037" s="21"/>
      <c r="H1037" s="21"/>
      <c r="I1037" s="511"/>
    </row>
    <row r="1038" spans="1:9">
      <c r="A1038" s="509"/>
      <c r="B1038" s="510"/>
      <c r="C1038" s="23"/>
      <c r="D1038" s="23"/>
      <c r="E1038" s="23"/>
      <c r="F1038" s="21"/>
      <c r="G1038" s="21"/>
      <c r="H1038" s="21"/>
      <c r="I1038" s="511"/>
    </row>
    <row r="1039" spans="1:9">
      <c r="A1039" s="509"/>
      <c r="B1039" s="510"/>
      <c r="C1039" s="23"/>
      <c r="D1039" s="23"/>
      <c r="E1039" s="23"/>
      <c r="F1039" s="21"/>
      <c r="G1039" s="21"/>
      <c r="H1039" s="21"/>
      <c r="I1039" s="511"/>
    </row>
    <row r="1040" spans="1:9">
      <c r="A1040" s="509"/>
      <c r="B1040" s="510"/>
      <c r="C1040" s="23"/>
      <c r="D1040" s="23"/>
      <c r="E1040" s="23"/>
      <c r="F1040" s="21"/>
      <c r="G1040" s="21"/>
      <c r="H1040" s="21"/>
      <c r="I1040" s="511"/>
    </row>
    <row r="1041" spans="1:9">
      <c r="A1041" s="509"/>
      <c r="B1041" s="510"/>
      <c r="C1041" s="23"/>
      <c r="D1041" s="23"/>
      <c r="E1041" s="23"/>
      <c r="F1041" s="21"/>
      <c r="G1041" s="21"/>
      <c r="H1041" s="21"/>
      <c r="I1041" s="511"/>
    </row>
    <row r="1042" spans="1:9">
      <c r="A1042" s="509"/>
      <c r="B1042" s="510"/>
      <c r="C1042" s="23"/>
      <c r="D1042" s="23"/>
      <c r="E1042" s="23"/>
      <c r="F1042" s="21"/>
      <c r="G1042" s="21"/>
      <c r="H1042" s="21"/>
      <c r="I1042" s="511"/>
    </row>
    <row r="1043" spans="1:9">
      <c r="A1043" s="509"/>
      <c r="B1043" s="510"/>
      <c r="C1043" s="23"/>
      <c r="D1043" s="23"/>
      <c r="E1043" s="23"/>
      <c r="F1043" s="21"/>
      <c r="G1043" s="21"/>
      <c r="H1043" s="21"/>
      <c r="I1043" s="511"/>
    </row>
    <row r="1044" spans="1:9">
      <c r="A1044" s="509"/>
      <c r="B1044" s="510"/>
      <c r="C1044" s="23"/>
      <c r="D1044" s="23"/>
      <c r="E1044" s="23"/>
      <c r="F1044" s="21"/>
      <c r="G1044" s="21"/>
      <c r="H1044" s="21"/>
      <c r="I1044" s="511"/>
    </row>
    <row r="1045" spans="1:9">
      <c r="A1045" s="509"/>
      <c r="B1045" s="510"/>
      <c r="C1045" s="23"/>
      <c r="D1045" s="23"/>
      <c r="E1045" s="23"/>
      <c r="F1045" s="21"/>
      <c r="G1045" s="21"/>
      <c r="H1045" s="21"/>
      <c r="I1045" s="511"/>
    </row>
    <row r="1046" spans="1:9">
      <c r="A1046" s="509"/>
      <c r="B1046" s="510"/>
      <c r="C1046" s="23"/>
      <c r="D1046" s="23"/>
      <c r="E1046" s="23"/>
      <c r="F1046" s="21"/>
      <c r="G1046" s="21"/>
      <c r="H1046" s="21"/>
      <c r="I1046" s="511"/>
    </row>
    <row r="1047" spans="1:9">
      <c r="A1047" s="509"/>
      <c r="B1047" s="510"/>
      <c r="C1047" s="23"/>
      <c r="D1047" s="23"/>
      <c r="E1047" s="23"/>
      <c r="F1047" s="21"/>
      <c r="G1047" s="21"/>
      <c r="H1047" s="21"/>
      <c r="I1047" s="511"/>
    </row>
    <row r="1048" spans="1:9">
      <c r="A1048" s="509"/>
      <c r="B1048" s="510"/>
      <c r="C1048" s="23"/>
      <c r="D1048" s="23"/>
      <c r="E1048" s="23"/>
      <c r="F1048" s="21"/>
      <c r="G1048" s="21"/>
      <c r="H1048" s="21"/>
      <c r="I1048" s="511"/>
    </row>
    <row r="1049" spans="1:9">
      <c r="A1049" s="509"/>
      <c r="B1049" s="510"/>
      <c r="C1049" s="23"/>
      <c r="D1049" s="23"/>
      <c r="E1049" s="23"/>
      <c r="F1049" s="21"/>
      <c r="G1049" s="21"/>
      <c r="H1049" s="21"/>
      <c r="I1049" s="511"/>
    </row>
    <row r="1050" spans="1:9">
      <c r="A1050" s="509"/>
      <c r="B1050" s="510"/>
      <c r="C1050" s="23"/>
      <c r="D1050" s="23"/>
      <c r="E1050" s="23"/>
      <c r="F1050" s="21"/>
      <c r="G1050" s="21"/>
      <c r="H1050" s="21"/>
      <c r="I1050" s="511"/>
    </row>
    <row r="1051" spans="1:9">
      <c r="A1051" s="509"/>
      <c r="B1051" s="510"/>
      <c r="C1051" s="23"/>
      <c r="D1051" s="23"/>
      <c r="E1051" s="23"/>
      <c r="F1051" s="21"/>
      <c r="G1051" s="21"/>
      <c r="H1051" s="21"/>
      <c r="I1051" s="511"/>
    </row>
    <row r="1052" spans="1:9">
      <c r="A1052" s="509"/>
      <c r="B1052" s="510"/>
      <c r="C1052" s="23"/>
      <c r="D1052" s="23"/>
      <c r="E1052" s="23"/>
      <c r="F1052" s="21"/>
      <c r="G1052" s="21"/>
      <c r="H1052" s="21"/>
      <c r="I1052" s="511"/>
    </row>
    <row r="1053" spans="1:9">
      <c r="A1053" s="509"/>
      <c r="B1053" s="510"/>
      <c r="C1053" s="23"/>
      <c r="D1053" s="23"/>
      <c r="E1053" s="23"/>
      <c r="F1053" s="21"/>
      <c r="G1053" s="21"/>
      <c r="H1053" s="21"/>
      <c r="I1053" s="511"/>
    </row>
    <row r="1054" spans="1:9">
      <c r="A1054" s="509"/>
      <c r="B1054" s="510"/>
      <c r="C1054" s="23"/>
      <c r="D1054" s="23"/>
      <c r="E1054" s="23"/>
      <c r="F1054" s="21"/>
      <c r="G1054" s="21"/>
      <c r="H1054" s="21"/>
      <c r="I1054" s="511"/>
    </row>
    <row r="1055" spans="1:9">
      <c r="A1055" s="509"/>
      <c r="B1055" s="510"/>
      <c r="C1055" s="23"/>
      <c r="D1055" s="23"/>
      <c r="E1055" s="23"/>
      <c r="F1055" s="21"/>
      <c r="G1055" s="21"/>
      <c r="H1055" s="21"/>
      <c r="I1055" s="511"/>
    </row>
    <row r="1056" spans="1:9">
      <c r="A1056" s="509"/>
      <c r="B1056" s="510"/>
      <c r="C1056" s="23"/>
      <c r="D1056" s="23"/>
      <c r="E1056" s="23"/>
      <c r="F1056" s="21"/>
      <c r="G1056" s="21"/>
      <c r="H1056" s="21"/>
      <c r="I1056" s="511"/>
    </row>
    <row r="1057" spans="1:9">
      <c r="A1057" s="509"/>
      <c r="B1057" s="510"/>
      <c r="C1057" s="23"/>
      <c r="D1057" s="23"/>
      <c r="E1057" s="23"/>
      <c r="F1057" s="21"/>
      <c r="G1057" s="21"/>
      <c r="H1057" s="21"/>
      <c r="I1057" s="511"/>
    </row>
    <row r="1058" spans="1:9">
      <c r="A1058" s="509"/>
      <c r="B1058" s="510"/>
      <c r="C1058" s="23"/>
      <c r="D1058" s="23"/>
      <c r="E1058" s="23"/>
      <c r="F1058" s="21"/>
      <c r="G1058" s="21"/>
      <c r="H1058" s="21"/>
      <c r="I1058" s="511"/>
    </row>
    <row r="1059" spans="1:9">
      <c r="A1059" s="509"/>
      <c r="B1059" s="510"/>
      <c r="C1059" s="23"/>
      <c r="D1059" s="23"/>
      <c r="E1059" s="23"/>
      <c r="F1059" s="21"/>
      <c r="G1059" s="21"/>
      <c r="H1059" s="21"/>
      <c r="I1059" s="511"/>
    </row>
    <row r="1060" spans="1:9">
      <c r="A1060" s="509"/>
      <c r="B1060" s="510"/>
      <c r="C1060" s="23"/>
      <c r="D1060" s="23"/>
      <c r="E1060" s="23"/>
      <c r="F1060" s="21"/>
      <c r="G1060" s="21"/>
      <c r="H1060" s="21"/>
      <c r="I1060" s="511"/>
    </row>
    <row r="1061" spans="1:9">
      <c r="A1061" s="509"/>
      <c r="B1061" s="510"/>
      <c r="C1061" s="23"/>
      <c r="D1061" s="23"/>
      <c r="E1061" s="23"/>
      <c r="F1061" s="21"/>
      <c r="G1061" s="21"/>
      <c r="H1061" s="21"/>
      <c r="I1061" s="511"/>
    </row>
    <row r="1062" spans="1:9">
      <c r="A1062" s="509"/>
      <c r="B1062" s="510"/>
      <c r="C1062" s="23"/>
      <c r="D1062" s="23"/>
      <c r="E1062" s="23"/>
      <c r="F1062" s="21"/>
      <c r="G1062" s="21"/>
      <c r="H1062" s="21"/>
      <c r="I1062" s="511"/>
    </row>
    <row r="1063" spans="1:9">
      <c r="A1063" s="509"/>
      <c r="B1063" s="510"/>
      <c r="C1063" s="23"/>
      <c r="D1063" s="23"/>
      <c r="E1063" s="23"/>
      <c r="F1063" s="21"/>
      <c r="G1063" s="21"/>
      <c r="H1063" s="21"/>
      <c r="I1063" s="511"/>
    </row>
    <row r="1064" spans="1:9">
      <c r="A1064" s="509"/>
      <c r="B1064" s="510"/>
      <c r="C1064" s="23"/>
      <c r="D1064" s="23"/>
      <c r="E1064" s="23"/>
      <c r="F1064" s="21"/>
      <c r="G1064" s="21"/>
      <c r="H1064" s="21"/>
      <c r="I1064" s="511"/>
    </row>
    <row r="1065" spans="1:9">
      <c r="A1065" s="509"/>
      <c r="B1065" s="510"/>
      <c r="C1065" s="23"/>
      <c r="D1065" s="23"/>
      <c r="E1065" s="23"/>
      <c r="F1065" s="21"/>
      <c r="G1065" s="21"/>
      <c r="H1065" s="21"/>
      <c r="I1065" s="511"/>
    </row>
    <row r="1066" spans="1:9">
      <c r="A1066" s="509"/>
      <c r="B1066" s="510"/>
      <c r="C1066" s="23"/>
      <c r="D1066" s="23"/>
      <c r="E1066" s="23"/>
      <c r="F1066" s="21"/>
      <c r="G1066" s="21"/>
      <c r="H1066" s="21"/>
      <c r="I1066" s="511"/>
    </row>
    <row r="1067" spans="1:9">
      <c r="A1067" s="509"/>
      <c r="B1067" s="510"/>
      <c r="C1067" s="23"/>
      <c r="D1067" s="23"/>
      <c r="E1067" s="23"/>
      <c r="F1067" s="21"/>
      <c r="G1067" s="21"/>
      <c r="H1067" s="21"/>
      <c r="I1067" s="511"/>
    </row>
    <row r="1068" spans="1:9">
      <c r="A1068" s="509"/>
      <c r="B1068" s="510"/>
      <c r="C1068" s="23"/>
      <c r="D1068" s="23"/>
      <c r="E1068" s="23"/>
      <c r="F1068" s="21"/>
      <c r="G1068" s="21"/>
      <c r="H1068" s="21"/>
      <c r="I1068" s="511"/>
    </row>
    <row r="1069" spans="1:9">
      <c r="A1069" s="509"/>
      <c r="B1069" s="510"/>
      <c r="C1069" s="23"/>
      <c r="D1069" s="23"/>
      <c r="E1069" s="23"/>
      <c r="F1069" s="21"/>
      <c r="G1069" s="21"/>
      <c r="H1069" s="21"/>
      <c r="I1069" s="511"/>
    </row>
    <row r="1070" spans="1:9">
      <c r="A1070" s="509"/>
      <c r="B1070" s="510"/>
      <c r="C1070" s="23"/>
      <c r="D1070" s="23"/>
      <c r="E1070" s="23"/>
      <c r="F1070" s="21"/>
      <c r="G1070" s="21"/>
      <c r="H1070" s="21"/>
      <c r="I1070" s="511"/>
    </row>
    <row r="1071" spans="1:9">
      <c r="A1071" s="509"/>
      <c r="B1071" s="510"/>
      <c r="C1071" s="23"/>
      <c r="D1071" s="23"/>
      <c r="E1071" s="23"/>
      <c r="F1071" s="21"/>
      <c r="G1071" s="21"/>
      <c r="H1071" s="21"/>
      <c r="I1071" s="511"/>
    </row>
    <row r="1072" spans="1:9">
      <c r="A1072" s="509"/>
      <c r="B1072" s="510"/>
      <c r="C1072" s="23"/>
      <c r="D1072" s="23"/>
      <c r="E1072" s="23"/>
      <c r="F1072" s="21"/>
      <c r="G1072" s="21"/>
      <c r="H1072" s="21"/>
      <c r="I1072" s="511"/>
    </row>
    <row r="1073" spans="1:9">
      <c r="A1073" s="509"/>
      <c r="B1073" s="510"/>
      <c r="C1073" s="23"/>
      <c r="D1073" s="23"/>
      <c r="E1073" s="23"/>
      <c r="F1073" s="21"/>
      <c r="G1073" s="21"/>
      <c r="H1073" s="21"/>
      <c r="I1073" s="511"/>
    </row>
    <row r="1074" spans="1:9">
      <c r="A1074" s="509"/>
      <c r="B1074" s="510"/>
      <c r="C1074" s="23"/>
      <c r="D1074" s="23"/>
      <c r="E1074" s="23"/>
      <c r="F1074" s="21"/>
      <c r="G1074" s="21"/>
      <c r="H1074" s="21"/>
      <c r="I1074" s="511"/>
    </row>
    <row r="1075" spans="1:9">
      <c r="A1075" s="509"/>
      <c r="B1075" s="510"/>
      <c r="C1075" s="23"/>
      <c r="D1075" s="23"/>
      <c r="E1075" s="23"/>
      <c r="F1075" s="21"/>
      <c r="G1075" s="21"/>
      <c r="H1075" s="21"/>
      <c r="I1075" s="511"/>
    </row>
    <row r="1076" spans="1:9">
      <c r="A1076" s="509"/>
      <c r="B1076" s="510"/>
      <c r="C1076" s="23"/>
      <c r="D1076" s="23"/>
      <c r="E1076" s="23"/>
      <c r="F1076" s="21"/>
      <c r="G1076" s="21"/>
      <c r="H1076" s="21"/>
      <c r="I1076" s="511"/>
    </row>
    <row r="1077" spans="1:9">
      <c r="A1077" s="509"/>
      <c r="B1077" s="510"/>
      <c r="C1077" s="23"/>
      <c r="D1077" s="23"/>
      <c r="E1077" s="23"/>
      <c r="F1077" s="21"/>
      <c r="G1077" s="21"/>
      <c r="H1077" s="21"/>
      <c r="I1077" s="511"/>
    </row>
    <row r="1078" spans="1:9">
      <c r="A1078" s="509"/>
      <c r="B1078" s="510"/>
      <c r="C1078" s="23"/>
      <c r="D1078" s="23"/>
      <c r="E1078" s="23"/>
      <c r="F1078" s="21"/>
      <c r="G1078" s="21"/>
      <c r="H1078" s="21"/>
      <c r="I1078" s="511"/>
    </row>
    <row r="1079" spans="1:9">
      <c r="A1079" s="509"/>
      <c r="B1079" s="510"/>
      <c r="C1079" s="23"/>
      <c r="D1079" s="23"/>
      <c r="E1079" s="23"/>
      <c r="F1079" s="21"/>
      <c r="G1079" s="21"/>
      <c r="H1079" s="21"/>
      <c r="I1079" s="511"/>
    </row>
    <row r="1080" spans="1:9">
      <c r="A1080" s="509"/>
      <c r="B1080" s="510"/>
      <c r="C1080" s="23"/>
      <c r="D1080" s="23"/>
      <c r="E1080" s="23"/>
      <c r="F1080" s="21"/>
      <c r="G1080" s="21"/>
      <c r="H1080" s="21"/>
      <c r="I1080" s="511"/>
    </row>
    <row r="1081" spans="1:9">
      <c r="A1081" s="509"/>
      <c r="B1081" s="510"/>
      <c r="C1081" s="23"/>
      <c r="D1081" s="23"/>
      <c r="E1081" s="23"/>
      <c r="F1081" s="21"/>
      <c r="G1081" s="21"/>
      <c r="H1081" s="21"/>
      <c r="I1081" s="511"/>
    </row>
    <row r="1082" spans="1:9">
      <c r="A1082" s="509"/>
      <c r="B1082" s="510"/>
      <c r="C1082" s="23"/>
      <c r="D1082" s="23"/>
      <c r="E1082" s="23"/>
      <c r="F1082" s="21"/>
      <c r="G1082" s="21"/>
      <c r="H1082" s="21"/>
      <c r="I1082" s="511"/>
    </row>
    <row r="1083" spans="1:9">
      <c r="A1083" s="509"/>
      <c r="B1083" s="510"/>
      <c r="C1083" s="23"/>
      <c r="D1083" s="23"/>
      <c r="E1083" s="23"/>
      <c r="F1083" s="21"/>
      <c r="G1083" s="21"/>
      <c r="H1083" s="21"/>
      <c r="I1083" s="511"/>
    </row>
    <row r="1084" spans="1:9">
      <c r="A1084" s="509"/>
      <c r="B1084" s="510"/>
      <c r="C1084" s="23"/>
      <c r="D1084" s="23"/>
      <c r="E1084" s="23"/>
      <c r="F1084" s="21"/>
      <c r="G1084" s="21"/>
      <c r="H1084" s="21"/>
      <c r="I1084" s="511"/>
    </row>
    <row r="1085" spans="1:9">
      <c r="A1085" s="509"/>
      <c r="B1085" s="510"/>
      <c r="C1085" s="23"/>
      <c r="D1085" s="23"/>
      <c r="E1085" s="23"/>
      <c r="F1085" s="21"/>
      <c r="G1085" s="21"/>
      <c r="H1085" s="21"/>
      <c r="I1085" s="511"/>
    </row>
    <row r="1086" spans="1:9">
      <c r="A1086" s="509"/>
      <c r="B1086" s="510"/>
      <c r="C1086" s="23"/>
      <c r="D1086" s="23"/>
      <c r="E1086" s="23"/>
      <c r="F1086" s="21"/>
      <c r="G1086" s="21"/>
      <c r="H1086" s="21"/>
      <c r="I1086" s="511"/>
    </row>
    <row r="1087" spans="1:9">
      <c r="A1087" s="509"/>
      <c r="B1087" s="510"/>
      <c r="C1087" s="23"/>
      <c r="D1087" s="23"/>
      <c r="E1087" s="23"/>
      <c r="F1087" s="21"/>
      <c r="G1087" s="21"/>
      <c r="H1087" s="21"/>
      <c r="I1087" s="511"/>
    </row>
    <row r="1088" spans="1:9">
      <c r="A1088" s="509"/>
      <c r="B1088" s="510"/>
      <c r="C1088" s="23"/>
      <c r="D1088" s="23"/>
      <c r="E1088" s="23"/>
      <c r="F1088" s="21"/>
      <c r="G1088" s="21"/>
      <c r="H1088" s="21"/>
      <c r="I1088" s="511"/>
    </row>
    <row r="1089" spans="1:9">
      <c r="A1089" s="509"/>
      <c r="B1089" s="510"/>
      <c r="C1089" s="23"/>
      <c r="D1089" s="23"/>
      <c r="E1089" s="23"/>
      <c r="F1089" s="21"/>
      <c r="G1089" s="21"/>
      <c r="H1089" s="21"/>
      <c r="I1089" s="511"/>
    </row>
    <row r="1090" spans="1:9">
      <c r="A1090" s="509"/>
      <c r="B1090" s="510"/>
      <c r="C1090" s="23"/>
      <c r="D1090" s="23"/>
      <c r="E1090" s="23"/>
      <c r="F1090" s="21"/>
      <c r="G1090" s="21"/>
      <c r="H1090" s="21"/>
      <c r="I1090" s="511"/>
    </row>
    <row r="1091" spans="1:9">
      <c r="A1091" s="509"/>
      <c r="B1091" s="510"/>
      <c r="C1091" s="23"/>
      <c r="D1091" s="23"/>
      <c r="E1091" s="23"/>
      <c r="F1091" s="21"/>
      <c r="G1091" s="21"/>
      <c r="H1091" s="21"/>
      <c r="I1091" s="511"/>
    </row>
    <row r="1092" spans="1:9">
      <c r="A1092" s="509"/>
      <c r="B1092" s="510"/>
      <c r="C1092" s="23"/>
      <c r="D1092" s="23"/>
      <c r="E1092" s="23"/>
      <c r="F1092" s="21"/>
      <c r="G1092" s="21"/>
      <c r="H1092" s="21"/>
      <c r="I1092" s="511"/>
    </row>
    <row r="1093" spans="1:9">
      <c r="A1093" s="509"/>
      <c r="B1093" s="510"/>
      <c r="C1093" s="23"/>
      <c r="D1093" s="23"/>
      <c r="E1093" s="23"/>
      <c r="F1093" s="21"/>
      <c r="G1093" s="21"/>
      <c r="H1093" s="21"/>
      <c r="I1093" s="511"/>
    </row>
    <row r="1094" spans="1:9">
      <c r="A1094" s="509"/>
      <c r="B1094" s="510"/>
      <c r="C1094" s="23"/>
      <c r="D1094" s="23"/>
      <c r="E1094" s="23"/>
      <c r="F1094" s="21"/>
      <c r="G1094" s="21"/>
      <c r="H1094" s="21"/>
      <c r="I1094" s="511"/>
    </row>
    <row r="1095" spans="1:9">
      <c r="A1095" s="509"/>
      <c r="B1095" s="510"/>
      <c r="C1095" s="23"/>
      <c r="D1095" s="23"/>
      <c r="E1095" s="23"/>
      <c r="F1095" s="21"/>
      <c r="G1095" s="21"/>
      <c r="H1095" s="21"/>
      <c r="I1095" s="511"/>
    </row>
    <row r="1096" spans="1:9">
      <c r="A1096" s="509"/>
      <c r="B1096" s="510"/>
      <c r="C1096" s="23"/>
      <c r="D1096" s="23"/>
      <c r="E1096" s="23"/>
      <c r="F1096" s="21"/>
      <c r="G1096" s="21"/>
      <c r="H1096" s="21"/>
      <c r="I1096" s="511"/>
    </row>
    <row r="1097" spans="1:9">
      <c r="A1097" s="509"/>
      <c r="B1097" s="510"/>
      <c r="C1097" s="23"/>
      <c r="D1097" s="23"/>
      <c r="E1097" s="23"/>
      <c r="F1097" s="21"/>
      <c r="G1097" s="21"/>
      <c r="H1097" s="21"/>
      <c r="I1097" s="511"/>
    </row>
    <row r="1098" spans="1:9">
      <c r="A1098" s="509"/>
      <c r="B1098" s="510"/>
      <c r="C1098" s="23"/>
      <c r="D1098" s="23"/>
      <c r="E1098" s="23"/>
      <c r="F1098" s="21"/>
      <c r="G1098" s="21"/>
      <c r="H1098" s="21"/>
      <c r="I1098" s="511"/>
    </row>
    <row r="1099" spans="1:9">
      <c r="A1099" s="509"/>
      <c r="B1099" s="510"/>
      <c r="C1099" s="23"/>
      <c r="D1099" s="23"/>
      <c r="E1099" s="23"/>
      <c r="F1099" s="21"/>
      <c r="G1099" s="21"/>
      <c r="H1099" s="21"/>
      <c r="I1099" s="511"/>
    </row>
    <row r="1100" spans="1:9">
      <c r="A1100" s="509"/>
      <c r="B1100" s="510"/>
      <c r="C1100" s="23"/>
      <c r="D1100" s="23"/>
      <c r="E1100" s="23"/>
      <c r="F1100" s="21"/>
      <c r="G1100" s="21"/>
      <c r="H1100" s="21"/>
      <c r="I1100" s="511"/>
    </row>
    <row r="1101" spans="1:9">
      <c r="A1101" s="509"/>
      <c r="B1101" s="510"/>
      <c r="C1101" s="23"/>
      <c r="D1101" s="23"/>
      <c r="E1101" s="23"/>
      <c r="F1101" s="21"/>
      <c r="G1101" s="21"/>
      <c r="H1101" s="21"/>
      <c r="I1101" s="511"/>
    </row>
    <row r="1102" spans="1:9">
      <c r="A1102" s="509"/>
      <c r="B1102" s="510"/>
      <c r="C1102" s="23"/>
      <c r="D1102" s="23"/>
      <c r="E1102" s="23"/>
      <c r="F1102" s="21"/>
      <c r="G1102" s="21"/>
      <c r="H1102" s="21"/>
      <c r="I1102" s="511"/>
    </row>
    <row r="1103" spans="1:9">
      <c r="A1103" s="509"/>
      <c r="B1103" s="510"/>
      <c r="C1103" s="23"/>
      <c r="D1103" s="23"/>
      <c r="E1103" s="23"/>
      <c r="F1103" s="21"/>
      <c r="G1103" s="21"/>
      <c r="H1103" s="21"/>
      <c r="I1103" s="511"/>
    </row>
    <row r="1104" spans="1:9">
      <c r="A1104" s="509"/>
      <c r="B1104" s="510"/>
      <c r="C1104" s="23"/>
      <c r="D1104" s="23"/>
      <c r="E1104" s="23"/>
      <c r="F1104" s="21"/>
      <c r="G1104" s="21"/>
      <c r="H1104" s="21"/>
      <c r="I1104" s="511"/>
    </row>
    <row r="1105" spans="1:9">
      <c r="A1105" s="509"/>
      <c r="B1105" s="510"/>
      <c r="C1105" s="23"/>
      <c r="D1105" s="23"/>
      <c r="E1105" s="23"/>
      <c r="F1105" s="21"/>
      <c r="G1105" s="21"/>
      <c r="H1105" s="21"/>
      <c r="I1105" s="511"/>
    </row>
    <row r="1106" spans="1:9">
      <c r="A1106" s="509"/>
      <c r="B1106" s="510"/>
      <c r="C1106" s="23"/>
      <c r="D1106" s="23"/>
      <c r="E1106" s="23"/>
      <c r="F1106" s="21"/>
      <c r="G1106" s="21"/>
      <c r="H1106" s="21"/>
      <c r="I1106" s="511"/>
    </row>
    <row r="1107" spans="1:9">
      <c r="A1107" s="509"/>
      <c r="B1107" s="510"/>
      <c r="C1107" s="23"/>
      <c r="D1107" s="23"/>
      <c r="E1107" s="23"/>
      <c r="F1107" s="21"/>
      <c r="G1107" s="21"/>
      <c r="H1107" s="21"/>
      <c r="I1107" s="511"/>
    </row>
    <row r="1108" spans="1:9">
      <c r="A1108" s="509"/>
      <c r="B1108" s="510"/>
      <c r="C1108" s="23"/>
      <c r="D1108" s="23"/>
      <c r="E1108" s="23"/>
      <c r="F1108" s="21"/>
      <c r="G1108" s="21"/>
      <c r="H1108" s="21"/>
      <c r="I1108" s="511"/>
    </row>
    <row r="1109" spans="1:9">
      <c r="A1109" s="509"/>
      <c r="B1109" s="510"/>
      <c r="C1109" s="23"/>
      <c r="D1109" s="23"/>
      <c r="E1109" s="23"/>
      <c r="F1109" s="21"/>
      <c r="G1109" s="21"/>
      <c r="H1109" s="21"/>
      <c r="I1109" s="511"/>
    </row>
    <row r="1110" spans="1:9">
      <c r="A1110" s="509"/>
      <c r="B1110" s="510"/>
      <c r="C1110" s="23"/>
      <c r="D1110" s="23"/>
      <c r="E1110" s="23"/>
      <c r="F1110" s="21"/>
      <c r="G1110" s="21"/>
      <c r="H1110" s="21"/>
      <c r="I1110" s="511"/>
    </row>
    <row r="1111" spans="1:9">
      <c r="A1111" s="509"/>
      <c r="B1111" s="510"/>
      <c r="C1111" s="23"/>
      <c r="D1111" s="23"/>
      <c r="E1111" s="23"/>
      <c r="F1111" s="21"/>
      <c r="G1111" s="21"/>
      <c r="H1111" s="21"/>
      <c r="I1111" s="511"/>
    </row>
    <row r="1112" spans="1:9">
      <c r="A1112" s="509"/>
      <c r="B1112" s="510"/>
      <c r="C1112" s="23"/>
      <c r="D1112" s="23"/>
      <c r="E1112" s="23"/>
      <c r="F1112" s="21"/>
      <c r="G1112" s="21"/>
      <c r="H1112" s="21"/>
      <c r="I1112" s="511"/>
    </row>
    <row r="1113" spans="1:9">
      <c r="A1113" s="509"/>
      <c r="B1113" s="510"/>
      <c r="C1113" s="23"/>
      <c r="D1113" s="23"/>
      <c r="E1113" s="23"/>
      <c r="F1113" s="21"/>
      <c r="G1113" s="21"/>
      <c r="H1113" s="21"/>
      <c r="I1113" s="511"/>
    </row>
    <row r="1114" spans="1:9">
      <c r="A1114" s="509"/>
      <c r="B1114" s="510"/>
      <c r="C1114" s="23"/>
      <c r="D1114" s="23"/>
      <c r="E1114" s="23"/>
      <c r="F1114" s="21"/>
      <c r="G1114" s="21"/>
      <c r="H1114" s="21"/>
      <c r="I1114" s="511"/>
    </row>
    <row r="1115" spans="1:9">
      <c r="A1115" s="509"/>
      <c r="B1115" s="510"/>
      <c r="C1115" s="23"/>
      <c r="D1115" s="23"/>
      <c r="E1115" s="23"/>
      <c r="F1115" s="21"/>
      <c r="G1115" s="21"/>
      <c r="H1115" s="21"/>
      <c r="I1115" s="511"/>
    </row>
    <row r="1116" spans="1:9">
      <c r="A1116" s="509"/>
      <c r="B1116" s="510"/>
      <c r="C1116" s="23"/>
      <c r="D1116" s="23"/>
      <c r="E1116" s="23"/>
      <c r="F1116" s="21"/>
      <c r="G1116" s="21"/>
      <c r="H1116" s="21"/>
      <c r="I1116" s="511"/>
    </row>
    <row r="1117" spans="1:9">
      <c r="A1117" s="509"/>
      <c r="B1117" s="510"/>
      <c r="C1117" s="23"/>
      <c r="D1117" s="23"/>
      <c r="E1117" s="23"/>
      <c r="F1117" s="21"/>
      <c r="G1117" s="21"/>
      <c r="H1117" s="21"/>
      <c r="I1117" s="511"/>
    </row>
    <row r="1118" spans="1:9">
      <c r="A1118" s="509"/>
      <c r="B1118" s="510"/>
      <c r="C1118" s="23"/>
      <c r="D1118" s="23"/>
      <c r="E1118" s="23"/>
      <c r="F1118" s="21"/>
      <c r="G1118" s="21"/>
      <c r="H1118" s="21"/>
      <c r="I1118" s="511"/>
    </row>
    <row r="1119" spans="1:9">
      <c r="A1119" s="509"/>
      <c r="B1119" s="510"/>
      <c r="C1119" s="23"/>
      <c r="D1119" s="23"/>
      <c r="E1119" s="23"/>
      <c r="F1119" s="21"/>
      <c r="G1119" s="21"/>
      <c r="H1119" s="21"/>
      <c r="I1119" s="511"/>
    </row>
    <row r="1120" spans="1:9">
      <c r="A1120" s="509"/>
      <c r="B1120" s="510"/>
      <c r="C1120" s="23"/>
      <c r="D1120" s="23"/>
      <c r="E1120" s="23"/>
      <c r="F1120" s="21"/>
      <c r="G1120" s="21"/>
      <c r="H1120" s="21"/>
      <c r="I1120" s="511"/>
    </row>
    <row r="1121" spans="1:9">
      <c r="A1121" s="509"/>
      <c r="B1121" s="510"/>
      <c r="C1121" s="23"/>
      <c r="D1121" s="23"/>
      <c r="E1121" s="23"/>
      <c r="F1121" s="21"/>
      <c r="G1121" s="21"/>
      <c r="H1121" s="21"/>
      <c r="I1121" s="511"/>
    </row>
    <row r="1122" spans="1:9">
      <c r="A1122" s="509"/>
      <c r="B1122" s="510"/>
      <c r="C1122" s="23"/>
      <c r="D1122" s="23"/>
      <c r="E1122" s="23"/>
      <c r="F1122" s="21"/>
      <c r="G1122" s="21"/>
      <c r="H1122" s="21"/>
      <c r="I1122" s="511"/>
    </row>
    <row r="1123" spans="1:9">
      <c r="A1123" s="509"/>
      <c r="B1123" s="510"/>
      <c r="C1123" s="23"/>
      <c r="D1123" s="23"/>
      <c r="E1123" s="23"/>
      <c r="F1123" s="21"/>
      <c r="G1123" s="21"/>
      <c r="H1123" s="21"/>
      <c r="I1123" s="511"/>
    </row>
    <row r="1124" spans="1:9">
      <c r="A1124" s="509"/>
      <c r="B1124" s="510"/>
      <c r="C1124" s="23"/>
      <c r="D1124" s="23"/>
      <c r="E1124" s="23"/>
      <c r="F1124" s="21"/>
      <c r="G1124" s="21"/>
      <c r="H1124" s="21"/>
      <c r="I1124" s="511"/>
    </row>
    <row r="1125" spans="1:9">
      <c r="A1125" s="509"/>
      <c r="B1125" s="510"/>
      <c r="C1125" s="23"/>
      <c r="D1125" s="23"/>
      <c r="E1125" s="23"/>
      <c r="F1125" s="21"/>
      <c r="G1125" s="21"/>
      <c r="H1125" s="21"/>
      <c r="I1125" s="511"/>
    </row>
    <row r="1126" spans="1:9">
      <c r="A1126" s="509"/>
      <c r="B1126" s="510"/>
      <c r="C1126" s="23"/>
      <c r="D1126" s="23"/>
      <c r="E1126" s="23"/>
      <c r="F1126" s="21"/>
      <c r="G1126" s="21"/>
      <c r="H1126" s="21"/>
      <c r="I1126" s="511"/>
    </row>
    <row r="1127" spans="1:9">
      <c r="A1127" s="509"/>
      <c r="B1127" s="510"/>
      <c r="C1127" s="23"/>
      <c r="D1127" s="23"/>
      <c r="E1127" s="23"/>
      <c r="F1127" s="21"/>
      <c r="G1127" s="21"/>
      <c r="H1127" s="21"/>
      <c r="I1127" s="511"/>
    </row>
    <row r="1128" spans="1:9">
      <c r="A1128" s="509"/>
      <c r="B1128" s="510"/>
      <c r="C1128" s="23"/>
      <c r="D1128" s="23"/>
      <c r="E1128" s="23"/>
      <c r="F1128" s="21"/>
      <c r="G1128" s="21"/>
      <c r="H1128" s="21"/>
      <c r="I1128" s="511"/>
    </row>
    <row r="1129" spans="1:9">
      <c r="A1129" s="509"/>
      <c r="B1129" s="510"/>
      <c r="C1129" s="23"/>
      <c r="D1129" s="23"/>
      <c r="E1129" s="23"/>
      <c r="F1129" s="21"/>
      <c r="G1129" s="21"/>
      <c r="H1129" s="21"/>
      <c r="I1129" s="511"/>
    </row>
    <row r="1130" spans="1:9">
      <c r="A1130" s="509"/>
      <c r="B1130" s="510"/>
      <c r="C1130" s="23"/>
      <c r="D1130" s="23"/>
      <c r="E1130" s="23"/>
      <c r="F1130" s="21"/>
      <c r="G1130" s="21"/>
      <c r="H1130" s="21"/>
      <c r="I1130" s="511"/>
    </row>
    <row r="1131" spans="1:9">
      <c r="A1131" s="509"/>
      <c r="B1131" s="510"/>
      <c r="C1131" s="23"/>
      <c r="D1131" s="23"/>
      <c r="E1131" s="23"/>
      <c r="F1131" s="21"/>
      <c r="G1131" s="21"/>
      <c r="H1131" s="21"/>
      <c r="I1131" s="511"/>
    </row>
    <row r="1132" spans="1:9">
      <c r="A1132" s="509"/>
      <c r="B1132" s="510"/>
      <c r="C1132" s="23"/>
      <c r="D1132" s="23"/>
      <c r="E1132" s="23"/>
      <c r="F1132" s="21"/>
      <c r="G1132" s="21"/>
      <c r="H1132" s="21"/>
      <c r="I1132" s="511"/>
    </row>
    <row r="1133" spans="1:9">
      <c r="A1133" s="509"/>
      <c r="B1133" s="510"/>
      <c r="C1133" s="23"/>
      <c r="D1133" s="23"/>
      <c r="E1133" s="23"/>
      <c r="F1133" s="21"/>
      <c r="G1133" s="21"/>
      <c r="H1133" s="21"/>
      <c r="I1133" s="511"/>
    </row>
    <row r="1134" spans="1:9">
      <c r="A1134" s="509"/>
      <c r="B1134" s="510"/>
      <c r="C1134" s="23"/>
      <c r="D1134" s="23"/>
      <c r="E1134" s="23"/>
      <c r="F1134" s="21"/>
      <c r="G1134" s="21"/>
      <c r="H1134" s="21"/>
      <c r="I1134" s="511"/>
    </row>
    <row r="1135" spans="1:9">
      <c r="A1135" s="509"/>
      <c r="B1135" s="510"/>
      <c r="C1135" s="23"/>
      <c r="D1135" s="23"/>
      <c r="E1135" s="23"/>
      <c r="F1135" s="21"/>
      <c r="G1135" s="21"/>
      <c r="H1135" s="21"/>
      <c r="I1135" s="511"/>
    </row>
    <row r="1136" spans="1:9">
      <c r="A1136" s="509"/>
      <c r="B1136" s="510"/>
      <c r="C1136" s="23"/>
      <c r="D1136" s="23"/>
      <c r="E1136" s="23"/>
      <c r="F1136" s="21"/>
      <c r="G1136" s="21"/>
      <c r="H1136" s="21"/>
      <c r="I1136" s="511"/>
    </row>
    <row r="1137" spans="1:9">
      <c r="A1137" s="509"/>
      <c r="B1137" s="510"/>
      <c r="C1137" s="23"/>
      <c r="D1137" s="23"/>
      <c r="E1137" s="23"/>
      <c r="F1137" s="21"/>
      <c r="G1137" s="21"/>
      <c r="H1137" s="21"/>
      <c r="I1137" s="511"/>
    </row>
    <row r="1138" spans="1:9">
      <c r="A1138" s="509"/>
      <c r="B1138" s="510"/>
      <c r="C1138" s="23"/>
      <c r="D1138" s="23"/>
      <c r="E1138" s="23"/>
      <c r="F1138" s="21"/>
      <c r="G1138" s="21"/>
      <c r="H1138" s="21"/>
      <c r="I1138" s="511"/>
    </row>
    <row r="1139" spans="1:9">
      <c r="A1139" s="509"/>
      <c r="B1139" s="510"/>
      <c r="C1139" s="23"/>
      <c r="D1139" s="23"/>
      <c r="E1139" s="23"/>
      <c r="F1139" s="21"/>
      <c r="G1139" s="21"/>
      <c r="H1139" s="21"/>
      <c r="I1139" s="511"/>
    </row>
    <row r="1140" spans="1:9">
      <c r="A1140" s="509"/>
      <c r="B1140" s="510"/>
      <c r="C1140" s="23"/>
      <c r="D1140" s="23"/>
      <c r="E1140" s="23"/>
      <c r="F1140" s="21"/>
      <c r="G1140" s="21"/>
      <c r="H1140" s="21"/>
      <c r="I1140" s="511"/>
    </row>
    <row r="1141" spans="1:9">
      <c r="A1141" s="509"/>
      <c r="B1141" s="510"/>
      <c r="C1141" s="23"/>
      <c r="D1141" s="23"/>
      <c r="E1141" s="23"/>
      <c r="F1141" s="21"/>
      <c r="G1141" s="21"/>
      <c r="H1141" s="21"/>
      <c r="I1141" s="511"/>
    </row>
    <row r="1142" spans="1:9">
      <c r="A1142" s="509"/>
      <c r="B1142" s="510"/>
      <c r="C1142" s="23"/>
      <c r="D1142" s="23"/>
      <c r="E1142" s="23"/>
      <c r="F1142" s="21"/>
      <c r="G1142" s="21"/>
      <c r="H1142" s="21"/>
      <c r="I1142" s="511"/>
    </row>
    <row r="1143" spans="1:9">
      <c r="A1143" s="509"/>
      <c r="B1143" s="510"/>
      <c r="C1143" s="23"/>
      <c r="D1143" s="23"/>
      <c r="E1143" s="23"/>
      <c r="F1143" s="21"/>
      <c r="G1143" s="21"/>
      <c r="H1143" s="21"/>
      <c r="I1143" s="511"/>
    </row>
    <row r="1144" spans="1:9">
      <c r="A1144" s="509"/>
      <c r="B1144" s="510"/>
      <c r="C1144" s="23"/>
      <c r="D1144" s="23"/>
      <c r="E1144" s="23"/>
      <c r="F1144" s="21"/>
      <c r="G1144" s="21"/>
      <c r="H1144" s="21"/>
      <c r="I1144" s="511"/>
    </row>
    <row r="1145" spans="1:9">
      <c r="A1145" s="509"/>
      <c r="B1145" s="510"/>
      <c r="C1145" s="23"/>
      <c r="D1145" s="23"/>
      <c r="E1145" s="23"/>
      <c r="F1145" s="21"/>
      <c r="G1145" s="21"/>
      <c r="H1145" s="21"/>
      <c r="I1145" s="511"/>
    </row>
    <row r="1146" spans="1:9">
      <c r="A1146" s="509"/>
      <c r="B1146" s="510"/>
      <c r="C1146" s="23"/>
      <c r="D1146" s="23"/>
      <c r="E1146" s="23"/>
      <c r="F1146" s="21"/>
      <c r="G1146" s="21"/>
      <c r="H1146" s="21"/>
      <c r="I1146" s="511"/>
    </row>
    <row r="1147" spans="1:9">
      <c r="A1147" s="509"/>
      <c r="B1147" s="510"/>
      <c r="C1147" s="23"/>
      <c r="D1147" s="23"/>
      <c r="E1147" s="23"/>
      <c r="F1147" s="21"/>
      <c r="G1147" s="21"/>
      <c r="H1147" s="21"/>
      <c r="I1147" s="511"/>
    </row>
    <row r="1148" spans="1:9">
      <c r="A1148" s="509"/>
      <c r="B1148" s="510"/>
      <c r="C1148" s="23"/>
      <c r="D1148" s="23"/>
      <c r="E1148" s="23"/>
      <c r="F1148" s="21"/>
      <c r="G1148" s="21"/>
      <c r="H1148" s="21"/>
      <c r="I1148" s="511"/>
    </row>
    <row r="1149" spans="1:9">
      <c r="A1149" s="509"/>
      <c r="B1149" s="510"/>
      <c r="C1149" s="23"/>
      <c r="D1149" s="23"/>
      <c r="E1149" s="23"/>
      <c r="F1149" s="21"/>
      <c r="G1149" s="21"/>
      <c r="H1149" s="21"/>
      <c r="I1149" s="511"/>
    </row>
    <row r="1150" spans="1:9">
      <c r="A1150" s="509"/>
      <c r="B1150" s="510"/>
      <c r="C1150" s="23"/>
      <c r="D1150" s="23"/>
      <c r="E1150" s="23"/>
      <c r="F1150" s="21"/>
      <c r="G1150" s="21"/>
      <c r="H1150" s="21"/>
      <c r="I1150" s="511"/>
    </row>
    <row r="1151" spans="1:9">
      <c r="A1151" s="509"/>
      <c r="B1151" s="510"/>
      <c r="C1151" s="23"/>
      <c r="D1151" s="23"/>
      <c r="E1151" s="23"/>
      <c r="F1151" s="21"/>
      <c r="G1151" s="21"/>
      <c r="H1151" s="21"/>
      <c r="I1151" s="511"/>
    </row>
    <row r="1152" spans="1:9">
      <c r="A1152" s="509"/>
      <c r="B1152" s="510"/>
      <c r="C1152" s="23"/>
      <c r="D1152" s="23"/>
      <c r="E1152" s="23"/>
      <c r="F1152" s="21"/>
      <c r="G1152" s="21"/>
      <c r="H1152" s="21"/>
      <c r="I1152" s="511"/>
    </row>
    <row r="1153" spans="1:9">
      <c r="A1153" s="509"/>
      <c r="B1153" s="510"/>
      <c r="C1153" s="23"/>
      <c r="D1153" s="23"/>
      <c r="E1153" s="23"/>
      <c r="F1153" s="21"/>
      <c r="G1153" s="21"/>
      <c r="H1153" s="21"/>
      <c r="I1153" s="511"/>
    </row>
    <row r="1154" spans="1:9">
      <c r="A1154" s="509"/>
      <c r="B1154" s="510"/>
      <c r="C1154" s="23"/>
      <c r="D1154" s="23"/>
      <c r="E1154" s="23"/>
      <c r="F1154" s="21"/>
      <c r="G1154" s="21"/>
      <c r="H1154" s="21"/>
      <c r="I1154" s="511"/>
    </row>
    <row r="1155" spans="1:9">
      <c r="A1155" s="509"/>
      <c r="B1155" s="510"/>
      <c r="C1155" s="23"/>
      <c r="D1155" s="23"/>
      <c r="E1155" s="23"/>
      <c r="F1155" s="21"/>
      <c r="G1155" s="21"/>
      <c r="H1155" s="21"/>
      <c r="I1155" s="511"/>
    </row>
    <row r="1156" spans="1:9">
      <c r="A1156" s="509"/>
      <c r="B1156" s="510"/>
      <c r="C1156" s="23"/>
      <c r="D1156" s="23"/>
      <c r="E1156" s="23"/>
      <c r="F1156" s="21"/>
      <c r="G1156" s="21"/>
      <c r="H1156" s="21"/>
      <c r="I1156" s="511"/>
    </row>
    <row r="1157" spans="1:9">
      <c r="A1157" s="509"/>
      <c r="B1157" s="510"/>
      <c r="C1157" s="23"/>
      <c r="D1157" s="23"/>
      <c r="E1157" s="23"/>
      <c r="F1157" s="21"/>
      <c r="G1157" s="21"/>
      <c r="H1157" s="21"/>
      <c r="I1157" s="511"/>
    </row>
    <row r="1158" spans="1:9">
      <c r="A1158" s="509"/>
      <c r="B1158" s="510"/>
      <c r="C1158" s="23"/>
      <c r="D1158" s="23"/>
      <c r="E1158" s="23"/>
      <c r="F1158" s="21"/>
      <c r="G1158" s="21"/>
      <c r="H1158" s="21"/>
      <c r="I1158" s="511"/>
    </row>
    <row r="1159" spans="1:9">
      <c r="A1159" s="509"/>
      <c r="B1159" s="510"/>
      <c r="C1159" s="23"/>
      <c r="D1159" s="23"/>
      <c r="E1159" s="23"/>
      <c r="F1159" s="21"/>
      <c r="G1159" s="21"/>
      <c r="H1159" s="21"/>
      <c r="I1159" s="511"/>
    </row>
    <row r="1160" spans="1:9">
      <c r="A1160" s="509"/>
      <c r="B1160" s="510"/>
      <c r="C1160" s="23"/>
      <c r="D1160" s="23"/>
      <c r="E1160" s="23"/>
      <c r="F1160" s="21"/>
      <c r="G1160" s="21"/>
      <c r="H1160" s="21"/>
      <c r="I1160" s="511"/>
    </row>
    <row r="1161" spans="1:9">
      <c r="A1161" s="509"/>
      <c r="B1161" s="510"/>
      <c r="C1161" s="23"/>
      <c r="D1161" s="23"/>
      <c r="E1161" s="23"/>
      <c r="F1161" s="21"/>
      <c r="G1161" s="21"/>
      <c r="H1161" s="21"/>
      <c r="I1161" s="511"/>
    </row>
    <row r="1162" spans="1:9">
      <c r="A1162" s="509"/>
      <c r="B1162" s="510"/>
      <c r="C1162" s="23"/>
      <c r="D1162" s="23"/>
      <c r="E1162" s="23"/>
      <c r="F1162" s="21"/>
      <c r="G1162" s="21"/>
      <c r="H1162" s="21"/>
      <c r="I1162" s="511"/>
    </row>
    <row r="1163" spans="1:9">
      <c r="A1163" s="509"/>
      <c r="B1163" s="510"/>
      <c r="C1163" s="23"/>
      <c r="D1163" s="23"/>
      <c r="E1163" s="23"/>
      <c r="F1163" s="21"/>
      <c r="G1163" s="21"/>
      <c r="H1163" s="21"/>
      <c r="I1163" s="511"/>
    </row>
    <row r="1164" spans="1:9">
      <c r="A1164" s="509"/>
      <c r="B1164" s="510"/>
      <c r="C1164" s="23"/>
      <c r="D1164" s="23"/>
      <c r="E1164" s="23"/>
      <c r="F1164" s="21"/>
      <c r="G1164" s="21"/>
      <c r="H1164" s="21"/>
      <c r="I1164" s="511"/>
    </row>
    <row r="1165" spans="1:9">
      <c r="A1165" s="509"/>
      <c r="B1165" s="510"/>
      <c r="C1165" s="23"/>
      <c r="D1165" s="23"/>
      <c r="E1165" s="23"/>
      <c r="F1165" s="21"/>
      <c r="G1165" s="21"/>
      <c r="H1165" s="21"/>
      <c r="I1165" s="511"/>
    </row>
    <row r="1166" spans="1:9">
      <c r="A1166" s="509"/>
      <c r="B1166" s="510"/>
      <c r="C1166" s="23"/>
      <c r="D1166" s="23"/>
      <c r="E1166" s="23"/>
      <c r="F1166" s="21"/>
      <c r="G1166" s="21"/>
      <c r="H1166" s="21"/>
      <c r="I1166" s="511"/>
    </row>
    <row r="1167" spans="1:9">
      <c r="A1167" s="509"/>
      <c r="B1167" s="510"/>
      <c r="C1167" s="23"/>
      <c r="D1167" s="23"/>
      <c r="E1167" s="23"/>
      <c r="F1167" s="21"/>
      <c r="G1167" s="21"/>
      <c r="H1167" s="21"/>
      <c r="I1167" s="511"/>
    </row>
    <row r="1168" spans="1:9">
      <c r="A1168" s="509"/>
      <c r="B1168" s="510"/>
      <c r="C1168" s="23"/>
      <c r="D1168" s="23"/>
      <c r="E1168" s="23"/>
      <c r="F1168" s="21"/>
      <c r="G1168" s="21"/>
      <c r="H1168" s="21"/>
      <c r="I1168" s="511"/>
    </row>
    <row r="1169" spans="1:9">
      <c r="A1169" s="509"/>
      <c r="B1169" s="510"/>
      <c r="C1169" s="23"/>
      <c r="D1169" s="23"/>
      <c r="E1169" s="23"/>
      <c r="F1169" s="21"/>
      <c r="G1169" s="21"/>
      <c r="H1169" s="21"/>
      <c r="I1169" s="511"/>
    </row>
    <row r="1170" spans="1:9">
      <c r="A1170" s="509"/>
      <c r="B1170" s="510"/>
      <c r="C1170" s="23"/>
      <c r="D1170" s="23"/>
      <c r="E1170" s="23"/>
      <c r="F1170" s="21"/>
      <c r="G1170" s="21"/>
      <c r="H1170" s="21"/>
      <c r="I1170" s="511"/>
    </row>
    <row r="1171" spans="1:9">
      <c r="A1171" s="509"/>
      <c r="B1171" s="510"/>
      <c r="C1171" s="23"/>
      <c r="D1171" s="23"/>
      <c r="E1171" s="23"/>
      <c r="F1171" s="21"/>
      <c r="G1171" s="21"/>
      <c r="H1171" s="21"/>
      <c r="I1171" s="511"/>
    </row>
    <row r="1172" spans="1:9">
      <c r="A1172" s="509"/>
      <c r="B1172" s="510"/>
      <c r="C1172" s="23"/>
      <c r="D1172" s="23"/>
      <c r="E1172" s="23"/>
      <c r="F1172" s="21"/>
      <c r="G1172" s="21"/>
      <c r="H1172" s="21"/>
      <c r="I1172" s="511"/>
    </row>
    <row r="1173" spans="1:9">
      <c r="A1173" s="509"/>
      <c r="B1173" s="510"/>
      <c r="C1173" s="23"/>
      <c r="D1173" s="23"/>
      <c r="E1173" s="23"/>
      <c r="F1173" s="21"/>
      <c r="G1173" s="21"/>
      <c r="H1173" s="21"/>
      <c r="I1173" s="511"/>
    </row>
    <row r="1174" spans="1:9">
      <c r="A1174" s="509"/>
      <c r="B1174" s="510"/>
      <c r="C1174" s="23"/>
      <c r="D1174" s="23"/>
      <c r="E1174" s="23"/>
      <c r="F1174" s="21"/>
      <c r="G1174" s="21"/>
      <c r="H1174" s="21"/>
      <c r="I1174" s="511"/>
    </row>
    <row r="1175" spans="1:9">
      <c r="A1175" s="509"/>
      <c r="B1175" s="510"/>
      <c r="C1175" s="23"/>
      <c r="D1175" s="23"/>
      <c r="E1175" s="23"/>
      <c r="F1175" s="21"/>
      <c r="G1175" s="21"/>
      <c r="H1175" s="21"/>
      <c r="I1175" s="511"/>
    </row>
    <row r="1176" spans="1:9">
      <c r="A1176" s="509"/>
      <c r="B1176" s="510"/>
      <c r="C1176" s="23"/>
      <c r="D1176" s="23"/>
      <c r="E1176" s="23"/>
      <c r="F1176" s="21"/>
      <c r="G1176" s="21"/>
      <c r="H1176" s="21"/>
      <c r="I1176" s="511"/>
    </row>
    <row r="1177" spans="1:9">
      <c r="A1177" s="509"/>
      <c r="B1177" s="510"/>
      <c r="C1177" s="23"/>
      <c r="D1177" s="23"/>
      <c r="E1177" s="23"/>
      <c r="F1177" s="21"/>
      <c r="G1177" s="21"/>
      <c r="H1177" s="21"/>
      <c r="I1177" s="511"/>
    </row>
    <row r="1178" spans="1:9">
      <c r="A1178" s="509"/>
      <c r="B1178" s="510"/>
      <c r="C1178" s="23"/>
      <c r="D1178" s="23"/>
      <c r="E1178" s="23"/>
      <c r="F1178" s="21"/>
      <c r="G1178" s="21"/>
      <c r="H1178" s="21"/>
      <c r="I1178" s="511"/>
    </row>
    <row r="1179" spans="1:9">
      <c r="A1179" s="509"/>
      <c r="B1179" s="510"/>
      <c r="C1179" s="23"/>
      <c r="D1179" s="23"/>
      <c r="E1179" s="23"/>
      <c r="F1179" s="21"/>
      <c r="G1179" s="21"/>
      <c r="H1179" s="21"/>
      <c r="I1179" s="511"/>
    </row>
    <row r="1180" spans="1:9">
      <c r="A1180" s="509"/>
      <c r="B1180" s="510"/>
      <c r="C1180" s="23"/>
      <c r="D1180" s="23"/>
      <c r="E1180" s="23"/>
      <c r="F1180" s="21"/>
      <c r="G1180" s="21"/>
      <c r="H1180" s="21"/>
      <c r="I1180" s="511"/>
    </row>
    <row r="1181" spans="1:9">
      <c r="A1181" s="509"/>
      <c r="B1181" s="510"/>
      <c r="C1181" s="23"/>
      <c r="D1181" s="23"/>
      <c r="E1181" s="23"/>
      <c r="F1181" s="21"/>
      <c r="G1181" s="21"/>
      <c r="H1181" s="21"/>
      <c r="I1181" s="511"/>
    </row>
    <row r="1182" spans="1:9">
      <c r="A1182" s="509"/>
      <c r="B1182" s="510"/>
      <c r="C1182" s="23"/>
      <c r="D1182" s="23"/>
      <c r="E1182" s="23"/>
      <c r="F1182" s="21"/>
      <c r="G1182" s="21"/>
      <c r="H1182" s="21"/>
      <c r="I1182" s="511"/>
    </row>
    <row r="1183" spans="1:9">
      <c r="A1183" s="509"/>
      <c r="B1183" s="510"/>
      <c r="C1183" s="23"/>
      <c r="D1183" s="23"/>
      <c r="E1183" s="23"/>
      <c r="F1183" s="21"/>
      <c r="G1183" s="21"/>
      <c r="H1183" s="21"/>
      <c r="I1183" s="511"/>
    </row>
    <row r="1184" spans="1:9">
      <c r="A1184" s="509"/>
      <c r="B1184" s="510"/>
      <c r="C1184" s="23"/>
      <c r="D1184" s="23"/>
      <c r="E1184" s="23"/>
      <c r="F1184" s="21"/>
      <c r="G1184" s="21"/>
      <c r="H1184" s="21"/>
      <c r="I1184" s="511"/>
    </row>
    <row r="1185" spans="1:9">
      <c r="A1185" s="509"/>
      <c r="B1185" s="510"/>
      <c r="C1185" s="23"/>
      <c r="D1185" s="23"/>
      <c r="E1185" s="23"/>
      <c r="F1185" s="21"/>
      <c r="G1185" s="21"/>
      <c r="H1185" s="21"/>
      <c r="I1185" s="511"/>
    </row>
    <row r="1186" spans="1:9">
      <c r="A1186" s="509"/>
      <c r="B1186" s="510"/>
      <c r="C1186" s="23"/>
      <c r="D1186" s="23"/>
      <c r="E1186" s="23"/>
      <c r="F1186" s="21"/>
      <c r="G1186" s="21"/>
      <c r="H1186" s="21"/>
      <c r="I1186" s="511"/>
    </row>
    <row r="1187" spans="1:9">
      <c r="A1187" s="509"/>
      <c r="B1187" s="510"/>
      <c r="C1187" s="23"/>
      <c r="D1187" s="23"/>
      <c r="E1187" s="23"/>
      <c r="F1187" s="21"/>
      <c r="G1187" s="21"/>
      <c r="H1187" s="21"/>
      <c r="I1187" s="511"/>
    </row>
    <row r="1188" spans="1:9">
      <c r="A1188" s="509"/>
      <c r="B1188" s="510"/>
      <c r="C1188" s="23"/>
      <c r="D1188" s="23"/>
      <c r="E1188" s="23"/>
      <c r="F1188" s="21"/>
      <c r="G1188" s="21"/>
      <c r="H1188" s="21"/>
      <c r="I1188" s="511"/>
    </row>
    <row r="1189" spans="1:9">
      <c r="A1189" s="509"/>
      <c r="B1189" s="510"/>
      <c r="C1189" s="23"/>
      <c r="D1189" s="23"/>
      <c r="E1189" s="23"/>
      <c r="F1189" s="21"/>
      <c r="G1189" s="21"/>
      <c r="H1189" s="21"/>
      <c r="I1189" s="511"/>
    </row>
    <row r="1190" spans="1:9">
      <c r="A1190" s="509"/>
      <c r="B1190" s="510"/>
      <c r="C1190" s="23"/>
      <c r="D1190" s="23"/>
      <c r="E1190" s="23"/>
      <c r="F1190" s="21"/>
      <c r="G1190" s="21"/>
      <c r="H1190" s="21"/>
      <c r="I1190" s="511"/>
    </row>
    <row r="1191" spans="1:9">
      <c r="A1191" s="509"/>
      <c r="B1191" s="510"/>
      <c r="C1191" s="23"/>
      <c r="D1191" s="23"/>
      <c r="E1191" s="23"/>
      <c r="F1191" s="21"/>
      <c r="G1191" s="21"/>
      <c r="H1191" s="21"/>
      <c r="I1191" s="511"/>
    </row>
    <row r="1192" spans="1:9">
      <c r="A1192" s="509"/>
      <c r="B1192" s="510"/>
      <c r="C1192" s="23"/>
      <c r="D1192" s="23"/>
      <c r="E1192" s="23"/>
      <c r="F1192" s="21"/>
      <c r="G1192" s="21"/>
      <c r="H1192" s="21"/>
      <c r="I1192" s="511"/>
    </row>
    <row r="1193" spans="1:9">
      <c r="A1193" s="509"/>
      <c r="B1193" s="510"/>
      <c r="C1193" s="23"/>
      <c r="D1193" s="23"/>
      <c r="E1193" s="23"/>
      <c r="F1193" s="21"/>
      <c r="G1193" s="21"/>
      <c r="H1193" s="21"/>
      <c r="I1193" s="511"/>
    </row>
    <row r="1194" spans="1:9">
      <c r="A1194" s="509"/>
      <c r="B1194" s="510"/>
      <c r="C1194" s="23"/>
      <c r="D1194" s="23"/>
      <c r="E1194" s="23"/>
      <c r="F1194" s="21"/>
      <c r="G1194" s="21"/>
      <c r="H1194" s="21"/>
      <c r="I1194" s="511"/>
    </row>
    <row r="1195" spans="1:9">
      <c r="A1195" s="509"/>
      <c r="B1195" s="510"/>
      <c r="C1195" s="23"/>
      <c r="D1195" s="23"/>
      <c r="E1195" s="23"/>
      <c r="F1195" s="21"/>
      <c r="G1195" s="21"/>
      <c r="H1195" s="21"/>
      <c r="I1195" s="511"/>
    </row>
    <row r="1196" spans="1:9">
      <c r="A1196" s="509"/>
      <c r="B1196" s="510"/>
      <c r="C1196" s="23"/>
      <c r="D1196" s="23"/>
      <c r="E1196" s="23"/>
      <c r="F1196" s="21"/>
      <c r="G1196" s="21"/>
      <c r="H1196" s="21"/>
      <c r="I1196" s="511"/>
    </row>
    <row r="1197" spans="1:9">
      <c r="A1197" s="509"/>
      <c r="B1197" s="510"/>
      <c r="C1197" s="23"/>
      <c r="D1197" s="23"/>
      <c r="E1197" s="23"/>
      <c r="F1197" s="21"/>
      <c r="G1197" s="21"/>
      <c r="H1197" s="21"/>
      <c r="I1197" s="511"/>
    </row>
    <row r="1198" spans="1:9">
      <c r="A1198" s="509"/>
      <c r="B1198" s="510"/>
      <c r="C1198" s="23"/>
      <c r="D1198" s="23"/>
      <c r="E1198" s="23"/>
      <c r="F1198" s="21"/>
      <c r="G1198" s="21"/>
      <c r="H1198" s="21"/>
      <c r="I1198" s="511"/>
    </row>
    <row r="1199" spans="1:9">
      <c r="A1199" s="509"/>
      <c r="B1199" s="510"/>
      <c r="C1199" s="23"/>
      <c r="D1199" s="23"/>
      <c r="E1199" s="23"/>
      <c r="F1199" s="21"/>
      <c r="G1199" s="21"/>
      <c r="H1199" s="21"/>
      <c r="I1199" s="511"/>
    </row>
    <row r="1200" spans="1:9">
      <c r="A1200" s="509"/>
      <c r="B1200" s="510"/>
      <c r="C1200" s="23"/>
      <c r="D1200" s="23"/>
      <c r="E1200" s="23"/>
      <c r="F1200" s="21"/>
      <c r="G1200" s="21"/>
      <c r="H1200" s="21"/>
      <c r="I1200" s="511"/>
    </row>
    <row r="1201" spans="1:9">
      <c r="A1201" s="509"/>
      <c r="B1201" s="510"/>
      <c r="C1201" s="23"/>
      <c r="D1201" s="23"/>
      <c r="E1201" s="23"/>
      <c r="F1201" s="21"/>
      <c r="G1201" s="21"/>
      <c r="H1201" s="21"/>
      <c r="I1201" s="511"/>
    </row>
    <row r="1202" spans="1:9">
      <c r="A1202" s="509"/>
      <c r="B1202" s="510"/>
      <c r="C1202" s="23"/>
      <c r="D1202" s="23"/>
      <c r="E1202" s="23"/>
      <c r="F1202" s="21"/>
      <c r="G1202" s="21"/>
      <c r="H1202" s="21"/>
      <c r="I1202" s="511"/>
    </row>
    <row r="1203" spans="1:9">
      <c r="A1203" s="509"/>
      <c r="B1203" s="510"/>
      <c r="C1203" s="23"/>
      <c r="D1203" s="23"/>
      <c r="E1203" s="23"/>
      <c r="F1203" s="21"/>
      <c r="G1203" s="21"/>
      <c r="H1203" s="21"/>
      <c r="I1203" s="511"/>
    </row>
    <row r="1204" spans="1:9">
      <c r="A1204" s="509"/>
      <c r="B1204" s="510"/>
      <c r="C1204" s="23"/>
      <c r="D1204" s="23"/>
      <c r="E1204" s="23"/>
      <c r="F1204" s="21"/>
      <c r="G1204" s="21"/>
      <c r="H1204" s="21"/>
      <c r="I1204" s="511"/>
    </row>
    <row r="1205" spans="1:9">
      <c r="A1205" s="509"/>
      <c r="B1205" s="510"/>
      <c r="C1205" s="23"/>
      <c r="D1205" s="23"/>
      <c r="E1205" s="23"/>
      <c r="F1205" s="21"/>
      <c r="G1205" s="21"/>
      <c r="H1205" s="21"/>
      <c r="I1205" s="511"/>
    </row>
    <row r="1206" spans="1:9">
      <c r="A1206" s="509"/>
      <c r="B1206" s="510"/>
      <c r="C1206" s="23"/>
      <c r="D1206" s="23"/>
      <c r="E1206" s="23"/>
      <c r="F1206" s="21"/>
      <c r="G1206" s="21"/>
      <c r="H1206" s="21"/>
      <c r="I1206" s="511"/>
    </row>
    <row r="1207" spans="1:9">
      <c r="A1207" s="509"/>
      <c r="B1207" s="510"/>
      <c r="C1207" s="23"/>
      <c r="D1207" s="23"/>
      <c r="E1207" s="23"/>
      <c r="F1207" s="21"/>
      <c r="G1207" s="21"/>
      <c r="H1207" s="21"/>
      <c r="I1207" s="511"/>
    </row>
    <row r="1208" spans="1:9">
      <c r="A1208" s="509"/>
      <c r="B1208" s="510"/>
      <c r="C1208" s="23"/>
      <c r="D1208" s="23"/>
      <c r="E1208" s="23"/>
      <c r="F1208" s="21"/>
      <c r="G1208" s="21"/>
      <c r="H1208" s="21"/>
      <c r="I1208" s="511"/>
    </row>
    <row r="1209" spans="1:9">
      <c r="A1209" s="509"/>
      <c r="B1209" s="510"/>
      <c r="C1209" s="23"/>
      <c r="D1209" s="23"/>
      <c r="E1209" s="23"/>
      <c r="F1209" s="21"/>
      <c r="G1209" s="21"/>
      <c r="H1209" s="21"/>
      <c r="I1209" s="511"/>
    </row>
    <row r="1210" spans="1:9">
      <c r="A1210" s="509"/>
      <c r="B1210" s="510"/>
      <c r="C1210" s="23"/>
      <c r="D1210" s="23"/>
      <c r="E1210" s="23"/>
      <c r="F1210" s="21"/>
      <c r="G1210" s="21"/>
      <c r="H1210" s="21"/>
      <c r="I1210" s="511"/>
    </row>
    <row r="1211" spans="1:9">
      <c r="A1211" s="509"/>
      <c r="B1211" s="510"/>
      <c r="C1211" s="23"/>
      <c r="D1211" s="23"/>
      <c r="E1211" s="23"/>
      <c r="F1211" s="21"/>
      <c r="G1211" s="21"/>
      <c r="H1211" s="21"/>
      <c r="I1211" s="511"/>
    </row>
    <row r="1212" spans="1:9">
      <c r="A1212" s="509"/>
      <c r="B1212" s="510"/>
      <c r="C1212" s="23"/>
      <c r="D1212" s="23"/>
      <c r="E1212" s="23"/>
      <c r="F1212" s="21"/>
      <c r="G1212" s="21"/>
      <c r="H1212" s="21"/>
      <c r="I1212" s="511"/>
    </row>
    <row r="1213" spans="1:9">
      <c r="A1213" s="509"/>
      <c r="B1213" s="510"/>
      <c r="C1213" s="23"/>
      <c r="D1213" s="23"/>
      <c r="E1213" s="23"/>
      <c r="F1213" s="21"/>
      <c r="G1213" s="21"/>
      <c r="H1213" s="21"/>
      <c r="I1213" s="511"/>
    </row>
    <row r="1214" spans="1:9">
      <c r="A1214" s="509"/>
      <c r="B1214" s="510"/>
      <c r="C1214" s="23"/>
      <c r="D1214" s="23"/>
      <c r="E1214" s="23"/>
      <c r="F1214" s="21"/>
      <c r="G1214" s="21"/>
      <c r="H1214" s="21"/>
      <c r="I1214" s="511"/>
    </row>
    <row r="1215" spans="1:9">
      <c r="A1215" s="509"/>
      <c r="B1215" s="510"/>
      <c r="C1215" s="23"/>
      <c r="D1215" s="23"/>
      <c r="E1215" s="23"/>
      <c r="F1215" s="21"/>
      <c r="G1215" s="21"/>
      <c r="H1215" s="21"/>
      <c r="I1215" s="511"/>
    </row>
    <row r="1216" spans="1:9">
      <c r="A1216" s="509"/>
      <c r="B1216" s="510"/>
      <c r="C1216" s="23"/>
      <c r="D1216" s="23"/>
      <c r="E1216" s="23"/>
      <c r="F1216" s="21"/>
      <c r="G1216" s="21"/>
      <c r="H1216" s="21"/>
      <c r="I1216" s="511"/>
    </row>
    <row r="1217" spans="1:9">
      <c r="A1217" s="509"/>
      <c r="B1217" s="510"/>
      <c r="C1217" s="23"/>
      <c r="D1217" s="23"/>
      <c r="E1217" s="23"/>
      <c r="F1217" s="21"/>
      <c r="G1217" s="21"/>
      <c r="H1217" s="21"/>
      <c r="I1217" s="511"/>
    </row>
    <row r="1218" spans="1:9">
      <c r="A1218" s="509"/>
      <c r="B1218" s="510"/>
      <c r="C1218" s="23"/>
      <c r="D1218" s="23"/>
      <c r="E1218" s="23"/>
      <c r="F1218" s="21"/>
      <c r="G1218" s="21"/>
      <c r="H1218" s="21"/>
      <c r="I1218" s="511"/>
    </row>
    <row r="1219" spans="1:9">
      <c r="A1219" s="509"/>
      <c r="B1219" s="510"/>
      <c r="C1219" s="23"/>
      <c r="D1219" s="23"/>
      <c r="E1219" s="23"/>
      <c r="F1219" s="21"/>
      <c r="G1219" s="21"/>
      <c r="H1219" s="21"/>
      <c r="I1219" s="511"/>
    </row>
    <row r="1220" spans="1:9">
      <c r="A1220" s="509"/>
      <c r="B1220" s="510"/>
      <c r="C1220" s="23"/>
      <c r="D1220" s="23"/>
      <c r="E1220" s="23"/>
      <c r="F1220" s="21"/>
      <c r="G1220" s="21"/>
      <c r="H1220" s="21"/>
      <c r="I1220" s="511"/>
    </row>
    <row r="1221" spans="1:9">
      <c r="A1221" s="509"/>
      <c r="B1221" s="510"/>
      <c r="C1221" s="23"/>
      <c r="D1221" s="23"/>
      <c r="E1221" s="23"/>
      <c r="F1221" s="21"/>
      <c r="G1221" s="21"/>
      <c r="H1221" s="21"/>
      <c r="I1221" s="511"/>
    </row>
    <row r="1222" spans="1:9">
      <c r="A1222" s="509"/>
      <c r="B1222" s="510"/>
      <c r="C1222" s="23"/>
      <c r="D1222" s="23"/>
      <c r="E1222" s="23"/>
      <c r="F1222" s="21"/>
      <c r="G1222" s="21"/>
      <c r="H1222" s="21"/>
      <c r="I1222" s="511"/>
    </row>
    <row r="1223" spans="1:9">
      <c r="A1223" s="509"/>
      <c r="B1223" s="510"/>
      <c r="C1223" s="23"/>
      <c r="D1223" s="23"/>
      <c r="E1223" s="23"/>
      <c r="F1223" s="21"/>
      <c r="G1223" s="21"/>
      <c r="H1223" s="21"/>
      <c r="I1223" s="511"/>
    </row>
    <row r="1224" spans="1:9">
      <c r="A1224" s="509"/>
      <c r="B1224" s="510"/>
      <c r="C1224" s="23"/>
      <c r="D1224" s="23"/>
      <c r="E1224" s="23"/>
      <c r="F1224" s="21"/>
      <c r="G1224" s="21"/>
      <c r="H1224" s="21"/>
      <c r="I1224" s="511"/>
    </row>
    <row r="1225" spans="1:9">
      <c r="A1225" s="509"/>
      <c r="B1225" s="510"/>
      <c r="C1225" s="23"/>
      <c r="D1225" s="23"/>
      <c r="E1225" s="23"/>
      <c r="F1225" s="21"/>
      <c r="G1225" s="21"/>
      <c r="H1225" s="21"/>
      <c r="I1225" s="511"/>
    </row>
    <row r="1226" spans="1:9">
      <c r="A1226" s="509"/>
      <c r="B1226" s="510"/>
      <c r="C1226" s="23"/>
      <c r="D1226" s="23"/>
      <c r="E1226" s="23"/>
      <c r="F1226" s="21"/>
      <c r="G1226" s="21"/>
      <c r="H1226" s="21"/>
      <c r="I1226" s="511"/>
    </row>
    <row r="1227" spans="1:9">
      <c r="A1227" s="509"/>
      <c r="B1227" s="510"/>
      <c r="C1227" s="23"/>
      <c r="D1227" s="23"/>
      <c r="E1227" s="23"/>
      <c r="F1227" s="21"/>
      <c r="G1227" s="21"/>
      <c r="H1227" s="21"/>
      <c r="I1227" s="511"/>
    </row>
    <row r="1228" spans="1:9">
      <c r="A1228" s="509"/>
      <c r="B1228" s="510"/>
      <c r="C1228" s="23"/>
      <c r="D1228" s="23"/>
      <c r="E1228" s="23"/>
      <c r="F1228" s="21"/>
      <c r="G1228" s="21"/>
      <c r="H1228" s="21"/>
      <c r="I1228" s="511"/>
    </row>
    <row r="1229" spans="1:9">
      <c r="A1229" s="509"/>
      <c r="B1229" s="510"/>
      <c r="C1229" s="23"/>
      <c r="D1229" s="23"/>
      <c r="E1229" s="23"/>
      <c r="F1229" s="21"/>
      <c r="G1229" s="21"/>
      <c r="H1229" s="21"/>
      <c r="I1229" s="511"/>
    </row>
    <row r="1230" spans="1:9">
      <c r="A1230" s="509"/>
      <c r="B1230" s="510"/>
      <c r="C1230" s="23"/>
      <c r="D1230" s="23"/>
      <c r="E1230" s="23"/>
      <c r="F1230" s="21"/>
      <c r="G1230" s="21"/>
      <c r="H1230" s="21"/>
      <c r="I1230" s="511"/>
    </row>
    <row r="1231" spans="1:9">
      <c r="A1231" s="509"/>
      <c r="B1231" s="510"/>
      <c r="C1231" s="23"/>
      <c r="D1231" s="23"/>
      <c r="E1231" s="23"/>
      <c r="F1231" s="21"/>
      <c r="G1231" s="21"/>
      <c r="H1231" s="21"/>
      <c r="I1231" s="511"/>
    </row>
    <row r="1232" spans="1:9">
      <c r="A1232" s="509"/>
      <c r="B1232" s="510"/>
      <c r="C1232" s="23"/>
      <c r="D1232" s="23"/>
      <c r="E1232" s="23"/>
      <c r="F1232" s="21"/>
      <c r="G1232" s="21"/>
      <c r="H1232" s="21"/>
      <c r="I1232" s="511"/>
    </row>
    <row r="1233" spans="1:9">
      <c r="A1233" s="509"/>
      <c r="B1233" s="510"/>
      <c r="C1233" s="23"/>
      <c r="D1233" s="23"/>
      <c r="E1233" s="23"/>
      <c r="F1233" s="21"/>
      <c r="G1233" s="21"/>
      <c r="H1233" s="21"/>
      <c r="I1233" s="511"/>
    </row>
    <row r="1234" spans="1:9">
      <c r="A1234" s="509"/>
      <c r="B1234" s="510"/>
      <c r="C1234" s="23"/>
      <c r="D1234" s="23"/>
      <c r="E1234" s="23"/>
      <c r="F1234" s="21"/>
      <c r="G1234" s="21"/>
      <c r="H1234" s="21"/>
      <c r="I1234" s="511"/>
    </row>
    <row r="1235" spans="1:9">
      <c r="A1235" s="509"/>
      <c r="B1235" s="510"/>
      <c r="C1235" s="23"/>
      <c r="D1235" s="23"/>
      <c r="E1235" s="23"/>
      <c r="F1235" s="21"/>
      <c r="G1235" s="21"/>
      <c r="H1235" s="21"/>
      <c r="I1235" s="511"/>
    </row>
    <row r="1236" spans="1:9">
      <c r="A1236" s="509"/>
      <c r="B1236" s="510"/>
      <c r="C1236" s="23"/>
      <c r="D1236" s="23"/>
      <c r="E1236" s="23"/>
      <c r="F1236" s="21"/>
      <c r="G1236" s="21"/>
      <c r="H1236" s="21"/>
      <c r="I1236" s="511"/>
    </row>
    <row r="1237" spans="1:9">
      <c r="A1237" s="509"/>
      <c r="B1237" s="510"/>
      <c r="C1237" s="23"/>
      <c r="D1237" s="23"/>
      <c r="E1237" s="23"/>
      <c r="F1237" s="21"/>
      <c r="G1237" s="21"/>
      <c r="H1237" s="21"/>
      <c r="I1237" s="511"/>
    </row>
    <row r="1238" spans="1:9">
      <c r="A1238" s="509"/>
      <c r="B1238" s="510"/>
      <c r="C1238" s="23"/>
      <c r="D1238" s="23"/>
      <c r="E1238" s="23"/>
      <c r="F1238" s="21"/>
      <c r="G1238" s="21"/>
      <c r="H1238" s="21"/>
      <c r="I1238" s="511"/>
    </row>
    <row r="1239" spans="1:9">
      <c r="A1239" s="509"/>
      <c r="B1239" s="510"/>
      <c r="C1239" s="23"/>
      <c r="D1239" s="23"/>
      <c r="E1239" s="23"/>
      <c r="F1239" s="21"/>
      <c r="G1239" s="21"/>
      <c r="H1239" s="21"/>
      <c r="I1239" s="511"/>
    </row>
    <row r="1240" spans="1:9">
      <c r="A1240" s="509"/>
      <c r="B1240" s="510"/>
      <c r="C1240" s="23"/>
      <c r="D1240" s="23"/>
      <c r="E1240" s="23"/>
      <c r="F1240" s="21"/>
      <c r="G1240" s="21"/>
      <c r="H1240" s="21"/>
      <c r="I1240" s="511"/>
    </row>
    <row r="1241" spans="1:9">
      <c r="A1241" s="509"/>
      <c r="B1241" s="510"/>
      <c r="C1241" s="23"/>
      <c r="D1241" s="23"/>
      <c r="E1241" s="23"/>
      <c r="F1241" s="21"/>
      <c r="G1241" s="21"/>
      <c r="H1241" s="21"/>
      <c r="I1241" s="511"/>
    </row>
    <row r="1242" spans="1:9">
      <c r="A1242" s="509"/>
      <c r="B1242" s="510"/>
      <c r="C1242" s="23"/>
      <c r="D1242" s="23"/>
      <c r="E1242" s="23"/>
      <c r="F1242" s="21"/>
      <c r="G1242" s="21"/>
      <c r="H1242" s="21"/>
      <c r="I1242" s="511"/>
    </row>
    <row r="1243" spans="1:9">
      <c r="A1243" s="509"/>
      <c r="B1243" s="510"/>
      <c r="C1243" s="23"/>
      <c r="D1243" s="23"/>
      <c r="E1243" s="23"/>
      <c r="F1243" s="21"/>
      <c r="G1243" s="21"/>
      <c r="H1243" s="21"/>
      <c r="I1243" s="511"/>
    </row>
    <row r="1244" spans="1:9">
      <c r="A1244" s="509"/>
      <c r="B1244" s="510"/>
      <c r="C1244" s="23"/>
      <c r="D1244" s="23"/>
      <c r="E1244" s="23"/>
      <c r="F1244" s="21"/>
      <c r="G1244" s="21"/>
      <c r="H1244" s="21"/>
      <c r="I1244" s="511"/>
    </row>
    <row r="1245" spans="1:9">
      <c r="A1245" s="509"/>
      <c r="B1245" s="510"/>
      <c r="C1245" s="23"/>
      <c r="D1245" s="23"/>
      <c r="E1245" s="23"/>
      <c r="F1245" s="21"/>
      <c r="G1245" s="21"/>
      <c r="H1245" s="21"/>
      <c r="I1245" s="511"/>
    </row>
    <row r="1246" spans="1:9">
      <c r="A1246" s="509"/>
      <c r="B1246" s="510"/>
      <c r="C1246" s="23"/>
      <c r="D1246" s="23"/>
      <c r="E1246" s="23"/>
      <c r="F1246" s="21"/>
      <c r="G1246" s="21"/>
      <c r="H1246" s="21"/>
      <c r="I1246" s="511"/>
    </row>
    <row r="1247" spans="1:9">
      <c r="A1247" s="509"/>
      <c r="B1247" s="510"/>
      <c r="C1247" s="23"/>
      <c r="D1247" s="23"/>
      <c r="E1247" s="23"/>
      <c r="F1247" s="21"/>
      <c r="G1247" s="21"/>
      <c r="H1247" s="21"/>
      <c r="I1247" s="511"/>
    </row>
    <row r="1248" spans="1:9">
      <c r="A1248" s="509"/>
      <c r="B1248" s="510"/>
      <c r="C1248" s="23"/>
      <c r="D1248" s="23"/>
      <c r="E1248" s="23"/>
      <c r="F1248" s="21"/>
      <c r="G1248" s="21"/>
      <c r="H1248" s="21"/>
      <c r="I1248" s="511"/>
    </row>
    <row r="1249" spans="1:9">
      <c r="A1249" s="509"/>
      <c r="B1249" s="510"/>
      <c r="C1249" s="23"/>
      <c r="D1249" s="23"/>
      <c r="E1249" s="23"/>
      <c r="F1249" s="21"/>
      <c r="G1249" s="21"/>
      <c r="H1249" s="21"/>
      <c r="I1249" s="511"/>
    </row>
    <row r="1250" spans="1:9">
      <c r="A1250" s="509"/>
      <c r="B1250" s="510"/>
      <c r="C1250" s="23"/>
      <c r="D1250" s="23"/>
      <c r="E1250" s="23"/>
      <c r="F1250" s="21"/>
      <c r="G1250" s="21"/>
      <c r="H1250" s="21"/>
      <c r="I1250" s="511"/>
    </row>
    <row r="1251" spans="1:9">
      <c r="A1251" s="509"/>
      <c r="B1251" s="510"/>
      <c r="C1251" s="23"/>
      <c r="D1251" s="23"/>
      <c r="E1251" s="23"/>
      <c r="F1251" s="21"/>
      <c r="G1251" s="21"/>
      <c r="H1251" s="21"/>
      <c r="I1251" s="511"/>
    </row>
    <row r="1252" spans="1:9">
      <c r="A1252" s="509"/>
      <c r="B1252" s="510"/>
      <c r="C1252" s="23"/>
      <c r="D1252" s="23"/>
      <c r="E1252" s="23"/>
      <c r="F1252" s="21"/>
      <c r="G1252" s="21"/>
      <c r="H1252" s="21"/>
      <c r="I1252" s="511"/>
    </row>
    <row r="1253" spans="1:9">
      <c r="A1253" s="509"/>
      <c r="B1253" s="510"/>
      <c r="C1253" s="23"/>
      <c r="D1253" s="23"/>
      <c r="E1253" s="23"/>
      <c r="F1253" s="21"/>
      <c r="G1253" s="21"/>
      <c r="H1253" s="21"/>
      <c r="I1253" s="511"/>
    </row>
    <row r="1254" spans="1:9">
      <c r="A1254" s="509"/>
      <c r="B1254" s="510"/>
      <c r="C1254" s="23"/>
      <c r="D1254" s="23"/>
      <c r="E1254" s="23"/>
      <c r="F1254" s="21"/>
      <c r="G1254" s="21"/>
      <c r="H1254" s="21"/>
      <c r="I1254" s="511"/>
    </row>
    <row r="1255" spans="1:9">
      <c r="A1255" s="509"/>
      <c r="B1255" s="510"/>
      <c r="C1255" s="23"/>
      <c r="D1255" s="23"/>
      <c r="E1255" s="23"/>
      <c r="F1255" s="21"/>
      <c r="G1255" s="21"/>
      <c r="H1255" s="21"/>
      <c r="I1255" s="511"/>
    </row>
    <row r="1256" spans="1:9">
      <c r="A1256" s="509"/>
      <c r="B1256" s="510"/>
      <c r="C1256" s="23"/>
      <c r="D1256" s="23"/>
      <c r="E1256" s="23"/>
      <c r="F1256" s="21"/>
      <c r="G1256" s="21"/>
      <c r="H1256" s="21"/>
      <c r="I1256" s="511"/>
    </row>
    <row r="1257" spans="1:9">
      <c r="A1257" s="509"/>
      <c r="B1257" s="510"/>
      <c r="C1257" s="23"/>
      <c r="D1257" s="23"/>
      <c r="E1257" s="23"/>
      <c r="F1257" s="21"/>
      <c r="G1257" s="21"/>
      <c r="H1257" s="21"/>
      <c r="I1257" s="511"/>
    </row>
    <row r="1258" spans="1:9">
      <c r="A1258" s="509"/>
      <c r="B1258" s="510"/>
      <c r="C1258" s="23"/>
      <c r="D1258" s="23"/>
      <c r="E1258" s="23"/>
      <c r="F1258" s="21"/>
      <c r="G1258" s="21"/>
      <c r="H1258" s="21"/>
      <c r="I1258" s="511"/>
    </row>
    <row r="1259" spans="1:9">
      <c r="A1259" s="509"/>
      <c r="B1259" s="510"/>
      <c r="C1259" s="23"/>
      <c r="D1259" s="23"/>
      <c r="E1259" s="23"/>
      <c r="F1259" s="21"/>
      <c r="G1259" s="21"/>
      <c r="H1259" s="21"/>
      <c r="I1259" s="511"/>
    </row>
    <row r="1260" spans="1:9">
      <c r="A1260" s="509"/>
      <c r="B1260" s="510"/>
      <c r="C1260" s="23"/>
      <c r="D1260" s="23"/>
      <c r="E1260" s="23"/>
      <c r="F1260" s="21"/>
      <c r="G1260" s="21"/>
      <c r="H1260" s="21"/>
      <c r="I1260" s="511"/>
    </row>
    <row r="1261" spans="1:9">
      <c r="A1261" s="509"/>
      <c r="B1261" s="510"/>
      <c r="C1261" s="23"/>
      <c r="D1261" s="23"/>
      <c r="E1261" s="23"/>
      <c r="F1261" s="21"/>
      <c r="G1261" s="21"/>
      <c r="H1261" s="21"/>
      <c r="I1261" s="511"/>
    </row>
    <row r="1262" spans="1:9">
      <c r="A1262" s="509"/>
      <c r="B1262" s="510"/>
      <c r="C1262" s="23"/>
      <c r="D1262" s="23"/>
      <c r="E1262" s="23"/>
      <c r="F1262" s="21"/>
      <c r="G1262" s="21"/>
      <c r="H1262" s="21"/>
      <c r="I1262" s="511"/>
    </row>
    <row r="1263" spans="1:9">
      <c r="A1263" s="509"/>
      <c r="B1263" s="510"/>
      <c r="C1263" s="23"/>
      <c r="D1263" s="23"/>
      <c r="E1263" s="23"/>
      <c r="F1263" s="21"/>
      <c r="G1263" s="21"/>
      <c r="H1263" s="21"/>
      <c r="I1263" s="511"/>
    </row>
    <row r="1264" spans="1:9">
      <c r="A1264" s="509"/>
      <c r="B1264" s="510"/>
      <c r="C1264" s="23"/>
      <c r="D1264" s="23"/>
      <c r="E1264" s="23"/>
      <c r="F1264" s="21"/>
      <c r="G1264" s="21"/>
      <c r="H1264" s="21"/>
      <c r="I1264" s="511"/>
    </row>
    <row r="1265" spans="1:9">
      <c r="A1265" s="509"/>
      <c r="B1265" s="510"/>
      <c r="C1265" s="23"/>
      <c r="D1265" s="23"/>
      <c r="E1265" s="23"/>
      <c r="F1265" s="21"/>
      <c r="G1265" s="21"/>
      <c r="H1265" s="21"/>
      <c r="I1265" s="511"/>
    </row>
    <row r="1266" spans="1:9">
      <c r="A1266" s="509"/>
      <c r="B1266" s="510"/>
      <c r="C1266" s="23"/>
      <c r="D1266" s="23"/>
      <c r="E1266" s="23"/>
      <c r="F1266" s="21"/>
      <c r="G1266" s="21"/>
      <c r="H1266" s="21"/>
      <c r="I1266" s="511"/>
    </row>
    <row r="1267" spans="1:9">
      <c r="A1267" s="509"/>
      <c r="B1267" s="510"/>
      <c r="C1267" s="23"/>
      <c r="D1267" s="23"/>
      <c r="E1267" s="23"/>
      <c r="F1267" s="21"/>
      <c r="G1267" s="21"/>
      <c r="H1267" s="21"/>
      <c r="I1267" s="511"/>
    </row>
    <row r="1268" spans="1:9">
      <c r="A1268" s="509"/>
      <c r="B1268" s="510"/>
      <c r="C1268" s="23"/>
      <c r="D1268" s="23"/>
      <c r="E1268" s="23"/>
      <c r="F1268" s="21"/>
      <c r="G1268" s="21"/>
      <c r="H1268" s="21"/>
      <c r="I1268" s="511"/>
    </row>
    <row r="1269" spans="1:9">
      <c r="A1269" s="509"/>
      <c r="B1269" s="510"/>
      <c r="C1269" s="23"/>
      <c r="D1269" s="23"/>
      <c r="E1269" s="23"/>
      <c r="F1269" s="21"/>
      <c r="G1269" s="21"/>
      <c r="H1269" s="21"/>
      <c r="I1269" s="511"/>
    </row>
    <row r="1270" spans="1:9">
      <c r="A1270" s="509"/>
      <c r="B1270" s="510"/>
      <c r="C1270" s="23"/>
      <c r="D1270" s="23"/>
      <c r="E1270" s="23"/>
      <c r="F1270" s="21"/>
      <c r="G1270" s="21"/>
      <c r="H1270" s="21"/>
      <c r="I1270" s="511"/>
    </row>
    <row r="1271" spans="1:9">
      <c r="A1271" s="509"/>
      <c r="B1271" s="510"/>
      <c r="C1271" s="23"/>
      <c r="D1271" s="23"/>
      <c r="E1271" s="23"/>
      <c r="F1271" s="21"/>
      <c r="G1271" s="21"/>
      <c r="H1271" s="21"/>
      <c r="I1271" s="511"/>
    </row>
    <row r="1272" spans="1:9">
      <c r="A1272" s="509"/>
      <c r="B1272" s="510"/>
      <c r="C1272" s="23"/>
      <c r="D1272" s="23"/>
      <c r="E1272" s="23"/>
      <c r="F1272" s="21"/>
      <c r="G1272" s="21"/>
      <c r="H1272" s="21"/>
      <c r="I1272" s="511"/>
    </row>
    <row r="1273" spans="1:9">
      <c r="A1273" s="509"/>
      <c r="B1273" s="510"/>
      <c r="C1273" s="23"/>
      <c r="D1273" s="23"/>
      <c r="E1273" s="23"/>
      <c r="F1273" s="21"/>
      <c r="G1273" s="21"/>
      <c r="H1273" s="21"/>
      <c r="I1273" s="511"/>
    </row>
    <row r="1274" spans="1:9">
      <c r="A1274" s="509"/>
      <c r="B1274" s="510"/>
      <c r="C1274" s="23"/>
      <c r="D1274" s="23"/>
      <c r="E1274" s="23"/>
      <c r="F1274" s="21"/>
      <c r="G1274" s="21"/>
      <c r="H1274" s="21"/>
      <c r="I1274" s="511"/>
    </row>
    <row r="1275" spans="1:9">
      <c r="A1275" s="509"/>
      <c r="B1275" s="510"/>
      <c r="C1275" s="23"/>
      <c r="D1275" s="23"/>
      <c r="E1275" s="23"/>
      <c r="F1275" s="21"/>
      <c r="G1275" s="21"/>
      <c r="H1275" s="21"/>
      <c r="I1275" s="511"/>
    </row>
    <row r="1276" spans="1:9">
      <c r="A1276" s="509"/>
      <c r="B1276" s="510"/>
      <c r="C1276" s="23"/>
      <c r="D1276" s="23"/>
      <c r="E1276" s="23"/>
      <c r="F1276" s="21"/>
      <c r="G1276" s="21"/>
      <c r="H1276" s="21"/>
      <c r="I1276" s="511"/>
    </row>
    <row r="1277" spans="1:9">
      <c r="A1277" s="509"/>
      <c r="B1277" s="510"/>
      <c r="C1277" s="23"/>
      <c r="D1277" s="23"/>
      <c r="E1277" s="23"/>
      <c r="F1277" s="21"/>
      <c r="G1277" s="21"/>
      <c r="H1277" s="21"/>
      <c r="I1277" s="511"/>
    </row>
    <row r="1278" spans="1:9">
      <c r="A1278" s="509"/>
      <c r="B1278" s="510"/>
      <c r="C1278" s="23"/>
      <c r="D1278" s="23"/>
      <c r="E1278" s="23"/>
      <c r="F1278" s="21"/>
      <c r="G1278" s="21"/>
      <c r="H1278" s="21"/>
      <c r="I1278" s="511"/>
    </row>
    <row r="1279" spans="1:9">
      <c r="A1279" s="509"/>
      <c r="B1279" s="510"/>
      <c r="C1279" s="23"/>
      <c r="D1279" s="23"/>
      <c r="E1279" s="23"/>
      <c r="F1279" s="21"/>
      <c r="G1279" s="21"/>
      <c r="H1279" s="21"/>
      <c r="I1279" s="511"/>
    </row>
    <row r="1280" spans="1:9">
      <c r="A1280" s="509"/>
      <c r="B1280" s="510"/>
      <c r="C1280" s="23"/>
      <c r="D1280" s="23"/>
      <c r="E1280" s="23"/>
      <c r="F1280" s="21"/>
      <c r="G1280" s="21"/>
      <c r="H1280" s="21"/>
      <c r="I1280" s="511"/>
    </row>
    <row r="1281" spans="1:9">
      <c r="A1281" s="509"/>
      <c r="B1281" s="510"/>
      <c r="C1281" s="23"/>
      <c r="D1281" s="23"/>
      <c r="E1281" s="23"/>
      <c r="F1281" s="21"/>
      <c r="G1281" s="21"/>
      <c r="H1281" s="21"/>
      <c r="I1281" s="511"/>
    </row>
    <row r="1282" spans="1:9">
      <c r="A1282" s="509"/>
      <c r="B1282" s="510"/>
      <c r="C1282" s="23"/>
      <c r="D1282" s="23"/>
      <c r="E1282" s="23"/>
      <c r="F1282" s="21"/>
      <c r="G1282" s="21"/>
      <c r="H1282" s="21"/>
      <c r="I1282" s="511"/>
    </row>
    <row r="1283" spans="1:9">
      <c r="A1283" s="509"/>
      <c r="B1283" s="510"/>
      <c r="C1283" s="23"/>
      <c r="D1283" s="23"/>
      <c r="E1283" s="23"/>
      <c r="F1283" s="21"/>
      <c r="G1283" s="21"/>
      <c r="H1283" s="21"/>
      <c r="I1283" s="511"/>
    </row>
    <row r="1284" spans="1:9">
      <c r="A1284" s="509"/>
      <c r="B1284" s="510"/>
      <c r="C1284" s="23"/>
      <c r="D1284" s="23"/>
      <c r="E1284" s="23"/>
      <c r="F1284" s="21"/>
      <c r="G1284" s="21"/>
      <c r="H1284" s="21"/>
      <c r="I1284" s="511"/>
    </row>
    <row r="1285" spans="1:9">
      <c r="A1285" s="509"/>
      <c r="B1285" s="510"/>
      <c r="C1285" s="23"/>
      <c r="D1285" s="23"/>
      <c r="E1285" s="23"/>
      <c r="F1285" s="21"/>
      <c r="G1285" s="21"/>
      <c r="H1285" s="21"/>
      <c r="I1285" s="511"/>
    </row>
    <row r="1286" spans="1:9">
      <c r="A1286" s="509"/>
      <c r="B1286" s="510"/>
      <c r="C1286" s="23"/>
      <c r="D1286" s="23"/>
      <c r="E1286" s="23"/>
      <c r="F1286" s="21"/>
      <c r="G1286" s="21"/>
      <c r="H1286" s="21"/>
      <c r="I1286" s="511"/>
    </row>
    <row r="1287" spans="1:9">
      <c r="A1287" s="509"/>
      <c r="B1287" s="510"/>
      <c r="C1287" s="23"/>
      <c r="D1287" s="23"/>
      <c r="E1287" s="23"/>
      <c r="F1287" s="21"/>
      <c r="G1287" s="21"/>
      <c r="H1287" s="21"/>
      <c r="I1287" s="511"/>
    </row>
    <row r="1288" spans="1:9">
      <c r="A1288" s="509"/>
      <c r="B1288" s="510"/>
      <c r="C1288" s="23"/>
      <c r="D1288" s="23"/>
      <c r="E1288" s="23"/>
      <c r="F1288" s="21"/>
      <c r="G1288" s="21"/>
      <c r="H1288" s="21"/>
      <c r="I1288" s="511"/>
    </row>
    <row r="1289" spans="1:9">
      <c r="A1289" s="509"/>
      <c r="B1289" s="510"/>
      <c r="C1289" s="23"/>
      <c r="D1289" s="23"/>
      <c r="E1289" s="23"/>
      <c r="F1289" s="21"/>
      <c r="G1289" s="21"/>
      <c r="H1289" s="21"/>
      <c r="I1289" s="511"/>
    </row>
    <row r="1290" spans="1:9">
      <c r="A1290" s="509"/>
      <c r="B1290" s="510"/>
      <c r="C1290" s="23"/>
      <c r="D1290" s="23"/>
      <c r="E1290" s="23"/>
      <c r="F1290" s="21"/>
      <c r="G1290" s="21"/>
      <c r="H1290" s="21"/>
      <c r="I1290" s="511"/>
    </row>
    <row r="1291" spans="1:9">
      <c r="A1291" s="509"/>
      <c r="B1291" s="510"/>
      <c r="C1291" s="23"/>
      <c r="D1291" s="23"/>
      <c r="E1291" s="23"/>
      <c r="F1291" s="21"/>
      <c r="G1291" s="21"/>
      <c r="H1291" s="21"/>
      <c r="I1291" s="511"/>
    </row>
    <row r="1292" spans="1:9">
      <c r="A1292" s="509"/>
      <c r="B1292" s="510"/>
      <c r="C1292" s="23"/>
      <c r="D1292" s="23"/>
      <c r="E1292" s="23"/>
      <c r="F1292" s="21"/>
      <c r="G1292" s="21"/>
      <c r="H1292" s="21"/>
      <c r="I1292" s="511"/>
    </row>
    <row r="1293" spans="1:9">
      <c r="A1293" s="509"/>
      <c r="B1293" s="510"/>
      <c r="C1293" s="23"/>
      <c r="D1293" s="23"/>
      <c r="E1293" s="23"/>
      <c r="F1293" s="21"/>
      <c r="G1293" s="21"/>
      <c r="H1293" s="21"/>
      <c r="I1293" s="511"/>
    </row>
    <row r="1294" spans="1:9">
      <c r="A1294" s="509"/>
      <c r="B1294" s="510"/>
      <c r="C1294" s="23"/>
      <c r="D1294" s="23"/>
      <c r="E1294" s="23"/>
      <c r="F1294" s="21"/>
      <c r="G1294" s="21"/>
      <c r="H1294" s="21"/>
      <c r="I1294" s="511"/>
    </row>
    <row r="1295" spans="1:9">
      <c r="A1295" s="509"/>
      <c r="B1295" s="510"/>
      <c r="C1295" s="23"/>
      <c r="D1295" s="23"/>
      <c r="E1295" s="23"/>
      <c r="F1295" s="21"/>
      <c r="G1295" s="21"/>
      <c r="H1295" s="21"/>
      <c r="I1295" s="511"/>
    </row>
    <row r="1296" spans="1:9">
      <c r="A1296" s="509"/>
      <c r="B1296" s="510"/>
      <c r="C1296" s="23"/>
      <c r="D1296" s="23"/>
      <c r="E1296" s="23"/>
      <c r="F1296" s="21"/>
      <c r="G1296" s="21"/>
      <c r="H1296" s="21"/>
      <c r="I1296" s="511"/>
    </row>
    <row r="1297" spans="1:9">
      <c r="A1297" s="509"/>
      <c r="B1297" s="510"/>
      <c r="C1297" s="23"/>
      <c r="D1297" s="23"/>
      <c r="E1297" s="23"/>
      <c r="F1297" s="21"/>
      <c r="G1297" s="21"/>
      <c r="H1297" s="21"/>
      <c r="I1297" s="511"/>
    </row>
    <row r="1298" spans="1:9">
      <c r="A1298" s="509"/>
      <c r="B1298" s="510"/>
      <c r="C1298" s="23"/>
      <c r="D1298" s="23"/>
      <c r="E1298" s="23"/>
      <c r="F1298" s="21"/>
      <c r="G1298" s="21"/>
      <c r="H1298" s="21"/>
      <c r="I1298" s="511"/>
    </row>
    <row r="1299" spans="1:9">
      <c r="A1299" s="509"/>
      <c r="B1299" s="510"/>
      <c r="C1299" s="23"/>
      <c r="D1299" s="23"/>
      <c r="E1299" s="23"/>
      <c r="F1299" s="21"/>
      <c r="G1299" s="21"/>
      <c r="H1299" s="21"/>
      <c r="I1299" s="511"/>
    </row>
    <row r="1300" spans="1:9">
      <c r="A1300" s="509"/>
      <c r="B1300" s="510"/>
      <c r="C1300" s="23"/>
      <c r="D1300" s="23"/>
      <c r="E1300" s="23"/>
      <c r="F1300" s="21"/>
      <c r="G1300" s="21"/>
      <c r="H1300" s="21"/>
      <c r="I1300" s="511"/>
    </row>
    <row r="1301" spans="1:9">
      <c r="A1301" s="509"/>
      <c r="B1301" s="510"/>
      <c r="C1301" s="23"/>
      <c r="D1301" s="23"/>
      <c r="E1301" s="23"/>
      <c r="F1301" s="21"/>
      <c r="G1301" s="21"/>
      <c r="H1301" s="21"/>
      <c r="I1301" s="511"/>
    </row>
    <row r="1302" spans="1:9">
      <c r="A1302" s="509"/>
      <c r="B1302" s="510"/>
      <c r="C1302" s="23"/>
      <c r="D1302" s="23"/>
      <c r="E1302" s="23"/>
      <c r="F1302" s="21"/>
      <c r="G1302" s="21"/>
      <c r="H1302" s="21"/>
      <c r="I1302" s="511"/>
    </row>
    <row r="1303" spans="1:9">
      <c r="A1303" s="509"/>
      <c r="B1303" s="510"/>
      <c r="C1303" s="23"/>
      <c r="D1303" s="23"/>
      <c r="E1303" s="23"/>
      <c r="F1303" s="21"/>
      <c r="G1303" s="21"/>
      <c r="H1303" s="21"/>
      <c r="I1303" s="511"/>
    </row>
    <row r="1304" spans="1:9">
      <c r="A1304" s="509"/>
      <c r="B1304" s="510"/>
      <c r="C1304" s="23"/>
      <c r="D1304" s="23"/>
      <c r="E1304" s="23"/>
      <c r="F1304" s="21"/>
      <c r="G1304" s="21"/>
      <c r="H1304" s="21"/>
      <c r="I1304" s="511"/>
    </row>
    <row r="1305" spans="1:9">
      <c r="A1305" s="509"/>
      <c r="B1305" s="510"/>
      <c r="C1305" s="23"/>
      <c r="D1305" s="23"/>
      <c r="E1305" s="23"/>
      <c r="F1305" s="21"/>
      <c r="G1305" s="21"/>
      <c r="H1305" s="21"/>
      <c r="I1305" s="511"/>
    </row>
    <row r="1306" spans="1:9">
      <c r="A1306" s="509"/>
      <c r="B1306" s="510"/>
      <c r="C1306" s="23"/>
      <c r="D1306" s="23"/>
      <c r="E1306" s="23"/>
      <c r="F1306" s="21"/>
      <c r="G1306" s="21"/>
      <c r="H1306" s="21"/>
      <c r="I1306" s="511"/>
    </row>
    <row r="1307" spans="1:9">
      <c r="A1307" s="509"/>
      <c r="B1307" s="510"/>
      <c r="C1307" s="23"/>
      <c r="D1307" s="23"/>
      <c r="E1307" s="23"/>
      <c r="F1307" s="21"/>
      <c r="G1307" s="21"/>
      <c r="H1307" s="21"/>
      <c r="I1307" s="511"/>
    </row>
    <row r="1308" spans="1:9">
      <c r="A1308" s="509"/>
      <c r="B1308" s="510"/>
      <c r="C1308" s="23"/>
      <c r="D1308" s="23"/>
      <c r="E1308" s="23"/>
      <c r="F1308" s="21"/>
      <c r="G1308" s="21"/>
      <c r="H1308" s="21"/>
      <c r="I1308" s="511"/>
    </row>
    <row r="1309" spans="1:9">
      <c r="A1309" s="509"/>
      <c r="B1309" s="510"/>
      <c r="C1309" s="23"/>
      <c r="D1309" s="23"/>
      <c r="E1309" s="23"/>
      <c r="F1309" s="21"/>
      <c r="G1309" s="21"/>
      <c r="H1309" s="21"/>
      <c r="I1309" s="511"/>
    </row>
    <row r="1310" spans="1:9">
      <c r="A1310" s="509"/>
      <c r="B1310" s="510"/>
      <c r="C1310" s="23"/>
      <c r="D1310" s="23"/>
      <c r="E1310" s="23"/>
      <c r="F1310" s="21"/>
      <c r="G1310" s="21"/>
      <c r="H1310" s="21"/>
      <c r="I1310" s="511"/>
    </row>
    <row r="1311" spans="1:9">
      <c r="A1311" s="509"/>
      <c r="B1311" s="510"/>
      <c r="C1311" s="23"/>
      <c r="D1311" s="23"/>
      <c r="E1311" s="23"/>
      <c r="F1311" s="21"/>
      <c r="G1311" s="21"/>
      <c r="H1311" s="21"/>
      <c r="I1311" s="511"/>
    </row>
    <row r="1312" spans="1:9">
      <c r="A1312" s="509"/>
      <c r="B1312" s="510"/>
      <c r="C1312" s="23"/>
      <c r="D1312" s="23"/>
      <c r="E1312" s="23"/>
      <c r="F1312" s="21"/>
      <c r="G1312" s="21"/>
      <c r="H1312" s="21"/>
      <c r="I1312" s="511"/>
    </row>
    <row r="1313" spans="1:9">
      <c r="A1313" s="509"/>
      <c r="B1313" s="510"/>
      <c r="C1313" s="23"/>
      <c r="D1313" s="23"/>
      <c r="E1313" s="23"/>
      <c r="F1313" s="21"/>
      <c r="G1313" s="21"/>
      <c r="H1313" s="21"/>
      <c r="I1313" s="511"/>
    </row>
    <row r="1314" spans="1:9">
      <c r="A1314" s="509"/>
      <c r="B1314" s="510"/>
      <c r="C1314" s="23"/>
      <c r="D1314" s="23"/>
      <c r="E1314" s="23"/>
      <c r="F1314" s="21"/>
      <c r="G1314" s="21"/>
      <c r="H1314" s="21"/>
      <c r="I1314" s="511"/>
    </row>
    <row r="1315" spans="1:9">
      <c r="A1315" s="509"/>
      <c r="B1315" s="510"/>
      <c r="C1315" s="23"/>
      <c r="D1315" s="23"/>
      <c r="E1315" s="23"/>
      <c r="F1315" s="21"/>
      <c r="G1315" s="21"/>
      <c r="H1315" s="21"/>
      <c r="I1315" s="511"/>
    </row>
    <row r="1316" spans="1:9">
      <c r="A1316" s="509"/>
      <c r="B1316" s="510"/>
      <c r="C1316" s="23"/>
      <c r="D1316" s="23"/>
      <c r="E1316" s="23"/>
      <c r="F1316" s="21"/>
      <c r="G1316" s="21"/>
      <c r="H1316" s="21"/>
      <c r="I1316" s="511"/>
    </row>
    <row r="1317" spans="1:9">
      <c r="A1317" s="509"/>
      <c r="B1317" s="510"/>
      <c r="C1317" s="23"/>
      <c r="D1317" s="23"/>
      <c r="E1317" s="23"/>
      <c r="F1317" s="21"/>
      <c r="G1317" s="21"/>
      <c r="H1317" s="21"/>
      <c r="I1317" s="511"/>
    </row>
    <row r="1318" spans="1:9">
      <c r="A1318" s="509"/>
      <c r="B1318" s="510"/>
      <c r="C1318" s="23"/>
      <c r="D1318" s="23"/>
      <c r="E1318" s="23"/>
      <c r="F1318" s="21"/>
      <c r="G1318" s="21"/>
      <c r="H1318" s="21"/>
      <c r="I1318" s="511"/>
    </row>
    <row r="1319" spans="1:9">
      <c r="A1319" s="509"/>
      <c r="B1319" s="510"/>
      <c r="C1319" s="23"/>
      <c r="D1319" s="23"/>
      <c r="E1319" s="23"/>
      <c r="F1319" s="21"/>
      <c r="G1319" s="21"/>
      <c r="H1319" s="21"/>
      <c r="I1319" s="511"/>
    </row>
    <row r="1320" spans="1:9">
      <c r="A1320" s="509"/>
      <c r="B1320" s="510"/>
      <c r="C1320" s="23"/>
      <c r="D1320" s="23"/>
      <c r="E1320" s="23"/>
      <c r="F1320" s="21"/>
      <c r="G1320" s="21"/>
      <c r="H1320" s="21"/>
      <c r="I1320" s="511"/>
    </row>
    <row r="1321" spans="1:9">
      <c r="A1321" s="509"/>
      <c r="B1321" s="510"/>
      <c r="C1321" s="23"/>
      <c r="D1321" s="23"/>
      <c r="E1321" s="23"/>
      <c r="F1321" s="21"/>
      <c r="G1321" s="21"/>
      <c r="H1321" s="21"/>
      <c r="I1321" s="511"/>
    </row>
    <row r="1322" spans="1:9">
      <c r="A1322" s="509"/>
      <c r="B1322" s="510"/>
      <c r="C1322" s="23"/>
      <c r="D1322" s="23"/>
      <c r="E1322" s="23"/>
      <c r="F1322" s="21"/>
      <c r="G1322" s="21"/>
      <c r="H1322" s="21"/>
      <c r="I1322" s="511"/>
    </row>
    <row r="1323" spans="1:9">
      <c r="A1323" s="509"/>
      <c r="B1323" s="510"/>
      <c r="C1323" s="23"/>
      <c r="D1323" s="23"/>
      <c r="E1323" s="23"/>
      <c r="F1323" s="21"/>
      <c r="G1323" s="21"/>
      <c r="H1323" s="21"/>
      <c r="I1323" s="511"/>
    </row>
    <row r="1324" spans="1:9">
      <c r="A1324" s="509"/>
      <c r="B1324" s="510"/>
      <c r="C1324" s="23"/>
      <c r="D1324" s="23"/>
      <c r="E1324" s="23"/>
      <c r="F1324" s="21"/>
      <c r="G1324" s="21"/>
      <c r="H1324" s="21"/>
      <c r="I1324" s="511"/>
    </row>
    <row r="1325" spans="1:9">
      <c r="A1325" s="509"/>
      <c r="B1325" s="510"/>
      <c r="C1325" s="23"/>
      <c r="D1325" s="23"/>
      <c r="E1325" s="23"/>
      <c r="F1325" s="21"/>
      <c r="G1325" s="21"/>
      <c r="H1325" s="21"/>
      <c r="I1325" s="511"/>
    </row>
    <row r="1326" spans="1:9">
      <c r="A1326" s="509"/>
      <c r="B1326" s="510"/>
      <c r="C1326" s="23"/>
      <c r="D1326" s="23"/>
      <c r="E1326" s="23"/>
      <c r="F1326" s="21"/>
      <c r="G1326" s="21"/>
      <c r="H1326" s="21"/>
      <c r="I1326" s="511"/>
    </row>
    <row r="1327" spans="1:9">
      <c r="A1327" s="509"/>
      <c r="B1327" s="510"/>
      <c r="C1327" s="23"/>
      <c r="D1327" s="23"/>
      <c r="E1327" s="23"/>
      <c r="F1327" s="21"/>
      <c r="G1327" s="21"/>
      <c r="H1327" s="21"/>
      <c r="I1327" s="511"/>
    </row>
    <row r="1328" spans="1:9">
      <c r="A1328" s="509"/>
      <c r="B1328" s="510"/>
      <c r="C1328" s="23"/>
      <c r="D1328" s="23"/>
      <c r="E1328" s="23"/>
      <c r="F1328" s="21"/>
      <c r="G1328" s="21"/>
      <c r="H1328" s="21"/>
      <c r="I1328" s="511"/>
    </row>
    <row r="1329" spans="1:9">
      <c r="A1329" s="509"/>
      <c r="B1329" s="510"/>
      <c r="C1329" s="23"/>
      <c r="D1329" s="23"/>
      <c r="E1329" s="23"/>
      <c r="F1329" s="21"/>
      <c r="G1329" s="21"/>
      <c r="H1329" s="21"/>
      <c r="I1329" s="511"/>
    </row>
    <row r="1330" spans="1:9">
      <c r="A1330" s="509"/>
      <c r="B1330" s="510"/>
      <c r="C1330" s="23"/>
      <c r="D1330" s="23"/>
      <c r="E1330" s="23"/>
      <c r="F1330" s="21"/>
      <c r="G1330" s="21"/>
      <c r="H1330" s="21"/>
      <c r="I1330" s="511"/>
    </row>
    <row r="1331" spans="1:9">
      <c r="A1331" s="509"/>
      <c r="B1331" s="510"/>
      <c r="C1331" s="23"/>
      <c r="D1331" s="23"/>
      <c r="E1331" s="23"/>
      <c r="F1331" s="21"/>
      <c r="G1331" s="21"/>
      <c r="H1331" s="21"/>
      <c r="I1331" s="511"/>
    </row>
    <row r="1332" spans="1:9">
      <c r="A1332" s="509"/>
      <c r="B1332" s="510"/>
      <c r="C1332" s="23"/>
      <c r="D1332" s="23"/>
      <c r="E1332" s="23"/>
      <c r="F1332" s="21"/>
      <c r="G1332" s="21"/>
      <c r="H1332" s="21"/>
      <c r="I1332" s="511"/>
    </row>
    <row r="1333" spans="1:9">
      <c r="A1333" s="509"/>
      <c r="B1333" s="510"/>
      <c r="C1333" s="23"/>
      <c r="D1333" s="23"/>
      <c r="E1333" s="23"/>
      <c r="F1333" s="21"/>
      <c r="G1333" s="21"/>
      <c r="H1333" s="21"/>
      <c r="I1333" s="511"/>
    </row>
    <row r="1334" spans="1:9">
      <c r="A1334" s="509"/>
      <c r="B1334" s="510"/>
      <c r="C1334" s="23"/>
      <c r="D1334" s="23"/>
      <c r="E1334" s="23"/>
      <c r="F1334" s="21"/>
      <c r="G1334" s="21"/>
      <c r="H1334" s="21"/>
      <c r="I1334" s="511"/>
    </row>
    <row r="1335" spans="1:9">
      <c r="A1335" s="509"/>
      <c r="B1335" s="510"/>
      <c r="C1335" s="23"/>
      <c r="D1335" s="23"/>
      <c r="E1335" s="23"/>
      <c r="F1335" s="21"/>
      <c r="G1335" s="21"/>
      <c r="H1335" s="21"/>
      <c r="I1335" s="511"/>
    </row>
    <row r="1336" spans="1:9">
      <c r="A1336" s="509"/>
      <c r="B1336" s="510"/>
      <c r="C1336" s="23"/>
      <c r="D1336" s="23"/>
      <c r="E1336" s="23"/>
      <c r="F1336" s="21"/>
      <c r="G1336" s="21"/>
      <c r="H1336" s="21"/>
      <c r="I1336" s="511"/>
    </row>
    <row r="1337" spans="1:9">
      <c r="A1337" s="509"/>
      <c r="B1337" s="510"/>
      <c r="C1337" s="23"/>
      <c r="D1337" s="23"/>
      <c r="E1337" s="23"/>
      <c r="F1337" s="21"/>
      <c r="G1337" s="21"/>
      <c r="H1337" s="21"/>
      <c r="I1337" s="511"/>
    </row>
    <row r="1338" spans="1:9">
      <c r="A1338" s="509"/>
      <c r="B1338" s="510"/>
      <c r="C1338" s="23"/>
      <c r="D1338" s="23"/>
      <c r="E1338" s="23"/>
      <c r="F1338" s="21"/>
      <c r="G1338" s="21"/>
      <c r="H1338" s="21"/>
      <c r="I1338" s="511"/>
    </row>
    <row r="1339" spans="1:9">
      <c r="A1339" s="509"/>
      <c r="B1339" s="510"/>
      <c r="C1339" s="23"/>
      <c r="D1339" s="23"/>
      <c r="E1339" s="23"/>
      <c r="F1339" s="21"/>
      <c r="G1339" s="21"/>
      <c r="H1339" s="21"/>
      <c r="I1339" s="511"/>
    </row>
    <row r="1340" spans="1:9">
      <c r="A1340" s="509"/>
      <c r="B1340" s="510"/>
      <c r="C1340" s="23"/>
      <c r="D1340" s="23"/>
      <c r="E1340" s="23"/>
      <c r="F1340" s="21"/>
      <c r="G1340" s="21"/>
      <c r="H1340" s="21"/>
      <c r="I1340" s="511"/>
    </row>
    <row r="1341" spans="1:9">
      <c r="A1341" s="509"/>
      <c r="B1341" s="510"/>
      <c r="C1341" s="23"/>
      <c r="D1341" s="23"/>
      <c r="E1341" s="23"/>
      <c r="F1341" s="21"/>
      <c r="G1341" s="21"/>
      <c r="H1341" s="21"/>
      <c r="I1341" s="511"/>
    </row>
    <row r="1342" spans="1:9">
      <c r="A1342" s="509"/>
      <c r="B1342" s="510"/>
      <c r="C1342" s="23"/>
      <c r="D1342" s="23"/>
      <c r="E1342" s="23"/>
      <c r="F1342" s="21"/>
      <c r="G1342" s="21"/>
      <c r="H1342" s="21"/>
      <c r="I1342" s="511"/>
    </row>
    <row r="1343" spans="1:9">
      <c r="A1343" s="509"/>
      <c r="B1343" s="510"/>
      <c r="C1343" s="23"/>
      <c r="D1343" s="23"/>
      <c r="E1343" s="23"/>
      <c r="F1343" s="21"/>
      <c r="G1343" s="21"/>
      <c r="H1343" s="21"/>
      <c r="I1343" s="511"/>
    </row>
    <row r="1344" spans="1:9">
      <c r="A1344" s="509"/>
      <c r="B1344" s="510"/>
      <c r="C1344" s="23"/>
      <c r="D1344" s="23"/>
      <c r="E1344" s="23"/>
      <c r="F1344" s="21"/>
      <c r="G1344" s="21"/>
      <c r="H1344" s="21"/>
      <c r="I1344" s="511"/>
    </row>
    <row r="1345" spans="1:9">
      <c r="A1345" s="509"/>
      <c r="B1345" s="510"/>
      <c r="C1345" s="23"/>
      <c r="D1345" s="23"/>
      <c r="E1345" s="23"/>
      <c r="F1345" s="21"/>
      <c r="G1345" s="21"/>
      <c r="H1345" s="21"/>
      <c r="I1345" s="511"/>
    </row>
    <row r="1346" spans="1:9">
      <c r="A1346" s="509"/>
      <c r="B1346" s="510"/>
      <c r="C1346" s="23"/>
      <c r="D1346" s="23"/>
      <c r="E1346" s="23"/>
      <c r="F1346" s="21"/>
      <c r="G1346" s="21"/>
      <c r="H1346" s="21"/>
      <c r="I1346" s="511"/>
    </row>
    <row r="1347" spans="1:9">
      <c r="A1347" s="509"/>
      <c r="B1347" s="510"/>
      <c r="C1347" s="23"/>
      <c r="D1347" s="23"/>
      <c r="E1347" s="23"/>
      <c r="F1347" s="21"/>
      <c r="G1347" s="21"/>
      <c r="H1347" s="21"/>
      <c r="I1347" s="511"/>
    </row>
    <row r="1348" spans="1:9">
      <c r="A1348" s="509"/>
      <c r="B1348" s="510"/>
      <c r="C1348" s="23"/>
      <c r="D1348" s="23"/>
      <c r="E1348" s="23"/>
      <c r="F1348" s="21"/>
      <c r="G1348" s="21"/>
      <c r="H1348" s="21"/>
      <c r="I1348" s="511"/>
    </row>
    <row r="1349" spans="1:9">
      <c r="A1349" s="509"/>
      <c r="B1349" s="510"/>
      <c r="C1349" s="23"/>
      <c r="D1349" s="23"/>
      <c r="E1349" s="23"/>
      <c r="F1349" s="21"/>
      <c r="G1349" s="21"/>
      <c r="H1349" s="21"/>
      <c r="I1349" s="511"/>
    </row>
    <row r="1350" spans="1:9">
      <c r="A1350" s="509"/>
      <c r="B1350" s="510"/>
      <c r="C1350" s="23"/>
      <c r="D1350" s="23"/>
      <c r="E1350" s="23"/>
      <c r="F1350" s="21"/>
      <c r="G1350" s="21"/>
      <c r="H1350" s="21"/>
      <c r="I1350" s="511"/>
    </row>
    <row r="1351" spans="1:9">
      <c r="A1351" s="509"/>
      <c r="B1351" s="510"/>
      <c r="C1351" s="23"/>
      <c r="D1351" s="23"/>
      <c r="E1351" s="23"/>
      <c r="F1351" s="21"/>
      <c r="G1351" s="21"/>
      <c r="H1351" s="21"/>
      <c r="I1351" s="511"/>
    </row>
    <row r="1352" spans="1:9">
      <c r="A1352" s="509"/>
      <c r="B1352" s="510"/>
      <c r="C1352" s="23"/>
      <c r="D1352" s="23"/>
      <c r="E1352" s="23"/>
      <c r="F1352" s="21"/>
      <c r="G1352" s="21"/>
      <c r="H1352" s="21"/>
      <c r="I1352" s="511"/>
    </row>
    <row r="1353" spans="1:9">
      <c r="A1353" s="509"/>
      <c r="B1353" s="510"/>
      <c r="C1353" s="23"/>
      <c r="D1353" s="23"/>
      <c r="E1353" s="23"/>
      <c r="F1353" s="21"/>
      <c r="G1353" s="21"/>
      <c r="H1353" s="21"/>
      <c r="I1353" s="511"/>
    </row>
    <row r="1354" spans="1:9">
      <c r="A1354" s="509"/>
      <c r="B1354" s="510"/>
      <c r="C1354" s="23"/>
      <c r="D1354" s="23"/>
      <c r="E1354" s="23"/>
      <c r="F1354" s="21"/>
      <c r="G1354" s="21"/>
      <c r="H1354" s="21"/>
      <c r="I1354" s="511"/>
    </row>
    <row r="1355" spans="1:9">
      <c r="A1355" s="509"/>
      <c r="B1355" s="510"/>
      <c r="C1355" s="23"/>
      <c r="D1355" s="23"/>
      <c r="E1355" s="23"/>
      <c r="F1355" s="21"/>
      <c r="G1355" s="21"/>
      <c r="H1355" s="21"/>
      <c r="I1355" s="511"/>
    </row>
    <row r="1356" spans="1:9">
      <c r="A1356" s="509"/>
      <c r="B1356" s="510"/>
      <c r="C1356" s="23"/>
      <c r="D1356" s="23"/>
      <c r="E1356" s="23"/>
      <c r="F1356" s="21"/>
      <c r="G1356" s="21"/>
      <c r="H1356" s="21"/>
      <c r="I1356" s="511"/>
    </row>
    <row r="1357" spans="1:9">
      <c r="A1357" s="509"/>
      <c r="B1357" s="510"/>
      <c r="C1357" s="23"/>
      <c r="D1357" s="23"/>
      <c r="E1357" s="23"/>
      <c r="F1357" s="21"/>
      <c r="G1357" s="21"/>
      <c r="H1357" s="21"/>
      <c r="I1357" s="511"/>
    </row>
    <row r="1358" spans="1:9">
      <c r="A1358" s="509"/>
      <c r="B1358" s="510"/>
      <c r="C1358" s="23"/>
      <c r="D1358" s="23"/>
      <c r="E1358" s="23"/>
      <c r="F1358" s="21"/>
      <c r="G1358" s="21"/>
      <c r="H1358" s="21"/>
      <c r="I1358" s="511"/>
    </row>
    <row r="1359" spans="1:9">
      <c r="A1359" s="509"/>
      <c r="B1359" s="510"/>
      <c r="C1359" s="23"/>
      <c r="D1359" s="23"/>
      <c r="E1359" s="23"/>
      <c r="F1359" s="21"/>
      <c r="G1359" s="21"/>
      <c r="H1359" s="21"/>
      <c r="I1359" s="511"/>
    </row>
    <row r="1360" spans="1:9">
      <c r="A1360" s="509"/>
      <c r="B1360" s="510"/>
      <c r="C1360" s="23"/>
      <c r="D1360" s="23"/>
      <c r="E1360" s="23"/>
      <c r="F1360" s="21"/>
      <c r="G1360" s="21"/>
      <c r="H1360" s="21"/>
      <c r="I1360" s="511"/>
    </row>
    <row r="1361" spans="1:9">
      <c r="A1361" s="509"/>
      <c r="B1361" s="510"/>
      <c r="C1361" s="23"/>
      <c r="D1361" s="23"/>
      <c r="E1361" s="23"/>
      <c r="F1361" s="21"/>
      <c r="G1361" s="21"/>
      <c r="H1361" s="21"/>
      <c r="I1361" s="511"/>
    </row>
    <row r="1362" spans="1:9">
      <c r="A1362" s="509"/>
      <c r="B1362" s="510"/>
      <c r="C1362" s="23"/>
      <c r="D1362" s="23"/>
      <c r="E1362" s="23"/>
      <c r="F1362" s="21"/>
      <c r="G1362" s="21"/>
      <c r="H1362" s="21"/>
      <c r="I1362" s="511"/>
    </row>
    <row r="1363" spans="1:9">
      <c r="A1363" s="509"/>
      <c r="B1363" s="510"/>
      <c r="C1363" s="23"/>
      <c r="D1363" s="23"/>
      <c r="E1363" s="23"/>
      <c r="F1363" s="21"/>
      <c r="G1363" s="21"/>
      <c r="H1363" s="21"/>
      <c r="I1363" s="511"/>
    </row>
    <row r="1364" spans="1:9">
      <c r="A1364" s="509"/>
      <c r="B1364" s="510"/>
      <c r="C1364" s="23"/>
      <c r="D1364" s="23"/>
      <c r="E1364" s="23"/>
      <c r="F1364" s="21"/>
      <c r="G1364" s="21"/>
      <c r="H1364" s="21"/>
      <c r="I1364" s="511"/>
    </row>
    <row r="1365" spans="1:9">
      <c r="A1365" s="509"/>
      <c r="B1365" s="510"/>
      <c r="C1365" s="23"/>
      <c r="D1365" s="23"/>
      <c r="E1365" s="23"/>
      <c r="F1365" s="21"/>
      <c r="G1365" s="21"/>
      <c r="H1365" s="21"/>
      <c r="I1365" s="511"/>
    </row>
    <row r="1366" spans="1:9">
      <c r="A1366" s="509"/>
      <c r="B1366" s="510"/>
      <c r="C1366" s="23"/>
      <c r="D1366" s="23"/>
      <c r="E1366" s="23"/>
      <c r="F1366" s="21"/>
      <c r="G1366" s="21"/>
      <c r="H1366" s="21"/>
      <c r="I1366" s="511"/>
    </row>
    <row r="1367" spans="1:9">
      <c r="A1367" s="509"/>
      <c r="B1367" s="510"/>
      <c r="C1367" s="23"/>
      <c r="D1367" s="23"/>
      <c r="E1367" s="23"/>
      <c r="F1367" s="21"/>
      <c r="G1367" s="21"/>
      <c r="H1367" s="21"/>
      <c r="I1367" s="511"/>
    </row>
    <row r="1368" spans="1:9">
      <c r="A1368" s="509"/>
      <c r="B1368" s="510"/>
      <c r="C1368" s="23"/>
      <c r="D1368" s="23"/>
      <c r="E1368" s="23"/>
      <c r="F1368" s="21"/>
      <c r="G1368" s="21"/>
      <c r="H1368" s="21"/>
      <c r="I1368" s="511"/>
    </row>
    <row r="1369" spans="1:9">
      <c r="A1369" s="509"/>
      <c r="B1369" s="510"/>
      <c r="C1369" s="23"/>
      <c r="D1369" s="23"/>
      <c r="E1369" s="23"/>
      <c r="F1369" s="21"/>
      <c r="G1369" s="21"/>
      <c r="H1369" s="21"/>
      <c r="I1369" s="511"/>
    </row>
    <row r="1370" spans="1:9">
      <c r="A1370" s="509"/>
      <c r="B1370" s="510"/>
      <c r="C1370" s="23"/>
      <c r="D1370" s="23"/>
      <c r="E1370" s="23"/>
      <c r="F1370" s="21"/>
      <c r="G1370" s="21"/>
      <c r="H1370" s="21"/>
      <c r="I1370" s="511"/>
    </row>
    <row r="1371" spans="1:9">
      <c r="A1371" s="509"/>
      <c r="B1371" s="510"/>
      <c r="C1371" s="23"/>
      <c r="D1371" s="23"/>
      <c r="E1371" s="23"/>
      <c r="F1371" s="21"/>
      <c r="G1371" s="21"/>
      <c r="H1371" s="21"/>
      <c r="I1371" s="511"/>
    </row>
    <row r="1372" spans="1:9">
      <c r="A1372" s="509"/>
      <c r="B1372" s="510"/>
      <c r="C1372" s="23"/>
      <c r="D1372" s="23"/>
      <c r="E1372" s="23"/>
      <c r="F1372" s="21"/>
      <c r="G1372" s="21"/>
      <c r="H1372" s="21"/>
      <c r="I1372" s="511"/>
    </row>
    <row r="1373" spans="1:9">
      <c r="A1373" s="509"/>
      <c r="B1373" s="510"/>
      <c r="C1373" s="23"/>
      <c r="D1373" s="23"/>
      <c r="E1373" s="23"/>
      <c r="F1373" s="21"/>
      <c r="G1373" s="21"/>
      <c r="H1373" s="21"/>
      <c r="I1373" s="511"/>
    </row>
    <row r="1374" spans="1:9">
      <c r="A1374" s="509"/>
      <c r="B1374" s="510"/>
      <c r="C1374" s="23"/>
      <c r="D1374" s="23"/>
      <c r="E1374" s="23"/>
      <c r="F1374" s="21"/>
      <c r="G1374" s="21"/>
      <c r="H1374" s="21"/>
      <c r="I1374" s="511"/>
    </row>
    <row r="1375" spans="1:9">
      <c r="A1375" s="509"/>
      <c r="B1375" s="510"/>
      <c r="C1375" s="23"/>
      <c r="D1375" s="23"/>
      <c r="E1375" s="23"/>
      <c r="F1375" s="21"/>
      <c r="G1375" s="21"/>
      <c r="H1375" s="21"/>
      <c r="I1375" s="511"/>
    </row>
    <row r="1376" spans="1:9">
      <c r="A1376" s="509"/>
      <c r="B1376" s="510"/>
      <c r="C1376" s="23"/>
      <c r="D1376" s="23"/>
      <c r="E1376" s="23"/>
      <c r="F1376" s="21"/>
      <c r="G1376" s="21"/>
      <c r="H1376" s="21"/>
      <c r="I1376" s="511"/>
    </row>
    <row r="1377" spans="1:9">
      <c r="A1377" s="509"/>
      <c r="B1377" s="510"/>
      <c r="C1377" s="23"/>
      <c r="D1377" s="23"/>
      <c r="E1377" s="23"/>
      <c r="F1377" s="21"/>
      <c r="G1377" s="21"/>
      <c r="H1377" s="21"/>
      <c r="I1377" s="511"/>
    </row>
    <row r="1378" spans="1:9">
      <c r="A1378" s="509"/>
      <c r="B1378" s="510"/>
      <c r="C1378" s="23"/>
      <c r="D1378" s="23"/>
      <c r="E1378" s="23"/>
      <c r="F1378" s="21"/>
      <c r="G1378" s="21"/>
      <c r="H1378" s="21"/>
      <c r="I1378" s="511"/>
    </row>
    <row r="1379" spans="1:9">
      <c r="A1379" s="509"/>
      <c r="B1379" s="510"/>
      <c r="C1379" s="23"/>
      <c r="D1379" s="23"/>
      <c r="E1379" s="23"/>
      <c r="F1379" s="21"/>
      <c r="G1379" s="21"/>
      <c r="H1379" s="21"/>
      <c r="I1379" s="511"/>
    </row>
    <row r="1380" spans="1:9">
      <c r="A1380" s="509"/>
      <c r="B1380" s="510"/>
      <c r="C1380" s="23"/>
      <c r="D1380" s="23"/>
      <c r="E1380" s="23"/>
      <c r="F1380" s="21"/>
      <c r="G1380" s="21"/>
      <c r="H1380" s="21"/>
      <c r="I1380" s="511"/>
    </row>
    <row r="1381" spans="1:9">
      <c r="A1381" s="509"/>
      <c r="B1381" s="510"/>
      <c r="C1381" s="23"/>
      <c r="D1381" s="23"/>
      <c r="E1381" s="23"/>
      <c r="F1381" s="21"/>
      <c r="G1381" s="21"/>
      <c r="H1381" s="21"/>
      <c r="I1381" s="511"/>
    </row>
    <row r="1382" spans="1:9">
      <c r="A1382" s="509"/>
      <c r="B1382" s="510"/>
      <c r="C1382" s="23"/>
      <c r="D1382" s="23"/>
      <c r="E1382" s="23"/>
      <c r="F1382" s="21"/>
      <c r="G1382" s="21"/>
      <c r="H1382" s="21"/>
      <c r="I1382" s="511"/>
    </row>
    <row r="1383" spans="1:9">
      <c r="A1383" s="509"/>
      <c r="B1383" s="510"/>
      <c r="C1383" s="23"/>
      <c r="D1383" s="23"/>
      <c r="E1383" s="23"/>
      <c r="F1383" s="21"/>
      <c r="G1383" s="21"/>
      <c r="H1383" s="21"/>
      <c r="I1383" s="511"/>
    </row>
    <row r="1384" spans="1:9">
      <c r="A1384" s="509"/>
      <c r="B1384" s="510"/>
      <c r="C1384" s="23"/>
      <c r="D1384" s="23"/>
      <c r="E1384" s="23"/>
      <c r="F1384" s="21"/>
      <c r="G1384" s="21"/>
      <c r="H1384" s="21"/>
      <c r="I1384" s="511"/>
    </row>
    <row r="1385" spans="1:9">
      <c r="A1385" s="509"/>
      <c r="B1385" s="510"/>
      <c r="C1385" s="23"/>
      <c r="D1385" s="23"/>
      <c r="E1385" s="23"/>
      <c r="F1385" s="21"/>
      <c r="G1385" s="21"/>
      <c r="H1385" s="21"/>
      <c r="I1385" s="511"/>
    </row>
    <row r="1386" spans="1:9">
      <c r="A1386" s="509"/>
      <c r="B1386" s="510"/>
      <c r="C1386" s="23"/>
      <c r="D1386" s="23"/>
      <c r="E1386" s="23"/>
      <c r="F1386" s="21"/>
      <c r="G1386" s="21"/>
      <c r="H1386" s="21"/>
      <c r="I1386" s="511"/>
    </row>
    <row r="1387" spans="1:9">
      <c r="A1387" s="509"/>
      <c r="B1387" s="510"/>
      <c r="C1387" s="23"/>
      <c r="D1387" s="23"/>
      <c r="E1387" s="23"/>
      <c r="F1387" s="21"/>
      <c r="G1387" s="21"/>
      <c r="H1387" s="21"/>
      <c r="I1387" s="511"/>
    </row>
    <row r="1388" spans="1:9">
      <c r="A1388" s="509"/>
      <c r="B1388" s="510"/>
      <c r="C1388" s="23"/>
      <c r="D1388" s="23"/>
      <c r="E1388" s="23"/>
      <c r="F1388" s="21"/>
      <c r="G1388" s="21"/>
      <c r="H1388" s="21"/>
      <c r="I1388" s="511"/>
    </row>
    <row r="1389" spans="1:9">
      <c r="A1389" s="509"/>
      <c r="B1389" s="510"/>
      <c r="C1389" s="23"/>
      <c r="D1389" s="23"/>
      <c r="E1389" s="23"/>
      <c r="F1389" s="21"/>
      <c r="G1389" s="21"/>
      <c r="H1389" s="21"/>
      <c r="I1389" s="511"/>
    </row>
    <row r="1390" spans="1:9">
      <c r="A1390" s="509"/>
      <c r="B1390" s="510"/>
      <c r="C1390" s="23"/>
      <c r="D1390" s="23"/>
      <c r="E1390" s="23"/>
      <c r="F1390" s="21"/>
      <c r="G1390" s="21"/>
      <c r="H1390" s="21"/>
      <c r="I1390" s="511"/>
    </row>
    <row r="1391" spans="1:9">
      <c r="A1391" s="509"/>
      <c r="B1391" s="510"/>
      <c r="C1391" s="23"/>
      <c r="D1391" s="23"/>
      <c r="E1391" s="23"/>
      <c r="F1391" s="21"/>
      <c r="G1391" s="21"/>
      <c r="H1391" s="21"/>
      <c r="I1391" s="511"/>
    </row>
    <row r="1392" spans="1:9">
      <c r="A1392" s="509"/>
      <c r="B1392" s="510"/>
      <c r="C1392" s="23"/>
      <c r="D1392" s="23"/>
      <c r="E1392" s="23"/>
      <c r="F1392" s="21"/>
      <c r="G1392" s="21"/>
      <c r="H1392" s="21"/>
      <c r="I1392" s="511"/>
    </row>
    <row r="1393" spans="1:9">
      <c r="A1393" s="509"/>
      <c r="B1393" s="510"/>
      <c r="C1393" s="23"/>
      <c r="D1393" s="23"/>
      <c r="E1393" s="23"/>
      <c r="F1393" s="21"/>
      <c r="G1393" s="21"/>
      <c r="H1393" s="21"/>
      <c r="I1393" s="511"/>
    </row>
    <row r="1394" spans="1:9">
      <c r="A1394" s="509"/>
      <c r="B1394" s="510"/>
      <c r="C1394" s="23"/>
      <c r="D1394" s="23"/>
      <c r="E1394" s="23"/>
      <c r="F1394" s="21"/>
      <c r="G1394" s="21"/>
      <c r="H1394" s="21"/>
      <c r="I1394" s="511"/>
    </row>
    <row r="1395" spans="1:9">
      <c r="A1395" s="509"/>
      <c r="B1395" s="510"/>
      <c r="C1395" s="23"/>
      <c r="D1395" s="23"/>
      <c r="E1395" s="23"/>
      <c r="F1395" s="21"/>
      <c r="G1395" s="21"/>
      <c r="H1395" s="21"/>
      <c r="I1395" s="511"/>
    </row>
    <row r="1396" spans="1:9">
      <c r="A1396" s="509"/>
      <c r="B1396" s="510"/>
      <c r="C1396" s="23"/>
      <c r="D1396" s="23"/>
      <c r="E1396" s="23"/>
      <c r="F1396" s="21"/>
      <c r="G1396" s="21"/>
      <c r="H1396" s="21"/>
      <c r="I1396" s="511"/>
    </row>
    <row r="1397" spans="1:9">
      <c r="A1397" s="509"/>
      <c r="B1397" s="510"/>
      <c r="C1397" s="23"/>
      <c r="D1397" s="23"/>
      <c r="E1397" s="23"/>
      <c r="F1397" s="21"/>
      <c r="G1397" s="21"/>
      <c r="H1397" s="21"/>
      <c r="I1397" s="511"/>
    </row>
    <row r="1398" spans="1:9">
      <c r="A1398" s="509"/>
      <c r="B1398" s="510"/>
      <c r="C1398" s="23"/>
      <c r="D1398" s="23"/>
      <c r="E1398" s="23"/>
      <c r="F1398" s="21"/>
      <c r="G1398" s="21"/>
      <c r="H1398" s="21"/>
      <c r="I1398" s="511"/>
    </row>
    <row r="1399" spans="1:9">
      <c r="A1399" s="509"/>
      <c r="B1399" s="510"/>
      <c r="C1399" s="23"/>
      <c r="D1399" s="23"/>
      <c r="E1399" s="23"/>
      <c r="F1399" s="21"/>
      <c r="G1399" s="21"/>
      <c r="H1399" s="21"/>
      <c r="I1399" s="511"/>
    </row>
    <row r="1400" spans="1:9">
      <c r="A1400" s="509"/>
      <c r="B1400" s="510"/>
      <c r="C1400" s="23"/>
      <c r="D1400" s="23"/>
      <c r="E1400" s="23"/>
      <c r="F1400" s="21"/>
      <c r="G1400" s="21"/>
      <c r="H1400" s="21"/>
      <c r="I1400" s="511"/>
    </row>
    <row r="1401" spans="1:9">
      <c r="A1401" s="509"/>
      <c r="B1401" s="510"/>
      <c r="C1401" s="23"/>
      <c r="D1401" s="23"/>
      <c r="E1401" s="23"/>
      <c r="F1401" s="21"/>
      <c r="G1401" s="21"/>
      <c r="H1401" s="21"/>
      <c r="I1401" s="511"/>
    </row>
    <row r="1402" spans="1:9">
      <c r="A1402" s="509"/>
      <c r="B1402" s="510"/>
      <c r="C1402" s="23"/>
      <c r="D1402" s="23"/>
      <c r="E1402" s="23"/>
      <c r="F1402" s="21"/>
      <c r="G1402" s="21"/>
      <c r="H1402" s="21"/>
      <c r="I1402" s="511"/>
    </row>
    <row r="1403" spans="1:9">
      <c r="A1403" s="509"/>
      <c r="B1403" s="510"/>
      <c r="C1403" s="23"/>
      <c r="D1403" s="23"/>
      <c r="E1403" s="23"/>
      <c r="F1403" s="21"/>
      <c r="G1403" s="21"/>
      <c r="H1403" s="21"/>
      <c r="I1403" s="511"/>
    </row>
    <row r="1404" spans="1:9">
      <c r="A1404" s="509"/>
      <c r="B1404" s="510"/>
      <c r="C1404" s="23"/>
      <c r="D1404" s="23"/>
      <c r="E1404" s="23"/>
      <c r="F1404" s="21"/>
      <c r="G1404" s="21"/>
      <c r="H1404" s="21"/>
      <c r="I1404" s="511"/>
    </row>
    <row r="1405" spans="1:9">
      <c r="A1405" s="509"/>
      <c r="B1405" s="510"/>
      <c r="C1405" s="23"/>
      <c r="D1405" s="23"/>
      <c r="E1405" s="23"/>
      <c r="F1405" s="21"/>
      <c r="G1405" s="21"/>
      <c r="H1405" s="21"/>
      <c r="I1405" s="511"/>
    </row>
    <row r="1406" spans="1:9">
      <c r="A1406" s="509"/>
      <c r="B1406" s="510"/>
      <c r="C1406" s="23"/>
      <c r="D1406" s="23"/>
      <c r="E1406" s="23"/>
      <c r="F1406" s="21"/>
      <c r="G1406" s="21"/>
      <c r="H1406" s="21"/>
      <c r="I1406" s="511"/>
    </row>
    <row r="1407" spans="1:9">
      <c r="A1407" s="509"/>
      <c r="B1407" s="510"/>
      <c r="C1407" s="23"/>
      <c r="D1407" s="23"/>
      <c r="E1407" s="23"/>
      <c r="F1407" s="21"/>
      <c r="G1407" s="21"/>
      <c r="H1407" s="21"/>
      <c r="I1407" s="511"/>
    </row>
    <row r="1408" spans="1:9">
      <c r="A1408" s="509"/>
      <c r="B1408" s="510"/>
      <c r="C1408" s="23"/>
      <c r="D1408" s="23"/>
      <c r="E1408" s="23"/>
      <c r="F1408" s="21"/>
      <c r="G1408" s="21"/>
      <c r="H1408" s="21"/>
      <c r="I1408" s="511"/>
    </row>
    <row r="1409" spans="1:9">
      <c r="A1409" s="509"/>
      <c r="B1409" s="510"/>
      <c r="C1409" s="23"/>
      <c r="D1409" s="23"/>
      <c r="E1409" s="23"/>
      <c r="F1409" s="21"/>
      <c r="G1409" s="21"/>
      <c r="H1409" s="21"/>
      <c r="I1409" s="511"/>
    </row>
    <row r="1410" spans="1:9">
      <c r="A1410" s="509"/>
      <c r="B1410" s="510"/>
      <c r="C1410" s="23"/>
      <c r="D1410" s="23"/>
      <c r="E1410" s="23"/>
      <c r="F1410" s="21"/>
      <c r="G1410" s="21"/>
      <c r="H1410" s="21"/>
      <c r="I1410" s="511"/>
    </row>
    <row r="1411" spans="1:9">
      <c r="A1411" s="509"/>
      <c r="B1411" s="510"/>
      <c r="C1411" s="23"/>
      <c r="D1411" s="23"/>
      <c r="E1411" s="23"/>
      <c r="F1411" s="21"/>
      <c r="G1411" s="21"/>
      <c r="H1411" s="21"/>
      <c r="I1411" s="511"/>
    </row>
    <row r="1412" spans="1:9">
      <c r="A1412" s="509"/>
      <c r="B1412" s="510"/>
      <c r="C1412" s="23"/>
      <c r="D1412" s="23"/>
      <c r="E1412" s="23"/>
      <c r="F1412" s="21"/>
      <c r="G1412" s="21"/>
      <c r="H1412" s="21"/>
      <c r="I1412" s="511"/>
    </row>
    <row r="1413" spans="1:9">
      <c r="A1413" s="509"/>
      <c r="B1413" s="510"/>
      <c r="C1413" s="23"/>
      <c r="D1413" s="23"/>
      <c r="E1413" s="23"/>
      <c r="F1413" s="21"/>
      <c r="G1413" s="21"/>
      <c r="H1413" s="21"/>
      <c r="I1413" s="511"/>
    </row>
    <row r="1414" spans="1:9">
      <c r="A1414" s="509"/>
      <c r="B1414" s="510"/>
      <c r="C1414" s="23"/>
      <c r="D1414" s="23"/>
      <c r="E1414" s="23"/>
      <c r="F1414" s="21"/>
      <c r="G1414" s="21"/>
      <c r="H1414" s="21"/>
      <c r="I1414" s="511"/>
    </row>
    <row r="1415" spans="1:9">
      <c r="A1415" s="509"/>
      <c r="B1415" s="510"/>
      <c r="C1415" s="23"/>
      <c r="D1415" s="23"/>
      <c r="E1415" s="23"/>
      <c r="F1415" s="21"/>
      <c r="G1415" s="21"/>
      <c r="H1415" s="21"/>
      <c r="I1415" s="511"/>
    </row>
    <row r="1416" spans="1:9">
      <c r="A1416" s="509"/>
      <c r="B1416" s="510"/>
      <c r="C1416" s="23"/>
      <c r="D1416" s="23"/>
      <c r="E1416" s="23"/>
      <c r="F1416" s="21"/>
      <c r="G1416" s="21"/>
      <c r="H1416" s="21"/>
      <c r="I1416" s="511"/>
    </row>
    <row r="1417" spans="1:9">
      <c r="A1417" s="509"/>
      <c r="B1417" s="510"/>
      <c r="C1417" s="23"/>
      <c r="D1417" s="23"/>
      <c r="E1417" s="23"/>
      <c r="F1417" s="21"/>
      <c r="G1417" s="21"/>
      <c r="H1417" s="21"/>
      <c r="I1417" s="511"/>
    </row>
    <row r="1418" spans="1:9">
      <c r="A1418" s="509"/>
      <c r="B1418" s="510"/>
      <c r="C1418" s="23"/>
      <c r="D1418" s="23"/>
      <c r="E1418" s="23"/>
      <c r="F1418" s="21"/>
      <c r="G1418" s="21"/>
      <c r="H1418" s="21"/>
      <c r="I1418" s="511"/>
    </row>
    <row r="1419" spans="1:9">
      <c r="A1419" s="509"/>
      <c r="B1419" s="510"/>
      <c r="C1419" s="23"/>
      <c r="D1419" s="23"/>
      <c r="E1419" s="23"/>
      <c r="F1419" s="21"/>
      <c r="G1419" s="21"/>
      <c r="H1419" s="21"/>
      <c r="I1419" s="511"/>
    </row>
    <row r="1420" spans="1:9">
      <c r="A1420" s="509"/>
      <c r="B1420" s="510"/>
      <c r="C1420" s="23"/>
      <c r="D1420" s="23"/>
      <c r="E1420" s="23"/>
      <c r="F1420" s="21"/>
      <c r="G1420" s="21"/>
      <c r="H1420" s="21"/>
      <c r="I1420" s="511"/>
    </row>
    <row r="1421" spans="1:9">
      <c r="A1421" s="509"/>
      <c r="B1421" s="510"/>
      <c r="C1421" s="23"/>
      <c r="D1421" s="23"/>
      <c r="E1421" s="23"/>
      <c r="F1421" s="21"/>
      <c r="G1421" s="21"/>
      <c r="H1421" s="21"/>
      <c r="I1421" s="511"/>
    </row>
    <row r="1422" spans="1:9">
      <c r="A1422" s="509"/>
      <c r="B1422" s="510"/>
      <c r="C1422" s="23"/>
      <c r="D1422" s="23"/>
      <c r="E1422" s="23"/>
      <c r="F1422" s="21"/>
      <c r="G1422" s="21"/>
      <c r="H1422" s="21"/>
      <c r="I1422" s="511"/>
    </row>
    <row r="1423" spans="1:9">
      <c r="A1423" s="509"/>
      <c r="B1423" s="510"/>
      <c r="C1423" s="23"/>
      <c r="D1423" s="23"/>
      <c r="E1423" s="23"/>
      <c r="F1423" s="21"/>
      <c r="G1423" s="21"/>
      <c r="H1423" s="21"/>
      <c r="I1423" s="511"/>
    </row>
    <row r="1424" spans="1:9">
      <c r="A1424" s="509"/>
      <c r="B1424" s="510"/>
      <c r="C1424" s="23"/>
      <c r="D1424" s="23"/>
      <c r="E1424" s="23"/>
      <c r="F1424" s="21"/>
      <c r="G1424" s="21"/>
      <c r="H1424" s="21"/>
      <c r="I1424" s="511"/>
    </row>
    <row r="1425" spans="1:9">
      <c r="A1425" s="509"/>
      <c r="B1425" s="510"/>
      <c r="C1425" s="23"/>
      <c r="D1425" s="23"/>
      <c r="E1425" s="23"/>
      <c r="F1425" s="21"/>
      <c r="G1425" s="21"/>
      <c r="H1425" s="21"/>
      <c r="I1425" s="511"/>
    </row>
    <row r="1426" spans="1:9">
      <c r="A1426" s="509"/>
      <c r="B1426" s="510"/>
      <c r="C1426" s="23"/>
      <c r="D1426" s="23"/>
      <c r="E1426" s="23"/>
      <c r="F1426" s="21"/>
      <c r="G1426" s="21"/>
      <c r="H1426" s="21"/>
      <c r="I1426" s="511"/>
    </row>
    <row r="1427" spans="1:9">
      <c r="A1427" s="509"/>
      <c r="B1427" s="510"/>
      <c r="C1427" s="23"/>
      <c r="D1427" s="23"/>
      <c r="E1427" s="23"/>
      <c r="F1427" s="21"/>
      <c r="G1427" s="21"/>
      <c r="H1427" s="21"/>
      <c r="I1427" s="511"/>
    </row>
    <row r="1428" spans="1:9">
      <c r="A1428" s="509"/>
      <c r="B1428" s="510"/>
      <c r="C1428" s="23"/>
      <c r="D1428" s="23"/>
      <c r="E1428" s="23"/>
      <c r="F1428" s="21"/>
      <c r="G1428" s="21"/>
      <c r="H1428" s="21"/>
      <c r="I1428" s="511"/>
    </row>
    <row r="1429" spans="1:9">
      <c r="A1429" s="509"/>
      <c r="B1429" s="510"/>
      <c r="C1429" s="23"/>
      <c r="D1429" s="23"/>
      <c r="E1429" s="23"/>
      <c r="F1429" s="21"/>
      <c r="G1429" s="21"/>
      <c r="H1429" s="21"/>
      <c r="I1429" s="511"/>
    </row>
    <row r="1430" spans="1:9">
      <c r="A1430" s="509"/>
      <c r="B1430" s="510"/>
      <c r="C1430" s="23"/>
      <c r="D1430" s="23"/>
      <c r="E1430" s="23"/>
      <c r="F1430" s="21"/>
      <c r="G1430" s="21"/>
      <c r="H1430" s="21"/>
      <c r="I1430" s="511"/>
    </row>
    <row r="1431" spans="1:9">
      <c r="A1431" s="509"/>
      <c r="B1431" s="510"/>
      <c r="C1431" s="23"/>
      <c r="D1431" s="23"/>
      <c r="E1431" s="23"/>
      <c r="F1431" s="21"/>
      <c r="G1431" s="21"/>
      <c r="H1431" s="21"/>
      <c r="I1431" s="511"/>
    </row>
    <row r="1432" spans="1:9">
      <c r="A1432" s="509"/>
      <c r="B1432" s="510"/>
      <c r="C1432" s="23"/>
      <c r="D1432" s="23"/>
      <c r="E1432" s="23"/>
      <c r="F1432" s="21"/>
      <c r="G1432" s="21"/>
      <c r="H1432" s="21"/>
      <c r="I1432" s="511"/>
    </row>
    <row r="1433" spans="1:9">
      <c r="A1433" s="509"/>
      <c r="B1433" s="510"/>
      <c r="C1433" s="23"/>
      <c r="D1433" s="23"/>
      <c r="E1433" s="23"/>
      <c r="F1433" s="21"/>
      <c r="G1433" s="21"/>
      <c r="H1433" s="21"/>
      <c r="I1433" s="511"/>
    </row>
    <row r="1434" spans="1:9">
      <c r="A1434" s="509"/>
      <c r="B1434" s="510"/>
      <c r="C1434" s="23"/>
      <c r="D1434" s="23"/>
      <c r="E1434" s="23"/>
      <c r="F1434" s="21"/>
      <c r="G1434" s="21"/>
      <c r="H1434" s="21"/>
      <c r="I1434" s="511"/>
    </row>
    <row r="1435" spans="1:9">
      <c r="A1435" s="509"/>
      <c r="B1435" s="510"/>
      <c r="C1435" s="23"/>
      <c r="D1435" s="23"/>
      <c r="E1435" s="23"/>
      <c r="F1435" s="21"/>
      <c r="G1435" s="21"/>
      <c r="H1435" s="21"/>
      <c r="I1435" s="511"/>
    </row>
    <row r="1436" spans="1:9">
      <c r="A1436" s="509"/>
      <c r="B1436" s="510"/>
      <c r="C1436" s="23"/>
      <c r="D1436" s="23"/>
      <c r="E1436" s="23"/>
      <c r="F1436" s="21"/>
      <c r="G1436" s="21"/>
      <c r="H1436" s="21"/>
      <c r="I1436" s="511"/>
    </row>
    <row r="1437" spans="1:9">
      <c r="A1437" s="509"/>
      <c r="B1437" s="510"/>
      <c r="C1437" s="23"/>
      <c r="D1437" s="23"/>
      <c r="E1437" s="23"/>
      <c r="F1437" s="21"/>
      <c r="G1437" s="21"/>
      <c r="H1437" s="21"/>
      <c r="I1437" s="511"/>
    </row>
    <row r="1438" spans="1:9">
      <c r="A1438" s="509"/>
      <c r="B1438" s="510"/>
      <c r="C1438" s="23"/>
      <c r="D1438" s="23"/>
      <c r="E1438" s="23"/>
      <c r="F1438" s="21"/>
      <c r="G1438" s="21"/>
      <c r="H1438" s="21"/>
      <c r="I1438" s="511"/>
    </row>
    <row r="1439" spans="1:9">
      <c r="A1439" s="509"/>
      <c r="B1439" s="510"/>
      <c r="C1439" s="23"/>
      <c r="D1439" s="23"/>
      <c r="E1439" s="23"/>
      <c r="F1439" s="21"/>
      <c r="G1439" s="21"/>
      <c r="H1439" s="21"/>
      <c r="I1439" s="511"/>
    </row>
    <row r="1440" spans="1:9">
      <c r="A1440" s="509"/>
      <c r="B1440" s="510"/>
      <c r="C1440" s="23"/>
      <c r="D1440" s="23"/>
      <c r="E1440" s="23"/>
      <c r="F1440" s="21"/>
      <c r="G1440" s="21"/>
      <c r="H1440" s="21"/>
      <c r="I1440" s="511"/>
    </row>
    <row r="1441" spans="1:9">
      <c r="A1441" s="509"/>
      <c r="B1441" s="510"/>
      <c r="C1441" s="23"/>
      <c r="D1441" s="23"/>
      <c r="E1441" s="23"/>
      <c r="F1441" s="21"/>
      <c r="G1441" s="21"/>
      <c r="H1441" s="21"/>
      <c r="I1441" s="511"/>
    </row>
    <row r="1442" spans="1:9">
      <c r="A1442" s="509"/>
      <c r="B1442" s="510"/>
      <c r="C1442" s="23"/>
      <c r="D1442" s="23"/>
      <c r="E1442" s="23"/>
      <c r="F1442" s="21"/>
      <c r="G1442" s="21"/>
      <c r="H1442" s="21"/>
      <c r="I1442" s="511"/>
    </row>
    <row r="1443" spans="1:9">
      <c r="A1443" s="509"/>
      <c r="B1443" s="510"/>
      <c r="C1443" s="23"/>
      <c r="D1443" s="23"/>
      <c r="E1443" s="23"/>
      <c r="F1443" s="21"/>
      <c r="G1443" s="21"/>
      <c r="H1443" s="21"/>
      <c r="I1443" s="511"/>
    </row>
    <row r="1444" spans="1:9">
      <c r="A1444" s="509"/>
      <c r="B1444" s="510"/>
      <c r="C1444" s="23"/>
      <c r="D1444" s="23"/>
      <c r="E1444" s="23"/>
      <c r="F1444" s="21"/>
      <c r="G1444" s="21"/>
      <c r="H1444" s="21"/>
      <c r="I1444" s="511"/>
    </row>
    <row r="1445" spans="1:9">
      <c r="A1445" s="509"/>
      <c r="B1445" s="510"/>
      <c r="C1445" s="23"/>
      <c r="D1445" s="23"/>
      <c r="E1445" s="23"/>
      <c r="F1445" s="21"/>
      <c r="G1445" s="21"/>
      <c r="H1445" s="21"/>
      <c r="I1445" s="511"/>
    </row>
    <row r="1446" spans="1:9">
      <c r="A1446" s="509"/>
      <c r="B1446" s="510"/>
      <c r="C1446" s="23"/>
      <c r="D1446" s="23"/>
      <c r="E1446" s="23"/>
      <c r="F1446" s="21"/>
      <c r="G1446" s="21"/>
      <c r="H1446" s="21"/>
      <c r="I1446" s="511"/>
    </row>
    <row r="1447" spans="1:9">
      <c r="A1447" s="509"/>
      <c r="B1447" s="510"/>
      <c r="C1447" s="23"/>
      <c r="D1447" s="23"/>
      <c r="E1447" s="23"/>
      <c r="F1447" s="21"/>
      <c r="G1447" s="21"/>
      <c r="H1447" s="21"/>
      <c r="I1447" s="511"/>
    </row>
    <row r="1448" spans="1:9">
      <c r="A1448" s="509"/>
      <c r="B1448" s="510"/>
      <c r="C1448" s="23"/>
      <c r="D1448" s="23"/>
      <c r="E1448" s="23"/>
      <c r="F1448" s="21"/>
      <c r="G1448" s="21"/>
      <c r="H1448" s="21"/>
      <c r="I1448" s="511"/>
    </row>
    <row r="1449" spans="1:9">
      <c r="A1449" s="509"/>
      <c r="B1449" s="510"/>
      <c r="C1449" s="23"/>
      <c r="D1449" s="23"/>
      <c r="E1449" s="23"/>
      <c r="F1449" s="21"/>
      <c r="G1449" s="21"/>
      <c r="H1449" s="21"/>
      <c r="I1449" s="511"/>
    </row>
    <row r="1450" spans="1:9">
      <c r="A1450" s="509"/>
      <c r="B1450" s="510"/>
      <c r="C1450" s="23"/>
      <c r="D1450" s="23"/>
      <c r="E1450" s="23"/>
      <c r="F1450" s="21"/>
      <c r="G1450" s="21"/>
      <c r="H1450" s="21"/>
      <c r="I1450" s="511"/>
    </row>
    <row r="1451" spans="1:9">
      <c r="A1451" s="509"/>
      <c r="B1451" s="510"/>
      <c r="C1451" s="23"/>
      <c r="D1451" s="23"/>
      <c r="E1451" s="23"/>
      <c r="F1451" s="21"/>
      <c r="G1451" s="21"/>
      <c r="H1451" s="21"/>
      <c r="I1451" s="511"/>
    </row>
    <row r="1452" spans="1:9">
      <c r="A1452" s="509"/>
      <c r="B1452" s="510"/>
      <c r="C1452" s="23"/>
      <c r="D1452" s="23"/>
      <c r="E1452" s="23"/>
      <c r="F1452" s="21"/>
      <c r="G1452" s="21"/>
      <c r="H1452" s="21"/>
      <c r="I1452" s="511"/>
    </row>
    <row r="1453" spans="1:9">
      <c r="A1453" s="509"/>
      <c r="B1453" s="510"/>
      <c r="C1453" s="23"/>
      <c r="D1453" s="23"/>
      <c r="E1453" s="23"/>
      <c r="F1453" s="21"/>
      <c r="G1453" s="21"/>
      <c r="H1453" s="21"/>
      <c r="I1453" s="511"/>
    </row>
    <row r="1454" spans="1:9">
      <c r="A1454" s="509"/>
      <c r="B1454" s="510"/>
      <c r="C1454" s="23"/>
      <c r="D1454" s="23"/>
      <c r="E1454" s="23"/>
      <c r="F1454" s="21"/>
      <c r="G1454" s="21"/>
      <c r="H1454" s="21"/>
      <c r="I1454" s="511"/>
    </row>
    <row r="1455" spans="1:9">
      <c r="A1455" s="509"/>
      <c r="B1455" s="510"/>
      <c r="C1455" s="23"/>
      <c r="D1455" s="23"/>
      <c r="E1455" s="23"/>
      <c r="F1455" s="21"/>
      <c r="G1455" s="21"/>
      <c r="H1455" s="21"/>
      <c r="I1455" s="511"/>
    </row>
    <row r="1456" spans="1:9">
      <c r="A1456" s="509"/>
      <c r="B1456" s="510"/>
      <c r="C1456" s="23"/>
      <c r="D1456" s="23"/>
      <c r="E1456" s="23"/>
      <c r="F1456" s="21"/>
      <c r="G1456" s="21"/>
      <c r="H1456" s="21"/>
      <c r="I1456" s="511"/>
    </row>
    <row r="1457" spans="1:9">
      <c r="A1457" s="509"/>
      <c r="B1457" s="510"/>
      <c r="C1457" s="23"/>
      <c r="D1457" s="23"/>
      <c r="E1457" s="23"/>
      <c r="F1457" s="21"/>
      <c r="G1457" s="21"/>
      <c r="H1457" s="21"/>
      <c r="I1457" s="511"/>
    </row>
    <row r="1458" spans="1:9">
      <c r="A1458" s="509"/>
      <c r="B1458" s="510"/>
      <c r="C1458" s="23"/>
      <c r="D1458" s="23"/>
      <c r="E1458" s="23"/>
      <c r="F1458" s="21"/>
      <c r="G1458" s="21"/>
      <c r="H1458" s="21"/>
      <c r="I1458" s="511"/>
    </row>
    <row r="1459" spans="1:9">
      <c r="A1459" s="509"/>
      <c r="B1459" s="510"/>
      <c r="C1459" s="23"/>
      <c r="D1459" s="23"/>
      <c r="E1459" s="23"/>
      <c r="F1459" s="21"/>
      <c r="G1459" s="21"/>
      <c r="H1459" s="21"/>
      <c r="I1459" s="511"/>
    </row>
    <row r="1460" spans="1:9">
      <c r="A1460" s="509"/>
      <c r="B1460" s="510"/>
      <c r="C1460" s="23"/>
      <c r="D1460" s="23"/>
      <c r="E1460" s="23"/>
      <c r="F1460" s="21"/>
      <c r="G1460" s="21"/>
      <c r="H1460" s="21"/>
      <c r="I1460" s="511"/>
    </row>
    <row r="1461" spans="1:9">
      <c r="A1461" s="509"/>
      <c r="B1461" s="510"/>
      <c r="C1461" s="23"/>
      <c r="D1461" s="23"/>
      <c r="E1461" s="23"/>
      <c r="F1461" s="21"/>
      <c r="G1461" s="21"/>
      <c r="H1461" s="21"/>
      <c r="I1461" s="511"/>
    </row>
    <row r="1462" spans="1:9">
      <c r="A1462" s="509"/>
      <c r="B1462" s="510"/>
      <c r="C1462" s="23"/>
      <c r="D1462" s="23"/>
      <c r="E1462" s="23"/>
      <c r="F1462" s="21"/>
      <c r="G1462" s="21"/>
      <c r="H1462" s="21"/>
      <c r="I1462" s="511"/>
    </row>
    <row r="1463" spans="1:9">
      <c r="A1463" s="509"/>
      <c r="B1463" s="510"/>
      <c r="C1463" s="23"/>
      <c r="D1463" s="23"/>
      <c r="E1463" s="23"/>
      <c r="F1463" s="21"/>
      <c r="G1463" s="21"/>
      <c r="H1463" s="21"/>
      <c r="I1463" s="511"/>
    </row>
    <row r="1464" spans="1:9">
      <c r="A1464" s="509"/>
      <c r="B1464" s="510"/>
      <c r="C1464" s="23"/>
      <c r="D1464" s="23"/>
      <c r="E1464" s="23"/>
      <c r="F1464" s="21"/>
      <c r="G1464" s="21"/>
      <c r="H1464" s="21"/>
      <c r="I1464" s="511"/>
    </row>
    <row r="1465" spans="1:9">
      <c r="A1465" s="509"/>
      <c r="B1465" s="510"/>
      <c r="C1465" s="23"/>
      <c r="D1465" s="23"/>
      <c r="E1465" s="23"/>
      <c r="F1465" s="21"/>
      <c r="G1465" s="21"/>
      <c r="H1465" s="21"/>
      <c r="I1465" s="511"/>
    </row>
    <row r="1466" spans="1:9">
      <c r="A1466" s="509"/>
      <c r="B1466" s="510"/>
      <c r="C1466" s="23"/>
      <c r="D1466" s="23"/>
      <c r="E1466" s="23"/>
      <c r="F1466" s="21"/>
      <c r="G1466" s="21"/>
      <c r="H1466" s="21"/>
      <c r="I1466" s="511"/>
    </row>
    <row r="1467" spans="1:9">
      <c r="A1467" s="509"/>
      <c r="B1467" s="510"/>
      <c r="C1467" s="23"/>
      <c r="D1467" s="23"/>
      <c r="E1467" s="23"/>
      <c r="F1467" s="21"/>
      <c r="G1467" s="21"/>
      <c r="H1467" s="21"/>
      <c r="I1467" s="511"/>
    </row>
    <row r="1468" spans="1:9">
      <c r="A1468" s="509"/>
      <c r="B1468" s="510"/>
      <c r="C1468" s="23"/>
      <c r="D1468" s="23"/>
      <c r="E1468" s="23"/>
      <c r="F1468" s="21"/>
      <c r="G1468" s="21"/>
      <c r="H1468" s="21"/>
      <c r="I1468" s="511"/>
    </row>
    <row r="1469" spans="1:9">
      <c r="A1469" s="509"/>
      <c r="B1469" s="510"/>
      <c r="C1469" s="23"/>
      <c r="D1469" s="23"/>
      <c r="E1469" s="23"/>
      <c r="F1469" s="21"/>
      <c r="G1469" s="21"/>
      <c r="H1469" s="21"/>
      <c r="I1469" s="511"/>
    </row>
    <row r="1470" spans="1:9">
      <c r="A1470" s="509"/>
      <c r="B1470" s="510"/>
      <c r="C1470" s="23"/>
      <c r="D1470" s="23"/>
      <c r="E1470" s="23"/>
      <c r="F1470" s="21"/>
      <c r="G1470" s="21"/>
      <c r="H1470" s="21"/>
      <c r="I1470" s="511"/>
    </row>
    <row r="1471" spans="1:9">
      <c r="A1471" s="509"/>
      <c r="B1471" s="510"/>
      <c r="C1471" s="23"/>
      <c r="D1471" s="23"/>
      <c r="E1471" s="23"/>
      <c r="F1471" s="21"/>
      <c r="G1471" s="21"/>
      <c r="H1471" s="21"/>
      <c r="I1471" s="511"/>
    </row>
    <row r="1472" spans="1:9">
      <c r="A1472" s="509"/>
      <c r="B1472" s="510"/>
      <c r="C1472" s="23"/>
      <c r="D1472" s="23"/>
      <c r="E1472" s="23"/>
      <c r="F1472" s="21"/>
      <c r="G1472" s="21"/>
      <c r="H1472" s="21"/>
      <c r="I1472" s="511"/>
    </row>
    <row r="1473" spans="1:9">
      <c r="A1473" s="509"/>
      <c r="B1473" s="510"/>
      <c r="C1473" s="23"/>
      <c r="D1473" s="23"/>
      <c r="E1473" s="23"/>
      <c r="F1473" s="21"/>
      <c r="G1473" s="21"/>
      <c r="H1473" s="21"/>
      <c r="I1473" s="511"/>
    </row>
    <row r="1474" spans="1:9">
      <c r="A1474" s="509"/>
      <c r="B1474" s="510"/>
      <c r="C1474" s="23"/>
      <c r="D1474" s="23"/>
      <c r="E1474" s="23"/>
      <c r="F1474" s="21"/>
      <c r="G1474" s="21"/>
      <c r="H1474" s="21"/>
      <c r="I1474" s="511"/>
    </row>
    <row r="1475" spans="1:9">
      <c r="A1475" s="509"/>
      <c r="B1475" s="510"/>
      <c r="C1475" s="23"/>
      <c r="D1475" s="23"/>
      <c r="E1475" s="23"/>
      <c r="F1475" s="21"/>
      <c r="G1475" s="21"/>
      <c r="H1475" s="21"/>
      <c r="I1475" s="511"/>
    </row>
    <row r="1476" spans="1:9">
      <c r="A1476" s="509"/>
      <c r="B1476" s="510"/>
      <c r="C1476" s="23"/>
      <c r="D1476" s="23"/>
      <c r="E1476" s="23"/>
      <c r="F1476" s="21"/>
      <c r="G1476" s="21"/>
      <c r="H1476" s="21"/>
      <c r="I1476" s="511"/>
    </row>
    <row r="1477" spans="1:9">
      <c r="A1477" s="509"/>
      <c r="B1477" s="510"/>
      <c r="C1477" s="23"/>
      <c r="D1477" s="23"/>
      <c r="E1477" s="23"/>
      <c r="F1477" s="21"/>
      <c r="G1477" s="21"/>
      <c r="H1477" s="21"/>
      <c r="I1477" s="511"/>
    </row>
    <row r="1478" spans="1:9">
      <c r="A1478" s="509"/>
      <c r="B1478" s="510"/>
      <c r="C1478" s="23"/>
      <c r="D1478" s="23"/>
      <c r="E1478" s="23"/>
      <c r="F1478" s="21"/>
      <c r="G1478" s="21"/>
      <c r="H1478" s="21"/>
      <c r="I1478" s="511"/>
    </row>
    <row r="1479" spans="1:9">
      <c r="A1479" s="509"/>
      <c r="B1479" s="510"/>
      <c r="C1479" s="23"/>
      <c r="D1479" s="23"/>
      <c r="E1479" s="23"/>
      <c r="F1479" s="21"/>
      <c r="G1479" s="21"/>
      <c r="H1479" s="21"/>
      <c r="I1479" s="511"/>
    </row>
    <row r="1480" spans="1:9">
      <c r="A1480" s="509"/>
      <c r="B1480" s="510"/>
      <c r="C1480" s="23"/>
      <c r="D1480" s="23"/>
      <c r="E1480" s="23"/>
      <c r="F1480" s="21"/>
      <c r="G1480" s="21"/>
      <c r="H1480" s="21"/>
      <c r="I1480" s="511"/>
    </row>
    <row r="1481" spans="1:9">
      <c r="A1481" s="509"/>
      <c r="B1481" s="510"/>
      <c r="C1481" s="23"/>
      <c r="D1481" s="23"/>
      <c r="E1481" s="23"/>
      <c r="F1481" s="21"/>
      <c r="G1481" s="21"/>
      <c r="H1481" s="21"/>
      <c r="I1481" s="511"/>
    </row>
    <row r="1482" spans="1:9">
      <c r="A1482" s="509"/>
      <c r="B1482" s="510"/>
      <c r="C1482" s="23"/>
      <c r="D1482" s="23"/>
      <c r="E1482" s="23"/>
      <c r="F1482" s="21"/>
      <c r="G1482" s="21"/>
      <c r="H1482" s="21"/>
      <c r="I1482" s="511"/>
    </row>
    <row r="1483" spans="1:9">
      <c r="A1483" s="509"/>
      <c r="B1483" s="510"/>
      <c r="C1483" s="23"/>
      <c r="D1483" s="23"/>
      <c r="E1483" s="23"/>
      <c r="F1483" s="21"/>
      <c r="G1483" s="21"/>
      <c r="H1483" s="21"/>
      <c r="I1483" s="511"/>
    </row>
    <row r="1484" spans="1:9">
      <c r="A1484" s="509"/>
      <c r="B1484" s="510"/>
      <c r="C1484" s="23"/>
      <c r="D1484" s="23"/>
      <c r="E1484" s="23"/>
      <c r="F1484" s="21"/>
      <c r="G1484" s="21"/>
      <c r="H1484" s="21"/>
      <c r="I1484" s="511"/>
    </row>
    <row r="1485" spans="1:9">
      <c r="A1485" s="509"/>
      <c r="B1485" s="510"/>
      <c r="C1485" s="23"/>
      <c r="D1485" s="23"/>
      <c r="E1485" s="23"/>
      <c r="F1485" s="21"/>
      <c r="G1485" s="21"/>
      <c r="H1485" s="21"/>
      <c r="I1485" s="511"/>
    </row>
    <row r="1486" spans="1:9">
      <c r="A1486" s="509"/>
      <c r="B1486" s="510"/>
      <c r="C1486" s="23"/>
      <c r="D1486" s="23"/>
      <c r="E1486" s="23"/>
      <c r="F1486" s="21"/>
      <c r="G1486" s="21"/>
      <c r="H1486" s="21"/>
      <c r="I1486" s="511"/>
    </row>
    <row r="1487" spans="1:9">
      <c r="A1487" s="509"/>
      <c r="B1487" s="510"/>
      <c r="C1487" s="23"/>
      <c r="D1487" s="23"/>
      <c r="E1487" s="23"/>
      <c r="F1487" s="21"/>
      <c r="G1487" s="21"/>
      <c r="H1487" s="21"/>
      <c r="I1487" s="511"/>
    </row>
    <row r="1488" spans="1:9">
      <c r="A1488" s="509"/>
      <c r="B1488" s="510"/>
      <c r="C1488" s="23"/>
      <c r="D1488" s="23"/>
      <c r="E1488" s="23"/>
      <c r="F1488" s="21"/>
      <c r="G1488" s="21"/>
      <c r="H1488" s="21"/>
      <c r="I1488" s="511"/>
    </row>
    <row r="1489" spans="1:9">
      <c r="A1489" s="509"/>
      <c r="B1489" s="510"/>
      <c r="C1489" s="23"/>
      <c r="D1489" s="23"/>
      <c r="E1489" s="23"/>
      <c r="F1489" s="21"/>
      <c r="G1489" s="21"/>
      <c r="H1489" s="21"/>
      <c r="I1489" s="511"/>
    </row>
    <row r="1490" spans="1:9">
      <c r="A1490" s="509"/>
      <c r="B1490" s="510"/>
      <c r="C1490" s="23"/>
      <c r="D1490" s="23"/>
      <c r="E1490" s="23"/>
      <c r="F1490" s="21"/>
      <c r="G1490" s="21"/>
      <c r="H1490" s="21"/>
      <c r="I1490" s="511"/>
    </row>
    <row r="1491" spans="1:9">
      <c r="A1491" s="509"/>
      <c r="B1491" s="510"/>
      <c r="C1491" s="23"/>
      <c r="D1491" s="23"/>
      <c r="E1491" s="23"/>
      <c r="F1491" s="21"/>
      <c r="G1491" s="21"/>
      <c r="H1491" s="21"/>
      <c r="I1491" s="511"/>
    </row>
    <row r="1492" spans="1:9">
      <c r="A1492" s="509"/>
      <c r="B1492" s="510"/>
      <c r="C1492" s="23"/>
      <c r="D1492" s="23"/>
      <c r="E1492" s="23"/>
      <c r="F1492" s="21"/>
      <c r="G1492" s="21"/>
      <c r="H1492" s="21"/>
      <c r="I1492" s="511"/>
    </row>
    <row r="1493" spans="1:9">
      <c r="A1493" s="509"/>
      <c r="B1493" s="510"/>
      <c r="C1493" s="23"/>
      <c r="D1493" s="23"/>
      <c r="E1493" s="23"/>
      <c r="F1493" s="21"/>
      <c r="G1493" s="21"/>
      <c r="H1493" s="21"/>
      <c r="I1493" s="511"/>
    </row>
    <row r="1494" spans="1:9">
      <c r="A1494" s="509"/>
      <c r="B1494" s="510"/>
      <c r="C1494" s="23"/>
      <c r="D1494" s="23"/>
      <c r="E1494" s="23"/>
      <c r="F1494" s="21"/>
      <c r="G1494" s="21"/>
      <c r="H1494" s="21"/>
      <c r="I1494" s="511"/>
    </row>
    <row r="1495" spans="1:9">
      <c r="A1495" s="509"/>
      <c r="B1495" s="510"/>
      <c r="C1495" s="23"/>
      <c r="D1495" s="23"/>
      <c r="E1495" s="23"/>
      <c r="F1495" s="21"/>
      <c r="G1495" s="21"/>
      <c r="H1495" s="21"/>
      <c r="I1495" s="511"/>
    </row>
    <row r="1496" spans="1:9">
      <c r="A1496" s="509"/>
      <c r="B1496" s="510"/>
      <c r="C1496" s="23"/>
      <c r="D1496" s="23"/>
      <c r="E1496" s="23"/>
      <c r="F1496" s="21"/>
      <c r="G1496" s="21"/>
      <c r="H1496" s="21"/>
      <c r="I1496" s="511"/>
    </row>
    <row r="1497" spans="1:9">
      <c r="A1497" s="509"/>
      <c r="B1497" s="510"/>
      <c r="C1497" s="23"/>
      <c r="D1497" s="23"/>
      <c r="E1497" s="23"/>
      <c r="F1497" s="21"/>
      <c r="G1497" s="21"/>
      <c r="H1497" s="21"/>
      <c r="I1497" s="511"/>
    </row>
    <row r="1498" spans="1:9">
      <c r="A1498" s="509"/>
      <c r="B1498" s="510"/>
      <c r="C1498" s="23"/>
      <c r="D1498" s="23"/>
      <c r="E1498" s="23"/>
      <c r="F1498" s="21"/>
      <c r="G1498" s="21"/>
      <c r="H1498" s="21"/>
      <c r="I1498" s="511"/>
    </row>
    <row r="1499" spans="1:9">
      <c r="A1499" s="509"/>
      <c r="B1499" s="510"/>
      <c r="C1499" s="23"/>
      <c r="D1499" s="23"/>
      <c r="E1499" s="23"/>
      <c r="F1499" s="21"/>
      <c r="G1499" s="21"/>
      <c r="H1499" s="21"/>
      <c r="I1499" s="511"/>
    </row>
    <row r="1500" spans="1:9">
      <c r="A1500" s="509"/>
      <c r="B1500" s="510"/>
      <c r="C1500" s="23"/>
      <c r="D1500" s="23"/>
      <c r="E1500" s="23"/>
      <c r="F1500" s="21"/>
      <c r="G1500" s="21"/>
      <c r="H1500" s="21"/>
      <c r="I1500" s="511"/>
    </row>
    <row r="1501" spans="1:9">
      <c r="A1501" s="509"/>
      <c r="B1501" s="510"/>
      <c r="C1501" s="23"/>
      <c r="D1501" s="23"/>
      <c r="E1501" s="23"/>
      <c r="F1501" s="21"/>
      <c r="G1501" s="21"/>
      <c r="H1501" s="21"/>
      <c r="I1501" s="511"/>
    </row>
    <row r="1502" spans="1:9">
      <c r="A1502" s="509"/>
      <c r="B1502" s="510"/>
      <c r="C1502" s="23"/>
      <c r="D1502" s="23"/>
      <c r="E1502" s="23"/>
      <c r="F1502" s="21"/>
      <c r="G1502" s="21"/>
      <c r="H1502" s="21"/>
      <c r="I1502" s="511"/>
    </row>
    <row r="1503" spans="1:9">
      <c r="A1503" s="509"/>
      <c r="B1503" s="510"/>
      <c r="C1503" s="23"/>
      <c r="D1503" s="23"/>
      <c r="E1503" s="23"/>
      <c r="F1503" s="21"/>
      <c r="G1503" s="21"/>
      <c r="H1503" s="21"/>
      <c r="I1503" s="511"/>
    </row>
    <row r="1504" spans="1:9">
      <c r="A1504" s="509"/>
      <c r="B1504" s="510"/>
      <c r="C1504" s="23"/>
      <c r="D1504" s="23"/>
      <c r="E1504" s="23"/>
      <c r="F1504" s="21"/>
      <c r="G1504" s="21"/>
      <c r="H1504" s="21"/>
      <c r="I1504" s="511"/>
    </row>
    <row r="1505" spans="1:9">
      <c r="A1505" s="509"/>
      <c r="B1505" s="510"/>
      <c r="C1505" s="23"/>
      <c r="D1505" s="23"/>
      <c r="E1505" s="23"/>
      <c r="F1505" s="21"/>
      <c r="G1505" s="21"/>
      <c r="H1505" s="21"/>
      <c r="I1505" s="511"/>
    </row>
    <row r="1506" spans="1:9">
      <c r="A1506" s="509"/>
      <c r="B1506" s="510"/>
      <c r="C1506" s="23"/>
      <c r="D1506" s="23"/>
      <c r="E1506" s="23"/>
      <c r="F1506" s="21"/>
      <c r="G1506" s="21"/>
      <c r="H1506" s="21"/>
      <c r="I1506" s="511"/>
    </row>
    <row r="1507" spans="1:9">
      <c r="A1507" s="509"/>
      <c r="B1507" s="510"/>
      <c r="C1507" s="23"/>
      <c r="D1507" s="23"/>
      <c r="E1507" s="23"/>
      <c r="F1507" s="21"/>
      <c r="G1507" s="21"/>
      <c r="H1507" s="21"/>
      <c r="I1507" s="511"/>
    </row>
    <row r="1508" spans="1:9">
      <c r="A1508" s="509"/>
      <c r="B1508" s="510"/>
      <c r="C1508" s="23"/>
      <c r="D1508" s="23"/>
      <c r="E1508" s="23"/>
      <c r="F1508" s="21"/>
      <c r="G1508" s="21"/>
      <c r="H1508" s="21"/>
      <c r="I1508" s="511"/>
    </row>
    <row r="1509" spans="1:9">
      <c r="A1509" s="509"/>
      <c r="B1509" s="510"/>
      <c r="C1509" s="23"/>
      <c r="D1509" s="23"/>
      <c r="E1509" s="23"/>
      <c r="F1509" s="21"/>
      <c r="G1509" s="21"/>
      <c r="H1509" s="21"/>
      <c r="I1509" s="511"/>
    </row>
    <row r="1510" spans="1:9">
      <c r="A1510" s="509"/>
      <c r="B1510" s="510"/>
      <c r="C1510" s="23"/>
      <c r="D1510" s="23"/>
      <c r="E1510" s="23"/>
      <c r="F1510" s="21"/>
      <c r="G1510" s="21"/>
      <c r="H1510" s="21"/>
      <c r="I1510" s="511"/>
    </row>
    <row r="1511" spans="1:9">
      <c r="A1511" s="509"/>
      <c r="B1511" s="510"/>
      <c r="C1511" s="23"/>
      <c r="D1511" s="23"/>
      <c r="E1511" s="23"/>
      <c r="F1511" s="21"/>
      <c r="G1511" s="21"/>
      <c r="H1511" s="21"/>
      <c r="I1511" s="511"/>
    </row>
    <row r="1512" spans="1:9">
      <c r="A1512" s="509"/>
      <c r="B1512" s="510"/>
      <c r="C1512" s="23"/>
      <c r="D1512" s="23"/>
      <c r="E1512" s="23"/>
      <c r="F1512" s="21"/>
      <c r="G1512" s="21"/>
      <c r="H1512" s="21"/>
      <c r="I1512" s="511"/>
    </row>
    <row r="1513" spans="1:9">
      <c r="A1513" s="509"/>
      <c r="B1513" s="510"/>
      <c r="C1513" s="23"/>
      <c r="D1513" s="23"/>
      <c r="E1513" s="23"/>
      <c r="F1513" s="21"/>
      <c r="G1513" s="21"/>
      <c r="H1513" s="21"/>
      <c r="I1513" s="511"/>
    </row>
    <row r="1514" spans="1:9">
      <c r="A1514" s="509"/>
      <c r="B1514" s="510"/>
      <c r="C1514" s="23"/>
      <c r="D1514" s="23"/>
      <c r="E1514" s="23"/>
      <c r="F1514" s="21"/>
      <c r="G1514" s="21"/>
      <c r="H1514" s="21"/>
      <c r="I1514" s="511"/>
    </row>
    <row r="1515" spans="1:9">
      <c r="A1515" s="509"/>
      <c r="B1515" s="510"/>
      <c r="C1515" s="23"/>
      <c r="D1515" s="23"/>
      <c r="E1515" s="23"/>
      <c r="F1515" s="21"/>
      <c r="G1515" s="21"/>
      <c r="H1515" s="21"/>
      <c r="I1515" s="511"/>
    </row>
    <row r="1516" spans="1:9">
      <c r="A1516" s="509"/>
      <c r="B1516" s="510"/>
      <c r="C1516" s="23"/>
      <c r="D1516" s="23"/>
      <c r="E1516" s="23"/>
      <c r="F1516" s="21"/>
      <c r="G1516" s="21"/>
      <c r="H1516" s="21"/>
      <c r="I1516" s="511"/>
    </row>
    <row r="1517" spans="1:9">
      <c r="A1517" s="509"/>
      <c r="B1517" s="510"/>
      <c r="C1517" s="23"/>
      <c r="D1517" s="23"/>
      <c r="E1517" s="23"/>
      <c r="F1517" s="21"/>
      <c r="G1517" s="21"/>
      <c r="H1517" s="21"/>
      <c r="I1517" s="511"/>
    </row>
    <row r="1518" spans="1:9">
      <c r="A1518" s="509"/>
      <c r="B1518" s="510"/>
      <c r="C1518" s="23"/>
      <c r="D1518" s="23"/>
      <c r="E1518" s="23"/>
      <c r="F1518" s="21"/>
      <c r="G1518" s="21"/>
      <c r="H1518" s="21"/>
      <c r="I1518" s="511"/>
    </row>
    <row r="1519" spans="1:9">
      <c r="A1519" s="509"/>
      <c r="B1519" s="510"/>
      <c r="C1519" s="23"/>
      <c r="D1519" s="23"/>
      <c r="E1519" s="23"/>
      <c r="F1519" s="21"/>
      <c r="G1519" s="21"/>
      <c r="H1519" s="21"/>
      <c r="I1519" s="511"/>
    </row>
    <row r="1520" spans="1:9">
      <c r="A1520" s="509"/>
      <c r="B1520" s="510"/>
      <c r="C1520" s="23"/>
      <c r="D1520" s="23"/>
      <c r="E1520" s="23"/>
      <c r="F1520" s="21"/>
      <c r="G1520" s="21"/>
      <c r="H1520" s="21"/>
      <c r="I1520" s="511"/>
    </row>
    <row r="1521" spans="1:9">
      <c r="A1521" s="509"/>
      <c r="B1521" s="510"/>
      <c r="C1521" s="23"/>
      <c r="D1521" s="23"/>
      <c r="E1521" s="23"/>
      <c r="F1521" s="21"/>
      <c r="G1521" s="21"/>
      <c r="H1521" s="21"/>
      <c r="I1521" s="511"/>
    </row>
    <row r="1522" spans="1:9">
      <c r="A1522" s="509"/>
      <c r="B1522" s="510"/>
      <c r="C1522" s="23"/>
      <c r="D1522" s="23"/>
      <c r="E1522" s="23"/>
      <c r="F1522" s="21"/>
      <c r="G1522" s="21"/>
      <c r="H1522" s="21"/>
      <c r="I1522" s="511"/>
    </row>
    <row r="1523" spans="1:9">
      <c r="A1523" s="509"/>
      <c r="B1523" s="510"/>
      <c r="C1523" s="23"/>
      <c r="D1523" s="23"/>
      <c r="E1523" s="23"/>
      <c r="F1523" s="21"/>
      <c r="G1523" s="21"/>
      <c r="H1523" s="21"/>
      <c r="I1523" s="511"/>
    </row>
    <row r="1524" spans="1:9">
      <c r="A1524" s="509"/>
      <c r="B1524" s="510"/>
      <c r="C1524" s="23"/>
      <c r="D1524" s="23"/>
      <c r="E1524" s="23"/>
      <c r="F1524" s="21"/>
      <c r="G1524" s="21"/>
      <c r="H1524" s="21"/>
      <c r="I1524" s="511"/>
    </row>
    <row r="1525" spans="1:9">
      <c r="A1525" s="509"/>
      <c r="B1525" s="510"/>
      <c r="C1525" s="23"/>
      <c r="D1525" s="23"/>
      <c r="E1525" s="23"/>
      <c r="F1525" s="21"/>
      <c r="G1525" s="21"/>
      <c r="H1525" s="21"/>
      <c r="I1525" s="511"/>
    </row>
    <row r="1526" spans="1:9">
      <c r="A1526" s="509"/>
      <c r="B1526" s="510"/>
      <c r="C1526" s="23"/>
      <c r="D1526" s="23"/>
      <c r="E1526" s="23"/>
      <c r="F1526" s="21"/>
      <c r="G1526" s="21"/>
      <c r="H1526" s="21"/>
      <c r="I1526" s="511"/>
    </row>
    <row r="1527" spans="1:9">
      <c r="A1527" s="509"/>
      <c r="B1527" s="510"/>
      <c r="C1527" s="23"/>
      <c r="D1527" s="23"/>
      <c r="E1527" s="23"/>
      <c r="F1527" s="21"/>
      <c r="G1527" s="21"/>
      <c r="H1527" s="21"/>
      <c r="I1527" s="511"/>
    </row>
    <row r="1528" spans="1:9">
      <c r="A1528" s="509"/>
      <c r="B1528" s="510"/>
      <c r="C1528" s="23"/>
      <c r="D1528" s="23"/>
      <c r="E1528" s="23"/>
      <c r="F1528" s="21"/>
      <c r="G1528" s="21"/>
      <c r="H1528" s="21"/>
      <c r="I1528" s="511"/>
    </row>
    <row r="1529" spans="1:9">
      <c r="A1529" s="509"/>
      <c r="B1529" s="510"/>
      <c r="C1529" s="23"/>
      <c r="D1529" s="23"/>
      <c r="E1529" s="23"/>
      <c r="F1529" s="21"/>
      <c r="G1529" s="21"/>
      <c r="H1529" s="21"/>
      <c r="I1529" s="511"/>
    </row>
    <row r="1530" spans="1:9">
      <c r="A1530" s="509"/>
      <c r="B1530" s="510"/>
      <c r="C1530" s="23"/>
      <c r="D1530" s="23"/>
      <c r="E1530" s="23"/>
      <c r="F1530" s="21"/>
      <c r="G1530" s="21"/>
      <c r="H1530" s="21"/>
      <c r="I1530" s="511"/>
    </row>
    <row r="1531" spans="1:9">
      <c r="A1531" s="509"/>
      <c r="B1531" s="510"/>
      <c r="C1531" s="23"/>
      <c r="D1531" s="23"/>
      <c r="E1531" s="23"/>
      <c r="F1531" s="21"/>
      <c r="G1531" s="21"/>
      <c r="H1531" s="21"/>
      <c r="I1531" s="511"/>
    </row>
    <row r="1532" spans="1:9">
      <c r="A1532" s="509"/>
      <c r="B1532" s="510"/>
      <c r="C1532" s="23"/>
      <c r="D1532" s="23"/>
      <c r="E1532" s="23"/>
      <c r="F1532" s="21"/>
      <c r="G1532" s="21"/>
      <c r="H1532" s="21"/>
      <c r="I1532" s="511"/>
    </row>
    <row r="1533" spans="1:9">
      <c r="A1533" s="509"/>
      <c r="B1533" s="510"/>
      <c r="C1533" s="23"/>
      <c r="D1533" s="23"/>
      <c r="E1533" s="23"/>
      <c r="F1533" s="21"/>
      <c r="G1533" s="21"/>
      <c r="H1533" s="21"/>
      <c r="I1533" s="511"/>
    </row>
    <row r="1534" spans="1:9">
      <c r="A1534" s="509"/>
      <c r="B1534" s="510"/>
      <c r="C1534" s="23"/>
      <c r="D1534" s="23"/>
      <c r="E1534" s="23"/>
      <c r="F1534" s="21"/>
      <c r="G1534" s="21"/>
      <c r="H1534" s="21"/>
      <c r="I1534" s="511"/>
    </row>
    <row r="1535" spans="1:9">
      <c r="A1535" s="509"/>
      <c r="B1535" s="510"/>
      <c r="C1535" s="23"/>
      <c r="D1535" s="23"/>
      <c r="E1535" s="23"/>
      <c r="F1535" s="21"/>
      <c r="G1535" s="21"/>
      <c r="H1535" s="21"/>
      <c r="I1535" s="511"/>
    </row>
    <row r="1536" spans="1:9">
      <c r="A1536" s="509"/>
      <c r="B1536" s="510"/>
      <c r="C1536" s="23"/>
      <c r="D1536" s="23"/>
      <c r="E1536" s="23"/>
      <c r="F1536" s="21"/>
      <c r="G1536" s="21"/>
      <c r="H1536" s="21"/>
      <c r="I1536" s="511"/>
    </row>
    <row r="1537" spans="1:9">
      <c r="A1537" s="509"/>
      <c r="B1537" s="510"/>
      <c r="C1537" s="23"/>
      <c r="D1537" s="23"/>
      <c r="E1537" s="23"/>
      <c r="F1537" s="21"/>
      <c r="G1537" s="21"/>
      <c r="H1537" s="21"/>
      <c r="I1537" s="511"/>
    </row>
    <row r="1538" spans="1:9">
      <c r="A1538" s="509"/>
      <c r="B1538" s="510"/>
      <c r="C1538" s="23"/>
      <c r="D1538" s="23"/>
      <c r="E1538" s="23"/>
      <c r="F1538" s="21"/>
      <c r="G1538" s="21"/>
      <c r="H1538" s="21"/>
      <c r="I1538" s="511"/>
    </row>
    <row r="1539" spans="1:9">
      <c r="A1539" s="509"/>
      <c r="B1539" s="510"/>
      <c r="C1539" s="23"/>
      <c r="D1539" s="23"/>
      <c r="E1539" s="23"/>
      <c r="F1539" s="21"/>
      <c r="G1539" s="21"/>
      <c r="H1539" s="21"/>
      <c r="I1539" s="511"/>
    </row>
    <row r="1540" spans="1:9">
      <c r="A1540" s="509"/>
      <c r="B1540" s="510"/>
      <c r="C1540" s="23"/>
      <c r="D1540" s="23"/>
      <c r="E1540" s="23"/>
      <c r="F1540" s="21"/>
      <c r="G1540" s="21"/>
      <c r="H1540" s="21"/>
      <c r="I1540" s="511"/>
    </row>
    <row r="1541" spans="1:9">
      <c r="A1541" s="509"/>
      <c r="B1541" s="510"/>
      <c r="C1541" s="23"/>
      <c r="D1541" s="23"/>
      <c r="E1541" s="23"/>
      <c r="F1541" s="21"/>
      <c r="G1541" s="21"/>
      <c r="H1541" s="21"/>
      <c r="I1541" s="511"/>
    </row>
    <row r="1542" spans="1:9">
      <c r="A1542" s="509"/>
      <c r="B1542" s="510"/>
      <c r="C1542" s="23"/>
      <c r="D1542" s="23"/>
      <c r="E1542" s="23"/>
      <c r="F1542" s="21"/>
      <c r="G1542" s="21"/>
      <c r="H1542" s="21"/>
      <c r="I1542" s="511"/>
    </row>
    <row r="1543" spans="1:9">
      <c r="A1543" s="509"/>
      <c r="B1543" s="510"/>
      <c r="C1543" s="23"/>
      <c r="D1543" s="23"/>
      <c r="E1543" s="23"/>
      <c r="F1543" s="21"/>
      <c r="G1543" s="21"/>
      <c r="H1543" s="21"/>
      <c r="I1543" s="511"/>
    </row>
    <row r="1544" spans="1:9">
      <c r="A1544" s="509"/>
      <c r="B1544" s="510"/>
      <c r="C1544" s="23"/>
      <c r="D1544" s="23"/>
      <c r="E1544" s="23"/>
      <c r="F1544" s="21"/>
      <c r="G1544" s="21"/>
      <c r="H1544" s="21"/>
      <c r="I1544" s="511"/>
    </row>
    <row r="1545" spans="1:9">
      <c r="A1545" s="509"/>
      <c r="B1545" s="510"/>
      <c r="C1545" s="23"/>
      <c r="D1545" s="23"/>
      <c r="E1545" s="23"/>
      <c r="F1545" s="21"/>
      <c r="G1545" s="21"/>
      <c r="H1545" s="21"/>
      <c r="I1545" s="511"/>
    </row>
    <row r="1546" spans="1:9">
      <c r="A1546" s="509"/>
      <c r="B1546" s="510"/>
      <c r="C1546" s="23"/>
      <c r="D1546" s="23"/>
      <c r="E1546" s="23"/>
      <c r="F1546" s="21"/>
      <c r="G1546" s="21"/>
      <c r="H1546" s="21"/>
      <c r="I1546" s="511"/>
    </row>
    <row r="1547" spans="1:9">
      <c r="A1547" s="509"/>
      <c r="B1547" s="510"/>
      <c r="C1547" s="23"/>
      <c r="D1547" s="23"/>
      <c r="E1547" s="23"/>
      <c r="F1547" s="21"/>
      <c r="G1547" s="21"/>
      <c r="H1547" s="21"/>
      <c r="I1547" s="511"/>
    </row>
    <row r="1548" spans="1:9">
      <c r="A1548" s="509"/>
      <c r="B1548" s="510"/>
      <c r="C1548" s="23"/>
      <c r="D1548" s="23"/>
      <c r="E1548" s="23"/>
      <c r="F1548" s="21"/>
      <c r="G1548" s="21"/>
      <c r="H1548" s="21"/>
      <c r="I1548" s="511"/>
    </row>
    <row r="1549" spans="1:9">
      <c r="A1549" s="509"/>
      <c r="B1549" s="510"/>
      <c r="C1549" s="23"/>
      <c r="D1549" s="23"/>
      <c r="E1549" s="23"/>
      <c r="F1549" s="21"/>
      <c r="G1549" s="21"/>
      <c r="H1549" s="21"/>
      <c r="I1549" s="511"/>
    </row>
    <row r="1550" spans="1:9">
      <c r="A1550" s="509"/>
      <c r="B1550" s="510"/>
      <c r="C1550" s="23"/>
      <c r="D1550" s="23"/>
      <c r="E1550" s="23"/>
      <c r="F1550" s="21"/>
      <c r="G1550" s="21"/>
      <c r="H1550" s="21"/>
      <c r="I1550" s="511"/>
    </row>
    <row r="1551" spans="1:9">
      <c r="A1551" s="509"/>
      <c r="B1551" s="510"/>
      <c r="C1551" s="23"/>
      <c r="D1551" s="23"/>
      <c r="E1551" s="23"/>
      <c r="F1551" s="21"/>
      <c r="G1551" s="21"/>
      <c r="H1551" s="21"/>
      <c r="I1551" s="511"/>
    </row>
    <row r="1552" spans="1:9">
      <c r="A1552" s="509"/>
      <c r="B1552" s="510"/>
      <c r="C1552" s="23"/>
      <c r="D1552" s="23"/>
      <c r="E1552" s="23"/>
      <c r="F1552" s="21"/>
      <c r="G1552" s="21"/>
      <c r="H1552" s="21"/>
      <c r="I1552" s="511"/>
    </row>
    <row r="1553" spans="1:9">
      <c r="A1553" s="509"/>
      <c r="B1553" s="510"/>
      <c r="C1553" s="23"/>
      <c r="D1553" s="23"/>
      <c r="E1553" s="23"/>
      <c r="F1553" s="21"/>
      <c r="G1553" s="21"/>
      <c r="H1553" s="21"/>
      <c r="I1553" s="511"/>
    </row>
    <row r="1554" spans="1:9">
      <c r="A1554" s="509"/>
      <c r="B1554" s="510"/>
      <c r="C1554" s="23"/>
      <c r="D1554" s="23"/>
      <c r="E1554" s="23"/>
      <c r="F1554" s="21"/>
      <c r="G1554" s="21"/>
      <c r="H1554" s="21"/>
      <c r="I1554" s="511"/>
    </row>
    <row r="1555" spans="1:9">
      <c r="A1555" s="509"/>
      <c r="B1555" s="510"/>
      <c r="C1555" s="23"/>
      <c r="D1555" s="23"/>
      <c r="E1555" s="23"/>
      <c r="F1555" s="21"/>
      <c r="G1555" s="21"/>
      <c r="H1555" s="21"/>
      <c r="I1555" s="511"/>
    </row>
    <row r="1556" spans="1:9">
      <c r="A1556" s="509"/>
      <c r="B1556" s="510"/>
      <c r="C1556" s="23"/>
      <c r="D1556" s="23"/>
      <c r="E1556" s="23"/>
      <c r="F1556" s="21"/>
      <c r="G1556" s="21"/>
      <c r="H1556" s="21"/>
      <c r="I1556" s="511"/>
    </row>
    <row r="1557" spans="1:9">
      <c r="A1557" s="509"/>
      <c r="B1557" s="510"/>
      <c r="C1557" s="23"/>
      <c r="D1557" s="23"/>
      <c r="E1557" s="23"/>
      <c r="F1557" s="21"/>
      <c r="G1557" s="21"/>
      <c r="H1557" s="21"/>
      <c r="I1557" s="511"/>
    </row>
    <row r="1558" spans="1:9">
      <c r="A1558" s="509"/>
      <c r="B1558" s="510"/>
      <c r="C1558" s="23"/>
      <c r="D1558" s="23"/>
      <c r="E1558" s="23"/>
      <c r="F1558" s="21"/>
      <c r="G1558" s="21"/>
      <c r="H1558" s="21"/>
      <c r="I1558" s="511"/>
    </row>
    <row r="1559" spans="1:9">
      <c r="A1559" s="509"/>
      <c r="B1559" s="510"/>
      <c r="C1559" s="23"/>
      <c r="D1559" s="23"/>
      <c r="E1559" s="23"/>
      <c r="F1559" s="21"/>
      <c r="G1559" s="21"/>
      <c r="H1559" s="21"/>
      <c r="I1559" s="511"/>
    </row>
    <row r="1560" spans="1:9">
      <c r="A1560" s="509"/>
      <c r="B1560" s="510"/>
      <c r="C1560" s="23"/>
      <c r="D1560" s="23"/>
      <c r="E1560" s="23"/>
      <c r="F1560" s="21"/>
      <c r="G1560" s="21"/>
      <c r="H1560" s="21"/>
      <c r="I1560" s="511"/>
    </row>
    <row r="1561" spans="1:9">
      <c r="A1561" s="509"/>
      <c r="B1561" s="510"/>
      <c r="C1561" s="23"/>
      <c r="D1561" s="23"/>
      <c r="E1561" s="23"/>
      <c r="F1561" s="21"/>
      <c r="G1561" s="21"/>
      <c r="H1561" s="21"/>
      <c r="I1561" s="511"/>
    </row>
    <row r="1562" spans="1:9">
      <c r="A1562" s="509"/>
      <c r="B1562" s="510"/>
      <c r="C1562" s="23"/>
      <c r="D1562" s="23"/>
      <c r="E1562" s="23"/>
      <c r="F1562" s="21"/>
      <c r="G1562" s="21"/>
      <c r="H1562" s="21"/>
      <c r="I1562" s="511"/>
    </row>
    <row r="1563" spans="1:9">
      <c r="A1563" s="509"/>
      <c r="B1563" s="510"/>
      <c r="C1563" s="23"/>
      <c r="D1563" s="23"/>
      <c r="E1563" s="23"/>
      <c r="F1563" s="21"/>
      <c r="G1563" s="21"/>
      <c r="H1563" s="21"/>
      <c r="I1563" s="511"/>
    </row>
    <row r="1564" spans="1:9">
      <c r="A1564" s="509"/>
      <c r="B1564" s="510"/>
      <c r="C1564" s="23"/>
      <c r="D1564" s="23"/>
      <c r="E1564" s="23"/>
      <c r="F1564" s="21"/>
      <c r="G1564" s="21"/>
      <c r="H1564" s="21"/>
      <c r="I1564" s="511"/>
    </row>
    <row r="1565" spans="1:9">
      <c r="A1565" s="509"/>
      <c r="B1565" s="510"/>
      <c r="C1565" s="23"/>
      <c r="D1565" s="23"/>
      <c r="E1565" s="23"/>
      <c r="F1565" s="21"/>
      <c r="G1565" s="21"/>
      <c r="H1565" s="21"/>
      <c r="I1565" s="511"/>
    </row>
    <row r="1566" spans="1:9">
      <c r="A1566" s="509"/>
      <c r="B1566" s="510"/>
      <c r="C1566" s="23"/>
      <c r="D1566" s="23"/>
      <c r="E1566" s="23"/>
      <c r="F1566" s="21"/>
      <c r="G1566" s="21"/>
      <c r="H1566" s="21"/>
      <c r="I1566" s="511"/>
    </row>
    <row r="1567" spans="1:9">
      <c r="A1567" s="509"/>
      <c r="B1567" s="510"/>
      <c r="C1567" s="23"/>
      <c r="D1567" s="23"/>
      <c r="E1567" s="23"/>
      <c r="F1567" s="21"/>
      <c r="G1567" s="21"/>
      <c r="H1567" s="21"/>
      <c r="I1567" s="511"/>
    </row>
    <row r="1568" spans="1:9">
      <c r="A1568" s="509"/>
      <c r="B1568" s="510"/>
      <c r="C1568" s="23"/>
      <c r="D1568" s="23"/>
      <c r="E1568" s="23"/>
      <c r="F1568" s="21"/>
      <c r="G1568" s="21"/>
      <c r="H1568" s="21"/>
      <c r="I1568" s="511"/>
    </row>
    <row r="1569" spans="1:9">
      <c r="A1569" s="509"/>
      <c r="B1569" s="510"/>
      <c r="C1569" s="23"/>
      <c r="D1569" s="23"/>
      <c r="E1569" s="23"/>
      <c r="F1569" s="21"/>
      <c r="G1569" s="21"/>
      <c r="H1569" s="21"/>
      <c r="I1569" s="511"/>
    </row>
    <row r="1570" spans="1:9">
      <c r="A1570" s="509"/>
      <c r="B1570" s="510"/>
      <c r="C1570" s="23"/>
      <c r="D1570" s="23"/>
      <c r="E1570" s="23"/>
      <c r="F1570" s="21"/>
      <c r="G1570" s="21"/>
      <c r="H1570" s="21"/>
      <c r="I1570" s="511"/>
    </row>
    <row r="1571" spans="1:9">
      <c r="A1571" s="509"/>
      <c r="B1571" s="510"/>
      <c r="C1571" s="23"/>
      <c r="D1571" s="23"/>
      <c r="E1571" s="23"/>
      <c r="F1571" s="21"/>
      <c r="G1571" s="21"/>
      <c r="H1571" s="21"/>
      <c r="I1571" s="511"/>
    </row>
    <row r="1572" spans="1:9">
      <c r="A1572" s="509"/>
      <c r="B1572" s="510"/>
      <c r="C1572" s="23"/>
      <c r="D1572" s="23"/>
      <c r="E1572" s="23"/>
      <c r="F1572" s="21"/>
      <c r="G1572" s="21"/>
      <c r="H1572" s="21"/>
      <c r="I1572" s="511"/>
    </row>
    <row r="1573" spans="1:9">
      <c r="A1573" s="509"/>
      <c r="B1573" s="510"/>
      <c r="C1573" s="23"/>
      <c r="D1573" s="23"/>
      <c r="E1573" s="23"/>
      <c r="F1573" s="21"/>
      <c r="G1573" s="21"/>
      <c r="H1573" s="21"/>
      <c r="I1573" s="511"/>
    </row>
    <row r="1574" spans="1:9">
      <c r="A1574" s="509"/>
      <c r="B1574" s="510"/>
      <c r="C1574" s="23"/>
      <c r="D1574" s="23"/>
      <c r="E1574" s="23"/>
      <c r="F1574" s="21"/>
      <c r="G1574" s="21"/>
      <c r="H1574" s="21"/>
      <c r="I1574" s="511"/>
    </row>
    <row r="1575" spans="1:9">
      <c r="A1575" s="509"/>
      <c r="B1575" s="510"/>
      <c r="C1575" s="23"/>
      <c r="D1575" s="23"/>
      <c r="E1575" s="23"/>
      <c r="F1575" s="21"/>
      <c r="G1575" s="21"/>
      <c r="H1575" s="21"/>
      <c r="I1575" s="511"/>
    </row>
    <row r="1576" spans="1:9">
      <c r="A1576" s="509"/>
      <c r="B1576" s="510"/>
      <c r="C1576" s="23"/>
      <c r="D1576" s="23"/>
      <c r="E1576" s="23"/>
      <c r="F1576" s="21"/>
      <c r="G1576" s="21"/>
      <c r="H1576" s="21"/>
      <c r="I1576" s="511"/>
    </row>
    <row r="1577" spans="1:9">
      <c r="A1577" s="509"/>
      <c r="B1577" s="510"/>
      <c r="C1577" s="23"/>
      <c r="D1577" s="23"/>
      <c r="E1577" s="23"/>
      <c r="F1577" s="21"/>
      <c r="G1577" s="21"/>
      <c r="H1577" s="21"/>
      <c r="I1577" s="511"/>
    </row>
    <row r="1578" spans="1:9">
      <c r="A1578" s="509"/>
      <c r="B1578" s="510"/>
      <c r="C1578" s="23"/>
      <c r="D1578" s="23"/>
      <c r="E1578" s="23"/>
      <c r="F1578" s="21"/>
      <c r="G1578" s="21"/>
      <c r="H1578" s="21"/>
      <c r="I1578" s="511"/>
    </row>
    <row r="1579" spans="1:9">
      <c r="A1579" s="509"/>
      <c r="B1579" s="510"/>
      <c r="C1579" s="23"/>
      <c r="D1579" s="23"/>
      <c r="E1579" s="23"/>
      <c r="F1579" s="21"/>
      <c r="G1579" s="21"/>
      <c r="H1579" s="21"/>
      <c r="I1579" s="511"/>
    </row>
    <row r="1580" spans="1:9">
      <c r="A1580" s="509"/>
      <c r="B1580" s="510"/>
      <c r="C1580" s="23"/>
      <c r="D1580" s="23"/>
      <c r="E1580" s="23"/>
      <c r="F1580" s="21"/>
      <c r="G1580" s="21"/>
      <c r="H1580" s="21"/>
      <c r="I1580" s="511"/>
    </row>
    <row r="1581" spans="1:9">
      <c r="A1581" s="509"/>
      <c r="B1581" s="510"/>
      <c r="C1581" s="23"/>
      <c r="D1581" s="23"/>
      <c r="E1581" s="23"/>
      <c r="F1581" s="21"/>
      <c r="G1581" s="21"/>
      <c r="H1581" s="21"/>
      <c r="I1581" s="511"/>
    </row>
    <row r="1582" spans="1:9">
      <c r="A1582" s="509"/>
      <c r="B1582" s="510"/>
      <c r="C1582" s="23"/>
      <c r="D1582" s="23"/>
      <c r="E1582" s="23"/>
      <c r="F1582" s="21"/>
      <c r="G1582" s="21"/>
      <c r="H1582" s="21"/>
      <c r="I1582" s="511"/>
    </row>
    <row r="1583" spans="1:9">
      <c r="A1583" s="509"/>
      <c r="B1583" s="510"/>
      <c r="C1583" s="23"/>
      <c r="D1583" s="23"/>
      <c r="E1583" s="23"/>
      <c r="F1583" s="21"/>
      <c r="G1583" s="21"/>
      <c r="H1583" s="21"/>
      <c r="I1583" s="511"/>
    </row>
    <row r="1584" spans="1:9">
      <c r="A1584" s="509"/>
      <c r="B1584" s="510"/>
      <c r="C1584" s="23"/>
      <c r="D1584" s="23"/>
      <c r="E1584" s="23"/>
      <c r="F1584" s="21"/>
      <c r="G1584" s="21"/>
      <c r="H1584" s="21"/>
      <c r="I1584" s="511"/>
    </row>
    <row r="1585" spans="1:9">
      <c r="A1585" s="509"/>
      <c r="B1585" s="510"/>
      <c r="C1585" s="23"/>
      <c r="D1585" s="23"/>
      <c r="E1585" s="23"/>
      <c r="F1585" s="21"/>
      <c r="G1585" s="21"/>
      <c r="H1585" s="21"/>
      <c r="I1585" s="511"/>
    </row>
    <row r="1586" spans="1:9">
      <c r="A1586" s="509"/>
      <c r="B1586" s="510"/>
      <c r="C1586" s="23"/>
      <c r="D1586" s="23"/>
      <c r="E1586" s="23"/>
      <c r="F1586" s="21"/>
      <c r="G1586" s="21"/>
      <c r="H1586" s="21"/>
      <c r="I1586" s="511"/>
    </row>
    <row r="1587" spans="1:9">
      <c r="A1587" s="509"/>
      <c r="B1587" s="510"/>
      <c r="C1587" s="23"/>
      <c r="D1587" s="23"/>
      <c r="E1587" s="23"/>
      <c r="F1587" s="21"/>
      <c r="G1587" s="21"/>
      <c r="H1587" s="21"/>
      <c r="I1587" s="511"/>
    </row>
    <row r="1588" spans="1:9">
      <c r="A1588" s="509"/>
      <c r="B1588" s="510"/>
      <c r="C1588" s="23"/>
      <c r="D1588" s="23"/>
      <c r="E1588" s="23"/>
      <c r="F1588" s="21"/>
      <c r="G1588" s="21"/>
      <c r="H1588" s="21"/>
      <c r="I1588" s="511"/>
    </row>
    <row r="1589" spans="1:9">
      <c r="A1589" s="509"/>
      <c r="B1589" s="510"/>
      <c r="C1589" s="23"/>
      <c r="D1589" s="23"/>
      <c r="E1589" s="23"/>
      <c r="F1589" s="21"/>
      <c r="G1589" s="21"/>
      <c r="H1589" s="21"/>
      <c r="I1589" s="511"/>
    </row>
    <row r="1590" spans="1:9">
      <c r="A1590" s="509"/>
      <c r="B1590" s="510"/>
      <c r="C1590" s="23"/>
      <c r="D1590" s="23"/>
      <c r="E1590" s="23"/>
      <c r="F1590" s="21"/>
      <c r="G1590" s="21"/>
      <c r="H1590" s="21"/>
      <c r="I1590" s="511"/>
    </row>
    <row r="1591" spans="1:9">
      <c r="A1591" s="509"/>
      <c r="B1591" s="510"/>
      <c r="C1591" s="23"/>
      <c r="D1591" s="23"/>
      <c r="E1591" s="23"/>
      <c r="F1591" s="21"/>
      <c r="G1591" s="21"/>
      <c r="H1591" s="21"/>
      <c r="I1591" s="511"/>
    </row>
    <row r="1592" spans="1:9">
      <c r="A1592" s="509"/>
      <c r="B1592" s="510"/>
      <c r="C1592" s="23"/>
      <c r="D1592" s="23"/>
      <c r="E1592" s="23"/>
      <c r="F1592" s="21"/>
      <c r="G1592" s="21"/>
      <c r="H1592" s="21"/>
      <c r="I1592" s="511"/>
    </row>
    <row r="1593" spans="1:9">
      <c r="A1593" s="509"/>
      <c r="B1593" s="510"/>
      <c r="C1593" s="23"/>
      <c r="D1593" s="23"/>
      <c r="E1593" s="23"/>
      <c r="F1593" s="21"/>
      <c r="G1593" s="21"/>
      <c r="H1593" s="21"/>
      <c r="I1593" s="511"/>
    </row>
    <row r="1594" spans="1:9">
      <c r="A1594" s="509"/>
      <c r="B1594" s="510"/>
      <c r="C1594" s="23"/>
      <c r="D1594" s="23"/>
      <c r="E1594" s="23"/>
      <c r="F1594" s="21"/>
      <c r="G1594" s="21"/>
      <c r="H1594" s="21"/>
      <c r="I1594" s="511"/>
    </row>
    <row r="1595" spans="1:9">
      <c r="A1595" s="509"/>
      <c r="B1595" s="510"/>
      <c r="C1595" s="23"/>
      <c r="D1595" s="23"/>
      <c r="E1595" s="23"/>
      <c r="F1595" s="21"/>
      <c r="G1595" s="21"/>
      <c r="H1595" s="21"/>
      <c r="I1595" s="511"/>
    </row>
    <row r="1596" spans="1:9">
      <c r="A1596" s="509"/>
      <c r="B1596" s="510"/>
      <c r="C1596" s="23"/>
      <c r="D1596" s="23"/>
      <c r="E1596" s="23"/>
      <c r="F1596" s="21"/>
      <c r="G1596" s="21"/>
      <c r="H1596" s="21"/>
      <c r="I1596" s="511"/>
    </row>
    <row r="1597" spans="1:9">
      <c r="A1597" s="509"/>
      <c r="B1597" s="510"/>
      <c r="C1597" s="23"/>
      <c r="D1597" s="23"/>
      <c r="E1597" s="23"/>
      <c r="F1597" s="21"/>
      <c r="G1597" s="21"/>
      <c r="H1597" s="21"/>
      <c r="I1597" s="511"/>
    </row>
    <row r="1598" spans="1:9">
      <c r="A1598" s="509"/>
      <c r="B1598" s="510"/>
      <c r="C1598" s="23"/>
      <c r="D1598" s="23"/>
      <c r="E1598" s="23"/>
      <c r="F1598" s="21"/>
      <c r="G1598" s="21"/>
      <c r="H1598" s="21"/>
      <c r="I1598" s="511"/>
    </row>
    <row r="1599" spans="1:9">
      <c r="A1599" s="509"/>
      <c r="B1599" s="510"/>
      <c r="C1599" s="23"/>
      <c r="D1599" s="23"/>
      <c r="E1599" s="23"/>
      <c r="F1599" s="21"/>
      <c r="G1599" s="21"/>
      <c r="H1599" s="21"/>
      <c r="I1599" s="511"/>
    </row>
    <row r="1600" spans="1:9">
      <c r="A1600" s="509"/>
      <c r="B1600" s="510"/>
      <c r="C1600" s="23"/>
      <c r="D1600" s="23"/>
      <c r="E1600" s="23"/>
      <c r="F1600" s="21"/>
      <c r="G1600" s="21"/>
      <c r="H1600" s="21"/>
      <c r="I1600" s="511"/>
    </row>
    <row r="1601" spans="1:9">
      <c r="A1601" s="509"/>
      <c r="B1601" s="510"/>
      <c r="C1601" s="23"/>
      <c r="D1601" s="23"/>
      <c r="E1601" s="23"/>
      <c r="F1601" s="21"/>
      <c r="G1601" s="21"/>
      <c r="H1601" s="21"/>
      <c r="I1601" s="511"/>
    </row>
    <row r="1602" spans="1:9">
      <c r="A1602" s="509"/>
      <c r="B1602" s="510"/>
      <c r="C1602" s="23"/>
      <c r="D1602" s="23"/>
      <c r="E1602" s="23"/>
      <c r="F1602" s="21"/>
      <c r="G1602" s="21"/>
      <c r="H1602" s="21"/>
      <c r="I1602" s="511"/>
    </row>
    <row r="1603" spans="1:9">
      <c r="A1603" s="509"/>
      <c r="B1603" s="510"/>
      <c r="C1603" s="23"/>
      <c r="D1603" s="23"/>
      <c r="E1603" s="23"/>
      <c r="F1603" s="21"/>
      <c r="G1603" s="21"/>
      <c r="H1603" s="21"/>
      <c r="I1603" s="511"/>
    </row>
    <row r="1604" spans="1:9">
      <c r="A1604" s="509"/>
      <c r="B1604" s="510"/>
      <c r="C1604" s="23"/>
      <c r="D1604" s="23"/>
      <c r="E1604" s="23"/>
      <c r="F1604" s="21"/>
      <c r="G1604" s="21"/>
      <c r="H1604" s="21"/>
      <c r="I1604" s="511"/>
    </row>
    <row r="1605" spans="1:9">
      <c r="A1605" s="509"/>
      <c r="B1605" s="510"/>
      <c r="C1605" s="23"/>
      <c r="D1605" s="23"/>
      <c r="E1605" s="23"/>
      <c r="F1605" s="21"/>
      <c r="G1605" s="21"/>
      <c r="H1605" s="21"/>
      <c r="I1605" s="511"/>
    </row>
    <row r="1606" spans="1:9">
      <c r="A1606" s="509"/>
      <c r="B1606" s="510"/>
      <c r="C1606" s="23"/>
      <c r="D1606" s="23"/>
      <c r="E1606" s="23"/>
      <c r="F1606" s="21"/>
      <c r="G1606" s="21"/>
      <c r="H1606" s="21"/>
      <c r="I1606" s="511"/>
    </row>
    <row r="1607" spans="1:9">
      <c r="A1607" s="509"/>
      <c r="B1607" s="510"/>
      <c r="C1607" s="23"/>
      <c r="D1607" s="23"/>
      <c r="E1607" s="23"/>
      <c r="F1607" s="21"/>
      <c r="G1607" s="21"/>
      <c r="H1607" s="21"/>
      <c r="I1607" s="511"/>
    </row>
    <row r="1608" spans="1:9">
      <c r="A1608" s="509"/>
      <c r="B1608" s="510"/>
      <c r="C1608" s="23"/>
      <c r="D1608" s="23"/>
      <c r="E1608" s="23"/>
      <c r="F1608" s="21"/>
      <c r="G1608" s="21"/>
      <c r="H1608" s="21"/>
      <c r="I1608" s="511"/>
    </row>
    <row r="1609" spans="1:9">
      <c r="A1609" s="509"/>
      <c r="B1609" s="510"/>
      <c r="C1609" s="23"/>
      <c r="D1609" s="23"/>
      <c r="E1609" s="23"/>
      <c r="F1609" s="21"/>
      <c r="G1609" s="21"/>
      <c r="H1609" s="21"/>
      <c r="I1609" s="511"/>
    </row>
    <row r="1610" spans="1:9">
      <c r="A1610" s="509"/>
      <c r="B1610" s="510"/>
      <c r="C1610" s="23"/>
      <c r="D1610" s="23"/>
      <c r="E1610" s="23"/>
      <c r="F1610" s="21"/>
      <c r="G1610" s="21"/>
      <c r="H1610" s="21"/>
      <c r="I1610" s="511"/>
    </row>
    <row r="1611" spans="1:9">
      <c r="A1611" s="509"/>
      <c r="B1611" s="510"/>
      <c r="C1611" s="23"/>
      <c r="D1611" s="23"/>
      <c r="E1611" s="23"/>
      <c r="F1611" s="21"/>
      <c r="G1611" s="21"/>
      <c r="H1611" s="21"/>
      <c r="I1611" s="511"/>
    </row>
    <row r="1612" spans="1:9">
      <c r="A1612" s="509"/>
      <c r="B1612" s="510"/>
      <c r="C1612" s="23"/>
      <c r="D1612" s="23"/>
      <c r="E1612" s="23"/>
      <c r="F1612" s="21"/>
      <c r="G1612" s="21"/>
      <c r="H1612" s="21"/>
      <c r="I1612" s="511"/>
    </row>
    <row r="1613" spans="1:9">
      <c r="A1613" s="509"/>
      <c r="B1613" s="510"/>
      <c r="C1613" s="23"/>
      <c r="D1613" s="23"/>
      <c r="E1613" s="23"/>
      <c r="F1613" s="21"/>
      <c r="G1613" s="21"/>
      <c r="H1613" s="21"/>
      <c r="I1613" s="511"/>
    </row>
    <row r="1614" spans="1:9">
      <c r="A1614" s="509"/>
      <c r="B1614" s="510"/>
      <c r="C1614" s="23"/>
      <c r="D1614" s="23"/>
      <c r="E1614" s="23"/>
      <c r="F1614" s="21"/>
      <c r="G1614" s="21"/>
      <c r="H1614" s="21"/>
      <c r="I1614" s="511"/>
    </row>
    <row r="1615" spans="1:9">
      <c r="A1615" s="509"/>
      <c r="B1615" s="510"/>
      <c r="C1615" s="23"/>
      <c r="D1615" s="23"/>
      <c r="E1615" s="23"/>
      <c r="F1615" s="21"/>
      <c r="G1615" s="21"/>
      <c r="H1615" s="21"/>
      <c r="I1615" s="511"/>
    </row>
    <row r="1616" spans="1:9">
      <c r="A1616" s="509"/>
      <c r="B1616" s="510"/>
      <c r="C1616" s="23"/>
      <c r="D1616" s="23"/>
      <c r="E1616" s="23"/>
      <c r="F1616" s="21"/>
      <c r="G1616" s="21"/>
      <c r="H1616" s="21"/>
      <c r="I1616" s="511"/>
    </row>
    <row r="1617" spans="1:9">
      <c r="A1617" s="509"/>
      <c r="B1617" s="510"/>
      <c r="C1617" s="23"/>
      <c r="D1617" s="23"/>
      <c r="E1617" s="23"/>
      <c r="F1617" s="21"/>
      <c r="G1617" s="21"/>
      <c r="H1617" s="21"/>
      <c r="I1617" s="511"/>
    </row>
    <row r="1618" spans="1:9">
      <c r="A1618" s="509"/>
      <c r="B1618" s="510"/>
      <c r="C1618" s="23"/>
      <c r="D1618" s="23"/>
      <c r="E1618" s="23"/>
      <c r="F1618" s="21"/>
      <c r="G1618" s="21"/>
      <c r="H1618" s="21"/>
      <c r="I1618" s="511"/>
    </row>
    <row r="1619" spans="1:9">
      <c r="A1619" s="509"/>
      <c r="B1619" s="510"/>
      <c r="C1619" s="23"/>
      <c r="D1619" s="23"/>
      <c r="E1619" s="23"/>
      <c r="F1619" s="21"/>
      <c r="G1619" s="21"/>
      <c r="H1619" s="21"/>
      <c r="I1619" s="511"/>
    </row>
    <row r="1620" spans="1:9">
      <c r="A1620" s="509"/>
      <c r="B1620" s="510"/>
      <c r="C1620" s="23"/>
      <c r="D1620" s="23"/>
      <c r="E1620" s="23"/>
      <c r="F1620" s="21"/>
      <c r="G1620" s="21"/>
      <c r="H1620" s="21"/>
      <c r="I1620" s="511"/>
    </row>
    <row r="1621" spans="1:9">
      <c r="A1621" s="509"/>
      <c r="B1621" s="510"/>
      <c r="C1621" s="23"/>
      <c r="D1621" s="23"/>
      <c r="E1621" s="23"/>
      <c r="F1621" s="21"/>
      <c r="G1621" s="21"/>
      <c r="H1621" s="21"/>
      <c r="I1621" s="511"/>
    </row>
    <row r="1622" spans="1:9">
      <c r="A1622" s="509"/>
      <c r="B1622" s="510"/>
      <c r="C1622" s="23"/>
      <c r="D1622" s="23"/>
      <c r="E1622" s="23"/>
      <c r="F1622" s="21"/>
      <c r="G1622" s="21"/>
      <c r="H1622" s="21"/>
      <c r="I1622" s="511"/>
    </row>
    <row r="1623" spans="1:9">
      <c r="A1623" s="509"/>
      <c r="B1623" s="510"/>
      <c r="C1623" s="23"/>
      <c r="D1623" s="23"/>
      <c r="E1623" s="23"/>
      <c r="F1623" s="21"/>
      <c r="G1623" s="21"/>
      <c r="H1623" s="21"/>
      <c r="I1623" s="511"/>
    </row>
    <row r="1624" spans="1:9">
      <c r="A1624" s="509"/>
      <c r="B1624" s="510"/>
      <c r="C1624" s="23"/>
      <c r="D1624" s="23"/>
      <c r="E1624" s="23"/>
      <c r="F1624" s="21"/>
      <c r="G1624" s="21"/>
      <c r="H1624" s="21"/>
      <c r="I1624" s="511"/>
    </row>
    <row r="1625" spans="1:9">
      <c r="A1625" s="509"/>
      <c r="B1625" s="510"/>
      <c r="C1625" s="23"/>
      <c r="D1625" s="23"/>
      <c r="E1625" s="23"/>
      <c r="F1625" s="21"/>
      <c r="G1625" s="21"/>
      <c r="H1625" s="21"/>
      <c r="I1625" s="511"/>
    </row>
    <row r="1626" spans="1:9">
      <c r="A1626" s="509"/>
      <c r="B1626" s="510"/>
      <c r="C1626" s="23"/>
      <c r="D1626" s="23"/>
      <c r="E1626" s="23"/>
      <c r="F1626" s="21"/>
      <c r="G1626" s="21"/>
      <c r="H1626" s="21"/>
      <c r="I1626" s="511"/>
    </row>
    <row r="1627" spans="1:9">
      <c r="A1627" s="509"/>
      <c r="B1627" s="510"/>
      <c r="C1627" s="23"/>
      <c r="D1627" s="23"/>
      <c r="E1627" s="23"/>
      <c r="F1627" s="21"/>
      <c r="G1627" s="21"/>
      <c r="H1627" s="21"/>
      <c r="I1627" s="511"/>
    </row>
    <row r="1628" spans="1:9">
      <c r="A1628" s="509"/>
      <c r="B1628" s="510"/>
      <c r="C1628" s="23"/>
      <c r="D1628" s="23"/>
      <c r="E1628" s="23"/>
      <c r="F1628" s="21"/>
      <c r="G1628" s="21"/>
      <c r="H1628" s="21"/>
      <c r="I1628" s="511"/>
    </row>
    <row r="1629" spans="1:9">
      <c r="A1629" s="509"/>
      <c r="B1629" s="510"/>
      <c r="C1629" s="23"/>
      <c r="D1629" s="23"/>
      <c r="E1629" s="23"/>
      <c r="F1629" s="21"/>
      <c r="G1629" s="21"/>
      <c r="H1629" s="21"/>
      <c r="I1629" s="511"/>
    </row>
    <row r="1630" spans="1:9">
      <c r="A1630" s="509"/>
      <c r="B1630" s="510"/>
      <c r="C1630" s="23"/>
      <c r="D1630" s="23"/>
      <c r="E1630" s="23"/>
      <c r="F1630" s="21"/>
      <c r="G1630" s="21"/>
      <c r="H1630" s="21"/>
      <c r="I1630" s="511"/>
    </row>
    <row r="1631" spans="1:9">
      <c r="A1631" s="509"/>
      <c r="B1631" s="510"/>
      <c r="C1631" s="23"/>
      <c r="D1631" s="23"/>
      <c r="E1631" s="23"/>
      <c r="F1631" s="21"/>
      <c r="G1631" s="21"/>
      <c r="H1631" s="21"/>
      <c r="I1631" s="511"/>
    </row>
    <row r="1632" spans="1:9">
      <c r="A1632" s="509"/>
      <c r="B1632" s="510"/>
      <c r="C1632" s="23"/>
      <c r="D1632" s="23"/>
      <c r="E1632" s="23"/>
      <c r="F1632" s="21"/>
      <c r="G1632" s="21"/>
      <c r="H1632" s="21"/>
      <c r="I1632" s="511"/>
    </row>
    <row r="1633" spans="1:9">
      <c r="A1633" s="509"/>
      <c r="B1633" s="510"/>
      <c r="C1633" s="23"/>
      <c r="D1633" s="23"/>
      <c r="E1633" s="23"/>
      <c r="F1633" s="21"/>
      <c r="G1633" s="21"/>
      <c r="H1633" s="21"/>
      <c r="I1633" s="511"/>
    </row>
    <row r="1634" spans="1:9">
      <c r="A1634" s="509"/>
      <c r="B1634" s="510"/>
      <c r="C1634" s="23"/>
      <c r="D1634" s="23"/>
      <c r="E1634" s="23"/>
      <c r="F1634" s="21"/>
      <c r="G1634" s="21"/>
      <c r="H1634" s="21"/>
      <c r="I1634" s="511"/>
    </row>
    <row r="1635" spans="1:9">
      <c r="A1635" s="509"/>
      <c r="B1635" s="510"/>
      <c r="C1635" s="23"/>
      <c r="D1635" s="23"/>
      <c r="E1635" s="23"/>
      <c r="F1635" s="21"/>
      <c r="G1635" s="21"/>
      <c r="H1635" s="21"/>
      <c r="I1635" s="511"/>
    </row>
    <row r="1636" spans="1:9">
      <c r="A1636" s="509"/>
      <c r="B1636" s="510"/>
      <c r="C1636" s="23"/>
      <c r="D1636" s="23"/>
      <c r="E1636" s="23"/>
      <c r="F1636" s="21"/>
      <c r="G1636" s="21"/>
      <c r="H1636" s="21"/>
      <c r="I1636" s="511"/>
    </row>
    <row r="1637" spans="1:9">
      <c r="A1637" s="509"/>
      <c r="B1637" s="510"/>
      <c r="C1637" s="23"/>
      <c r="D1637" s="23"/>
      <c r="E1637" s="23"/>
      <c r="F1637" s="21"/>
      <c r="G1637" s="21"/>
      <c r="H1637" s="21"/>
      <c r="I1637" s="511"/>
    </row>
    <row r="1638" spans="1:9">
      <c r="A1638" s="509"/>
      <c r="B1638" s="510"/>
      <c r="C1638" s="23"/>
      <c r="D1638" s="23"/>
      <c r="E1638" s="23"/>
      <c r="F1638" s="21"/>
      <c r="G1638" s="21"/>
      <c r="H1638" s="21"/>
      <c r="I1638" s="511"/>
    </row>
    <row r="1639" spans="1:9">
      <c r="A1639" s="509"/>
      <c r="B1639" s="510"/>
      <c r="C1639" s="23"/>
      <c r="D1639" s="23"/>
      <c r="E1639" s="23"/>
      <c r="F1639" s="21"/>
      <c r="G1639" s="21"/>
      <c r="H1639" s="21"/>
      <c r="I1639" s="511"/>
    </row>
    <row r="1640" spans="1:9">
      <c r="A1640" s="509"/>
      <c r="B1640" s="510"/>
      <c r="C1640" s="23"/>
      <c r="D1640" s="23"/>
      <c r="E1640" s="23"/>
      <c r="F1640" s="21"/>
      <c r="G1640" s="21"/>
      <c r="H1640" s="21"/>
      <c r="I1640" s="511"/>
    </row>
    <row r="1641" spans="1:9">
      <c r="A1641" s="509"/>
      <c r="B1641" s="510"/>
      <c r="C1641" s="23"/>
      <c r="D1641" s="23"/>
      <c r="E1641" s="23"/>
      <c r="F1641" s="21"/>
      <c r="G1641" s="21"/>
      <c r="H1641" s="21"/>
      <c r="I1641" s="511"/>
    </row>
    <row r="1642" spans="1:9">
      <c r="A1642" s="509"/>
      <c r="B1642" s="510"/>
      <c r="C1642" s="23"/>
      <c r="D1642" s="23"/>
      <c r="E1642" s="23"/>
      <c r="F1642" s="21"/>
      <c r="G1642" s="21"/>
      <c r="H1642" s="21"/>
      <c r="I1642" s="511"/>
    </row>
    <row r="1643" spans="1:9">
      <c r="A1643" s="509"/>
      <c r="B1643" s="510"/>
      <c r="C1643" s="23"/>
      <c r="D1643" s="23"/>
      <c r="E1643" s="23"/>
      <c r="F1643" s="21"/>
      <c r="G1643" s="21"/>
      <c r="H1643" s="21"/>
      <c r="I1643" s="511"/>
    </row>
    <row r="1644" spans="1:9">
      <c r="A1644" s="509"/>
      <c r="B1644" s="510"/>
      <c r="C1644" s="23"/>
      <c r="D1644" s="23"/>
      <c r="E1644" s="23"/>
      <c r="F1644" s="21"/>
      <c r="G1644" s="21"/>
      <c r="H1644" s="21"/>
      <c r="I1644" s="511"/>
    </row>
    <row r="1645" spans="1:9">
      <c r="A1645" s="509"/>
      <c r="B1645" s="510"/>
      <c r="C1645" s="23"/>
      <c r="D1645" s="23"/>
      <c r="E1645" s="23"/>
      <c r="F1645" s="21"/>
      <c r="G1645" s="21"/>
      <c r="H1645" s="21"/>
      <c r="I1645" s="511"/>
    </row>
    <row r="1646" spans="1:9">
      <c r="A1646" s="509"/>
      <c r="B1646" s="510"/>
      <c r="C1646" s="23"/>
      <c r="D1646" s="23"/>
      <c r="E1646" s="23"/>
      <c r="F1646" s="21"/>
      <c r="G1646" s="21"/>
      <c r="H1646" s="21"/>
      <c r="I1646" s="511"/>
    </row>
    <row r="1647" spans="1:9">
      <c r="A1647" s="509"/>
      <c r="B1647" s="510"/>
      <c r="C1647" s="23"/>
      <c r="D1647" s="23"/>
      <c r="E1647" s="23"/>
      <c r="F1647" s="21"/>
      <c r="G1647" s="21"/>
      <c r="H1647" s="21"/>
      <c r="I1647" s="511"/>
    </row>
    <row r="1648" spans="1:9">
      <c r="A1648" s="509"/>
      <c r="B1648" s="510"/>
      <c r="C1648" s="23"/>
      <c r="D1648" s="23"/>
      <c r="E1648" s="23"/>
      <c r="F1648" s="21"/>
      <c r="G1648" s="21"/>
      <c r="H1648" s="21"/>
      <c r="I1648" s="511"/>
    </row>
    <row r="1649" spans="1:9">
      <c r="A1649" s="509"/>
      <c r="B1649" s="510"/>
      <c r="C1649" s="23"/>
      <c r="D1649" s="23"/>
      <c r="E1649" s="23"/>
      <c r="F1649" s="21"/>
      <c r="G1649" s="21"/>
      <c r="H1649" s="21"/>
      <c r="I1649" s="511"/>
    </row>
    <row r="1650" spans="1:9">
      <c r="A1650" s="509"/>
      <c r="B1650" s="510"/>
      <c r="C1650" s="23"/>
      <c r="D1650" s="23"/>
      <c r="E1650" s="23"/>
      <c r="F1650" s="21"/>
      <c r="G1650" s="21"/>
      <c r="H1650" s="21"/>
      <c r="I1650" s="511"/>
    </row>
    <row r="1651" spans="1:9">
      <c r="A1651" s="509"/>
      <c r="B1651" s="510"/>
      <c r="C1651" s="23"/>
      <c r="D1651" s="23"/>
      <c r="E1651" s="23"/>
      <c r="F1651" s="21"/>
      <c r="G1651" s="21"/>
      <c r="H1651" s="21"/>
      <c r="I1651" s="511"/>
    </row>
    <row r="1652" spans="1:9">
      <c r="A1652" s="509"/>
      <c r="B1652" s="510"/>
      <c r="C1652" s="23"/>
      <c r="D1652" s="23"/>
      <c r="E1652" s="23"/>
      <c r="F1652" s="21"/>
      <c r="G1652" s="21"/>
      <c r="H1652" s="21"/>
      <c r="I1652" s="511"/>
    </row>
    <row r="1653" spans="1:9">
      <c r="A1653" s="509"/>
      <c r="B1653" s="510"/>
      <c r="C1653" s="23"/>
      <c r="D1653" s="23"/>
      <c r="E1653" s="23"/>
      <c r="F1653" s="21"/>
      <c r="G1653" s="21"/>
      <c r="H1653" s="21"/>
      <c r="I1653" s="511"/>
    </row>
    <row r="1654" spans="1:9">
      <c r="A1654" s="509"/>
      <c r="B1654" s="510"/>
      <c r="C1654" s="23"/>
      <c r="D1654" s="23"/>
      <c r="E1654" s="23"/>
      <c r="F1654" s="21"/>
      <c r="G1654" s="21"/>
      <c r="H1654" s="21"/>
      <c r="I1654" s="511"/>
    </row>
    <row r="1655" spans="1:9">
      <c r="A1655" s="509"/>
      <c r="B1655" s="510"/>
      <c r="C1655" s="23"/>
      <c r="D1655" s="23"/>
      <c r="E1655" s="23"/>
      <c r="F1655" s="21"/>
      <c r="G1655" s="21"/>
      <c r="H1655" s="21"/>
      <c r="I1655" s="511"/>
    </row>
    <row r="1656" spans="1:9">
      <c r="A1656" s="509"/>
      <c r="B1656" s="510"/>
      <c r="C1656" s="23"/>
      <c r="D1656" s="23"/>
      <c r="E1656" s="23"/>
      <c r="F1656" s="21"/>
      <c r="G1656" s="21"/>
      <c r="H1656" s="21"/>
      <c r="I1656" s="511"/>
    </row>
    <row r="1657" spans="1:9">
      <c r="A1657" s="509"/>
      <c r="B1657" s="510"/>
      <c r="C1657" s="23"/>
      <c r="D1657" s="23"/>
      <c r="E1657" s="23"/>
      <c r="F1657" s="21"/>
      <c r="G1657" s="21"/>
      <c r="H1657" s="21"/>
      <c r="I1657" s="511"/>
    </row>
    <row r="1658" spans="1:9">
      <c r="A1658" s="509"/>
      <c r="B1658" s="510"/>
      <c r="C1658" s="23"/>
      <c r="D1658" s="23"/>
      <c r="E1658" s="23"/>
      <c r="F1658" s="21"/>
      <c r="G1658" s="21"/>
      <c r="H1658" s="21"/>
      <c r="I1658" s="511"/>
    </row>
    <row r="1659" spans="1:9">
      <c r="A1659" s="509"/>
      <c r="B1659" s="510"/>
      <c r="C1659" s="23"/>
      <c r="D1659" s="23"/>
      <c r="E1659" s="23"/>
      <c r="F1659" s="21"/>
      <c r="G1659" s="21"/>
      <c r="H1659" s="21"/>
      <c r="I1659" s="511"/>
    </row>
    <row r="1660" spans="1:9">
      <c r="A1660" s="509"/>
      <c r="B1660" s="510"/>
      <c r="C1660" s="23"/>
      <c r="D1660" s="23"/>
      <c r="E1660" s="23"/>
      <c r="F1660" s="21"/>
      <c r="G1660" s="21"/>
      <c r="H1660" s="21"/>
      <c r="I1660" s="511"/>
    </row>
    <row r="1661" spans="1:9">
      <c r="A1661" s="509"/>
      <c r="B1661" s="510"/>
      <c r="C1661" s="23"/>
      <c r="D1661" s="23"/>
      <c r="E1661" s="23"/>
      <c r="F1661" s="21"/>
      <c r="G1661" s="21"/>
      <c r="H1661" s="21"/>
      <c r="I1661" s="511"/>
    </row>
    <row r="1662" spans="1:9">
      <c r="A1662" s="509"/>
      <c r="B1662" s="510"/>
      <c r="C1662" s="23"/>
      <c r="D1662" s="23"/>
      <c r="E1662" s="23"/>
      <c r="F1662" s="21"/>
      <c r="G1662" s="21"/>
      <c r="H1662" s="21"/>
      <c r="I1662" s="511"/>
    </row>
    <row r="1663" spans="1:9">
      <c r="A1663" s="509"/>
      <c r="B1663" s="510"/>
      <c r="C1663" s="23"/>
      <c r="D1663" s="23"/>
      <c r="E1663" s="23"/>
      <c r="F1663" s="21"/>
      <c r="G1663" s="21"/>
      <c r="H1663" s="21"/>
      <c r="I1663" s="511"/>
    </row>
    <row r="1664" spans="1:9">
      <c r="A1664" s="509"/>
      <c r="B1664" s="510"/>
      <c r="C1664" s="23"/>
      <c r="D1664" s="23"/>
      <c r="E1664" s="23"/>
      <c r="F1664" s="21"/>
      <c r="G1664" s="21"/>
      <c r="H1664" s="21"/>
      <c r="I1664" s="511"/>
    </row>
    <row r="1665" spans="1:9">
      <c r="A1665" s="509"/>
      <c r="B1665" s="510"/>
      <c r="C1665" s="23"/>
      <c r="D1665" s="23"/>
      <c r="E1665" s="23"/>
      <c r="F1665" s="21"/>
      <c r="G1665" s="21"/>
      <c r="H1665" s="21"/>
      <c r="I1665" s="511"/>
    </row>
    <row r="1666" spans="1:9">
      <c r="A1666" s="509"/>
      <c r="B1666" s="510"/>
      <c r="C1666" s="23"/>
      <c r="D1666" s="23"/>
      <c r="E1666" s="23"/>
      <c r="F1666" s="21"/>
      <c r="G1666" s="21"/>
      <c r="H1666" s="21"/>
      <c r="I1666" s="511"/>
    </row>
    <row r="1667" spans="1:9">
      <c r="A1667" s="509"/>
      <c r="B1667" s="510"/>
      <c r="C1667" s="23"/>
      <c r="D1667" s="23"/>
      <c r="E1667" s="23"/>
      <c r="F1667" s="21"/>
      <c r="G1667" s="21"/>
      <c r="H1667" s="21"/>
      <c r="I1667" s="511"/>
    </row>
    <row r="1668" spans="1:9">
      <c r="A1668" s="509"/>
      <c r="B1668" s="510"/>
      <c r="C1668" s="23"/>
      <c r="D1668" s="23"/>
      <c r="E1668" s="23"/>
      <c r="F1668" s="21"/>
      <c r="G1668" s="21"/>
      <c r="H1668" s="21"/>
      <c r="I1668" s="511"/>
    </row>
    <row r="1669" spans="1:9">
      <c r="A1669" s="509"/>
      <c r="B1669" s="510"/>
      <c r="C1669" s="23"/>
      <c r="D1669" s="23"/>
      <c r="E1669" s="23"/>
      <c r="F1669" s="21"/>
      <c r="G1669" s="21"/>
      <c r="H1669" s="21"/>
      <c r="I1669" s="511"/>
    </row>
    <row r="1670" spans="1:9">
      <c r="A1670" s="509"/>
      <c r="B1670" s="510"/>
      <c r="C1670" s="23"/>
      <c r="D1670" s="23"/>
      <c r="E1670" s="23"/>
      <c r="F1670" s="21"/>
      <c r="G1670" s="21"/>
      <c r="H1670" s="21"/>
      <c r="I1670" s="511"/>
    </row>
    <row r="1671" spans="1:9">
      <c r="A1671" s="509"/>
      <c r="B1671" s="510"/>
      <c r="C1671" s="23"/>
      <c r="D1671" s="23"/>
      <c r="E1671" s="23"/>
      <c r="F1671" s="21"/>
      <c r="G1671" s="21"/>
      <c r="H1671" s="21"/>
      <c r="I1671" s="511"/>
    </row>
    <row r="1672" spans="1:9">
      <c r="A1672" s="509"/>
      <c r="B1672" s="510"/>
      <c r="C1672" s="23"/>
      <c r="D1672" s="23"/>
      <c r="E1672" s="23"/>
      <c r="F1672" s="21"/>
      <c r="G1672" s="21"/>
      <c r="H1672" s="21"/>
      <c r="I1672" s="511"/>
    </row>
    <row r="1673" spans="1:9">
      <c r="A1673" s="509"/>
      <c r="B1673" s="510"/>
      <c r="C1673" s="23"/>
      <c r="D1673" s="23"/>
      <c r="E1673" s="23"/>
      <c r="F1673" s="21"/>
      <c r="G1673" s="21"/>
      <c r="H1673" s="21"/>
      <c r="I1673" s="511"/>
    </row>
    <row r="1674" spans="1:9">
      <c r="A1674" s="509"/>
      <c r="B1674" s="510"/>
      <c r="C1674" s="23"/>
      <c r="D1674" s="23"/>
      <c r="E1674" s="23"/>
      <c r="F1674" s="21"/>
      <c r="G1674" s="21"/>
      <c r="H1674" s="21"/>
      <c r="I1674" s="511"/>
    </row>
    <row r="1675" spans="1:9">
      <c r="A1675" s="509"/>
      <c r="B1675" s="510"/>
      <c r="C1675" s="23"/>
      <c r="D1675" s="23"/>
      <c r="E1675" s="23"/>
      <c r="F1675" s="21"/>
      <c r="G1675" s="21"/>
      <c r="H1675" s="21"/>
      <c r="I1675" s="511"/>
    </row>
    <row r="1676" spans="1:9">
      <c r="A1676" s="509"/>
      <c r="B1676" s="510"/>
      <c r="C1676" s="23"/>
      <c r="D1676" s="23"/>
      <c r="E1676" s="23"/>
      <c r="F1676" s="21"/>
      <c r="G1676" s="21"/>
      <c r="H1676" s="21"/>
      <c r="I1676" s="511"/>
    </row>
    <row r="1677" spans="1:9">
      <c r="A1677" s="509"/>
      <c r="B1677" s="510"/>
      <c r="C1677" s="23"/>
      <c r="D1677" s="23"/>
      <c r="E1677" s="23"/>
      <c r="F1677" s="21"/>
      <c r="G1677" s="21"/>
      <c r="H1677" s="21"/>
      <c r="I1677" s="511"/>
    </row>
    <row r="1678" spans="1:9">
      <c r="A1678" s="509"/>
      <c r="B1678" s="510"/>
      <c r="C1678" s="23"/>
      <c r="D1678" s="23"/>
      <c r="E1678" s="23"/>
      <c r="F1678" s="21"/>
      <c r="G1678" s="21"/>
      <c r="H1678" s="21"/>
      <c r="I1678" s="511"/>
    </row>
    <row r="1679" spans="1:9">
      <c r="A1679" s="509"/>
      <c r="B1679" s="510"/>
      <c r="C1679" s="23"/>
      <c r="D1679" s="23"/>
      <c r="E1679" s="23"/>
      <c r="F1679" s="21"/>
      <c r="G1679" s="21"/>
      <c r="H1679" s="21"/>
      <c r="I1679" s="511"/>
    </row>
    <row r="1680" spans="1:9">
      <c r="A1680" s="509"/>
      <c r="B1680" s="510"/>
      <c r="C1680" s="23"/>
      <c r="D1680" s="23"/>
      <c r="E1680" s="23"/>
      <c r="F1680" s="21"/>
      <c r="G1680" s="21"/>
      <c r="H1680" s="21"/>
      <c r="I1680" s="511"/>
    </row>
    <row r="1681" spans="1:9">
      <c r="A1681" s="509"/>
      <c r="B1681" s="510"/>
      <c r="C1681" s="23"/>
      <c r="D1681" s="23"/>
      <c r="E1681" s="23"/>
      <c r="F1681" s="21"/>
      <c r="G1681" s="21"/>
      <c r="H1681" s="21"/>
      <c r="I1681" s="511"/>
    </row>
    <row r="1682" spans="1:9">
      <c r="A1682" s="509"/>
      <c r="B1682" s="510"/>
      <c r="C1682" s="23"/>
      <c r="D1682" s="23"/>
      <c r="E1682" s="23"/>
      <c r="F1682" s="21"/>
      <c r="G1682" s="21"/>
      <c r="H1682" s="21"/>
      <c r="I1682" s="511"/>
    </row>
    <row r="1683" spans="1:9">
      <c r="A1683" s="509"/>
      <c r="B1683" s="510"/>
      <c r="C1683" s="23"/>
      <c r="D1683" s="23"/>
      <c r="E1683" s="23"/>
      <c r="F1683" s="21"/>
      <c r="G1683" s="21"/>
      <c r="H1683" s="21"/>
      <c r="I1683" s="511"/>
    </row>
    <row r="1684" spans="1:9">
      <c r="A1684" s="509"/>
      <c r="B1684" s="510"/>
      <c r="C1684" s="23"/>
      <c r="D1684" s="23"/>
      <c r="E1684" s="23"/>
      <c r="F1684" s="21"/>
      <c r="G1684" s="21"/>
      <c r="H1684" s="21"/>
      <c r="I1684" s="511"/>
    </row>
    <row r="1685" spans="1:9">
      <c r="A1685" s="509"/>
      <c r="B1685" s="510"/>
      <c r="C1685" s="23"/>
      <c r="D1685" s="23"/>
      <c r="E1685" s="23"/>
      <c r="F1685" s="21"/>
      <c r="G1685" s="21"/>
      <c r="H1685" s="21"/>
      <c r="I1685" s="511"/>
    </row>
    <row r="1686" spans="1:9">
      <c r="A1686" s="509"/>
      <c r="B1686" s="510"/>
      <c r="C1686" s="23"/>
      <c r="D1686" s="23"/>
      <c r="E1686" s="23"/>
      <c r="F1686" s="21"/>
      <c r="G1686" s="21"/>
      <c r="H1686" s="21"/>
      <c r="I1686" s="511"/>
    </row>
    <row r="1687" spans="1:9">
      <c r="A1687" s="509"/>
      <c r="B1687" s="510"/>
      <c r="C1687" s="23"/>
      <c r="D1687" s="23"/>
      <c r="E1687" s="23"/>
      <c r="F1687" s="21"/>
      <c r="G1687" s="21"/>
      <c r="H1687" s="21"/>
      <c r="I1687" s="511"/>
    </row>
    <row r="1688" spans="1:9">
      <c r="A1688" s="509"/>
      <c r="B1688" s="510"/>
      <c r="C1688" s="23"/>
      <c r="D1688" s="23"/>
      <c r="E1688" s="23"/>
      <c r="F1688" s="21"/>
      <c r="G1688" s="21"/>
      <c r="H1688" s="21"/>
      <c r="I1688" s="511"/>
    </row>
    <row r="1689" spans="1:9">
      <c r="A1689" s="509"/>
      <c r="B1689" s="510"/>
      <c r="C1689" s="23"/>
      <c r="D1689" s="23"/>
      <c r="E1689" s="23"/>
      <c r="F1689" s="21"/>
      <c r="G1689" s="21"/>
      <c r="H1689" s="21"/>
      <c r="I1689" s="511"/>
    </row>
    <row r="1690" spans="1:9">
      <c r="A1690" s="509"/>
      <c r="B1690" s="510"/>
      <c r="C1690" s="23"/>
      <c r="D1690" s="23"/>
      <c r="E1690" s="23"/>
      <c r="F1690" s="21"/>
      <c r="G1690" s="21"/>
      <c r="H1690" s="21"/>
      <c r="I1690" s="511"/>
    </row>
    <row r="1691" spans="1:9">
      <c r="A1691" s="509"/>
      <c r="B1691" s="510"/>
      <c r="C1691" s="23"/>
      <c r="D1691" s="23"/>
      <c r="E1691" s="23"/>
      <c r="F1691" s="21"/>
      <c r="G1691" s="21"/>
      <c r="H1691" s="21"/>
      <c r="I1691" s="511"/>
    </row>
    <row r="1692" spans="1:9">
      <c r="A1692" s="509"/>
      <c r="B1692" s="510"/>
      <c r="C1692" s="23"/>
      <c r="D1692" s="23"/>
      <c r="E1692" s="23"/>
      <c r="F1692" s="21"/>
      <c r="G1692" s="21"/>
      <c r="H1692" s="21"/>
      <c r="I1692" s="511"/>
    </row>
    <row r="1693" spans="1:9">
      <c r="A1693" s="509"/>
      <c r="B1693" s="510"/>
      <c r="C1693" s="23"/>
      <c r="D1693" s="23"/>
      <c r="E1693" s="23"/>
      <c r="F1693" s="21"/>
      <c r="G1693" s="21"/>
      <c r="H1693" s="21"/>
      <c r="I1693" s="511"/>
    </row>
    <row r="1694" spans="1:9">
      <c r="A1694" s="509"/>
      <c r="B1694" s="510"/>
      <c r="C1694" s="23"/>
      <c r="D1694" s="23"/>
      <c r="E1694" s="23"/>
      <c r="F1694" s="21"/>
      <c r="G1694" s="21"/>
      <c r="H1694" s="21"/>
      <c r="I1694" s="511"/>
    </row>
    <row r="1695" spans="1:9">
      <c r="A1695" s="509"/>
      <c r="B1695" s="510"/>
      <c r="C1695" s="23"/>
      <c r="D1695" s="23"/>
      <c r="E1695" s="23"/>
      <c r="F1695" s="21"/>
      <c r="G1695" s="21"/>
      <c r="H1695" s="21"/>
      <c r="I1695" s="511"/>
    </row>
    <row r="1696" spans="1:9">
      <c r="A1696" s="509"/>
      <c r="B1696" s="510"/>
      <c r="C1696" s="23"/>
      <c r="D1696" s="23"/>
      <c r="E1696" s="23"/>
      <c r="F1696" s="21"/>
      <c r="G1696" s="21"/>
      <c r="H1696" s="21"/>
      <c r="I1696" s="511"/>
    </row>
    <row r="1697" spans="1:9">
      <c r="A1697" s="509"/>
      <c r="B1697" s="510"/>
      <c r="C1697" s="23"/>
      <c r="D1697" s="23"/>
      <c r="E1697" s="23"/>
      <c r="F1697" s="21"/>
      <c r="G1697" s="21"/>
      <c r="H1697" s="21"/>
      <c r="I1697" s="511"/>
    </row>
    <row r="1698" spans="1:9">
      <c r="A1698" s="509"/>
      <c r="B1698" s="510"/>
      <c r="C1698" s="23"/>
      <c r="D1698" s="23"/>
      <c r="E1698" s="23"/>
      <c r="F1698" s="21"/>
      <c r="G1698" s="21"/>
      <c r="H1698" s="21"/>
      <c r="I1698" s="511"/>
    </row>
    <row r="1699" spans="1:9">
      <c r="A1699" s="509"/>
      <c r="B1699" s="510"/>
      <c r="C1699" s="23"/>
      <c r="D1699" s="23"/>
      <c r="E1699" s="23"/>
      <c r="F1699" s="21"/>
      <c r="G1699" s="21"/>
      <c r="H1699" s="21"/>
      <c r="I1699" s="511"/>
    </row>
    <row r="1700" spans="1:9">
      <c r="A1700" s="509"/>
      <c r="B1700" s="510"/>
      <c r="C1700" s="23"/>
      <c r="D1700" s="23"/>
      <c r="E1700" s="23"/>
      <c r="F1700" s="21"/>
      <c r="G1700" s="21"/>
      <c r="H1700" s="21"/>
      <c r="I1700" s="511"/>
    </row>
    <row r="1701" spans="1:9">
      <c r="A1701" s="509"/>
      <c r="B1701" s="510"/>
      <c r="C1701" s="23"/>
      <c r="D1701" s="23"/>
      <c r="E1701" s="23"/>
      <c r="F1701" s="21"/>
      <c r="G1701" s="21"/>
      <c r="H1701" s="21"/>
      <c r="I1701" s="511"/>
    </row>
    <row r="1702" spans="1:9">
      <c r="A1702" s="509"/>
      <c r="B1702" s="510"/>
      <c r="C1702" s="23"/>
      <c r="D1702" s="23"/>
      <c r="E1702" s="23"/>
      <c r="F1702" s="21"/>
      <c r="G1702" s="21"/>
      <c r="H1702" s="21"/>
      <c r="I1702" s="511"/>
    </row>
    <row r="1703" spans="1:9">
      <c r="A1703" s="509"/>
      <c r="B1703" s="510"/>
      <c r="C1703" s="23"/>
      <c r="D1703" s="23"/>
      <c r="E1703" s="23"/>
      <c r="F1703" s="21"/>
      <c r="G1703" s="21"/>
      <c r="H1703" s="21"/>
      <c r="I1703" s="511"/>
    </row>
    <row r="1704" spans="1:9">
      <c r="A1704" s="509"/>
      <c r="B1704" s="510"/>
      <c r="C1704" s="23"/>
      <c r="D1704" s="23"/>
      <c r="E1704" s="23"/>
      <c r="F1704" s="21"/>
      <c r="G1704" s="21"/>
      <c r="H1704" s="21"/>
      <c r="I1704" s="511"/>
    </row>
    <row r="1705" spans="1:9">
      <c r="A1705" s="509"/>
      <c r="B1705" s="510"/>
      <c r="C1705" s="23"/>
      <c r="D1705" s="23"/>
      <c r="E1705" s="23"/>
      <c r="F1705" s="21"/>
      <c r="G1705" s="21"/>
      <c r="H1705" s="21"/>
      <c r="I1705" s="511"/>
    </row>
    <row r="1706" spans="1:9">
      <c r="A1706" s="509"/>
      <c r="B1706" s="510"/>
      <c r="C1706" s="23"/>
      <c r="D1706" s="23"/>
      <c r="E1706" s="23"/>
      <c r="F1706" s="21"/>
      <c r="G1706" s="21"/>
      <c r="H1706" s="21"/>
      <c r="I1706" s="511"/>
    </row>
    <row r="1707" spans="1:9">
      <c r="A1707" s="509"/>
      <c r="B1707" s="510"/>
      <c r="C1707" s="23"/>
      <c r="D1707" s="23"/>
      <c r="E1707" s="23"/>
      <c r="F1707" s="21"/>
      <c r="G1707" s="21"/>
      <c r="H1707" s="21"/>
      <c r="I1707" s="511"/>
    </row>
    <row r="1708" spans="1:9">
      <c r="A1708" s="509"/>
      <c r="B1708" s="510"/>
      <c r="C1708" s="23"/>
      <c r="D1708" s="23"/>
      <c r="E1708" s="23"/>
      <c r="F1708" s="21"/>
      <c r="G1708" s="21"/>
      <c r="H1708" s="21"/>
      <c r="I1708" s="511"/>
    </row>
    <row r="1709" spans="1:9">
      <c r="A1709" s="509"/>
      <c r="B1709" s="510"/>
      <c r="C1709" s="23"/>
      <c r="D1709" s="23"/>
      <c r="E1709" s="23"/>
      <c r="F1709" s="21"/>
      <c r="G1709" s="21"/>
      <c r="H1709" s="21"/>
      <c r="I1709" s="511"/>
    </row>
    <row r="1710" spans="1:9">
      <c r="A1710" s="509"/>
      <c r="B1710" s="510"/>
      <c r="C1710" s="23"/>
      <c r="D1710" s="23"/>
      <c r="E1710" s="23"/>
      <c r="F1710" s="21"/>
      <c r="G1710" s="21"/>
      <c r="H1710" s="21"/>
      <c r="I1710" s="511"/>
    </row>
    <row r="1711" spans="1:9">
      <c r="A1711" s="509"/>
      <c r="B1711" s="510"/>
      <c r="C1711" s="23"/>
      <c r="D1711" s="23"/>
      <c r="E1711" s="23"/>
      <c r="F1711" s="21"/>
      <c r="G1711" s="21"/>
      <c r="H1711" s="21"/>
      <c r="I1711" s="511"/>
    </row>
    <row r="1712" spans="1:9">
      <c r="A1712" s="509"/>
      <c r="B1712" s="510"/>
      <c r="C1712" s="23"/>
      <c r="D1712" s="23"/>
      <c r="E1712" s="23"/>
      <c r="F1712" s="21"/>
      <c r="G1712" s="21"/>
      <c r="H1712" s="21"/>
      <c r="I1712" s="511"/>
    </row>
    <row r="1713" spans="1:9">
      <c r="A1713" s="509"/>
      <c r="B1713" s="510"/>
      <c r="C1713" s="23"/>
      <c r="D1713" s="23"/>
      <c r="E1713" s="23"/>
      <c r="F1713" s="21"/>
      <c r="G1713" s="21"/>
      <c r="H1713" s="21"/>
      <c r="I1713" s="511"/>
    </row>
    <row r="1714" spans="1:9">
      <c r="A1714" s="509"/>
      <c r="B1714" s="510"/>
      <c r="C1714" s="23"/>
      <c r="D1714" s="23"/>
      <c r="E1714" s="23"/>
      <c r="F1714" s="21"/>
      <c r="G1714" s="21"/>
      <c r="H1714" s="21"/>
      <c r="I1714" s="511"/>
    </row>
    <row r="1715" spans="1:9">
      <c r="A1715" s="509"/>
      <c r="B1715" s="510"/>
      <c r="C1715" s="23"/>
      <c r="D1715" s="23"/>
      <c r="E1715" s="23"/>
      <c r="F1715" s="21"/>
      <c r="G1715" s="21"/>
      <c r="H1715" s="21"/>
      <c r="I1715" s="511"/>
    </row>
    <row r="1716" spans="1:9">
      <c r="A1716" s="509"/>
      <c r="B1716" s="510"/>
      <c r="C1716" s="23"/>
      <c r="D1716" s="23"/>
      <c r="E1716" s="23"/>
      <c r="F1716" s="21"/>
      <c r="G1716" s="21"/>
      <c r="H1716" s="21"/>
      <c r="I1716" s="511"/>
    </row>
    <row r="1717" spans="1:9">
      <c r="A1717" s="509"/>
      <c r="B1717" s="510"/>
      <c r="C1717" s="23"/>
      <c r="D1717" s="23"/>
      <c r="E1717" s="23"/>
      <c r="F1717" s="21"/>
      <c r="G1717" s="21"/>
      <c r="H1717" s="21"/>
      <c r="I1717" s="511"/>
    </row>
    <row r="1718" spans="1:9">
      <c r="A1718" s="509"/>
      <c r="B1718" s="510"/>
      <c r="C1718" s="23"/>
      <c r="D1718" s="23"/>
      <c r="E1718" s="23"/>
      <c r="F1718" s="21"/>
      <c r="G1718" s="21"/>
      <c r="H1718" s="21"/>
      <c r="I1718" s="511"/>
    </row>
    <row r="1719" spans="1:9">
      <c r="A1719" s="509"/>
      <c r="B1719" s="510"/>
      <c r="C1719" s="23"/>
      <c r="D1719" s="23"/>
      <c r="E1719" s="23"/>
      <c r="F1719" s="21"/>
      <c r="G1719" s="21"/>
      <c r="H1719" s="21"/>
      <c r="I1719" s="511"/>
    </row>
    <row r="1720" spans="1:9">
      <c r="A1720" s="509"/>
      <c r="B1720" s="510"/>
      <c r="C1720" s="23"/>
      <c r="D1720" s="23"/>
      <c r="E1720" s="23"/>
      <c r="F1720" s="21"/>
      <c r="G1720" s="21"/>
      <c r="H1720" s="21"/>
      <c r="I1720" s="511"/>
    </row>
    <row r="1721" spans="1:9">
      <c r="A1721" s="509"/>
      <c r="B1721" s="510"/>
      <c r="C1721" s="23"/>
      <c r="D1721" s="23"/>
      <c r="E1721" s="23"/>
      <c r="F1721" s="21"/>
      <c r="G1721" s="21"/>
      <c r="H1721" s="21"/>
      <c r="I1721" s="511"/>
    </row>
    <row r="1722" spans="1:9">
      <c r="A1722" s="509"/>
      <c r="B1722" s="510"/>
      <c r="C1722" s="23"/>
      <c r="D1722" s="23"/>
      <c r="E1722" s="23"/>
      <c r="F1722" s="21"/>
      <c r="G1722" s="21"/>
      <c r="H1722" s="21"/>
      <c r="I1722" s="511"/>
    </row>
    <row r="1723" spans="1:9">
      <c r="A1723" s="509"/>
      <c r="B1723" s="510"/>
      <c r="C1723" s="23"/>
      <c r="D1723" s="23"/>
      <c r="E1723" s="23"/>
      <c r="F1723" s="21"/>
      <c r="G1723" s="21"/>
      <c r="H1723" s="21"/>
      <c r="I1723" s="511"/>
    </row>
    <row r="1724" spans="1:9">
      <c r="A1724" s="509"/>
      <c r="B1724" s="510"/>
      <c r="C1724" s="23"/>
      <c r="D1724" s="23"/>
      <c r="E1724" s="23"/>
      <c r="F1724" s="21"/>
      <c r="G1724" s="21"/>
      <c r="H1724" s="21"/>
      <c r="I1724" s="511"/>
    </row>
    <row r="1725" spans="1:9">
      <c r="A1725" s="509"/>
      <c r="B1725" s="510"/>
      <c r="C1725" s="23"/>
      <c r="D1725" s="23"/>
      <c r="E1725" s="23"/>
      <c r="F1725" s="21"/>
      <c r="G1725" s="21"/>
      <c r="H1725" s="21"/>
      <c r="I1725" s="511"/>
    </row>
    <row r="1726" spans="1:9">
      <c r="A1726" s="509"/>
      <c r="B1726" s="510"/>
      <c r="C1726" s="23"/>
      <c r="D1726" s="23"/>
      <c r="E1726" s="23"/>
      <c r="F1726" s="21"/>
      <c r="G1726" s="21"/>
      <c r="H1726" s="21"/>
      <c r="I1726" s="511"/>
    </row>
    <row r="1727" spans="1:9">
      <c r="A1727" s="509"/>
      <c r="B1727" s="510"/>
      <c r="C1727" s="23"/>
      <c r="D1727" s="23"/>
      <c r="E1727" s="23"/>
      <c r="F1727" s="21"/>
      <c r="G1727" s="21"/>
      <c r="H1727" s="21"/>
      <c r="I1727" s="511"/>
    </row>
    <row r="1728" spans="1:9">
      <c r="A1728" s="509"/>
      <c r="B1728" s="510"/>
      <c r="C1728" s="23"/>
      <c r="D1728" s="23"/>
      <c r="E1728" s="23"/>
      <c r="F1728" s="21"/>
      <c r="G1728" s="21"/>
      <c r="H1728" s="21"/>
      <c r="I1728" s="511"/>
    </row>
    <row r="1729" spans="1:9">
      <c r="A1729" s="509"/>
      <c r="B1729" s="510"/>
      <c r="C1729" s="23"/>
      <c r="D1729" s="23"/>
      <c r="E1729" s="23"/>
      <c r="F1729" s="21"/>
      <c r="G1729" s="21"/>
      <c r="H1729" s="21"/>
      <c r="I1729" s="511"/>
    </row>
    <row r="1730" spans="1:9">
      <c r="A1730" s="509"/>
      <c r="B1730" s="510"/>
      <c r="C1730" s="23"/>
      <c r="D1730" s="23"/>
      <c r="E1730" s="23"/>
      <c r="F1730" s="21"/>
      <c r="G1730" s="21"/>
      <c r="H1730" s="21"/>
      <c r="I1730" s="511"/>
    </row>
    <row r="1731" spans="1:9">
      <c r="A1731" s="509"/>
      <c r="B1731" s="510"/>
      <c r="C1731" s="23"/>
      <c r="D1731" s="23"/>
      <c r="E1731" s="23"/>
      <c r="F1731" s="21"/>
      <c r="G1731" s="21"/>
      <c r="H1731" s="21"/>
      <c r="I1731" s="511"/>
    </row>
    <row r="1732" spans="1:9">
      <c r="A1732" s="509"/>
      <c r="B1732" s="510"/>
      <c r="C1732" s="23"/>
      <c r="D1732" s="23"/>
      <c r="E1732" s="23"/>
      <c r="F1732" s="21"/>
      <c r="G1732" s="21"/>
      <c r="H1732" s="21"/>
      <c r="I1732" s="511"/>
    </row>
    <row r="1733" spans="1:9">
      <c r="A1733" s="509"/>
      <c r="B1733" s="510"/>
      <c r="C1733" s="23"/>
      <c r="D1733" s="23"/>
      <c r="E1733" s="23"/>
      <c r="F1733" s="21"/>
      <c r="G1733" s="21"/>
      <c r="H1733" s="21"/>
      <c r="I1733" s="511"/>
    </row>
    <row r="1734" spans="1:9">
      <c r="A1734" s="509"/>
      <c r="B1734" s="510"/>
      <c r="C1734" s="23"/>
      <c r="D1734" s="23"/>
      <c r="E1734" s="23"/>
      <c r="F1734" s="21"/>
      <c r="G1734" s="21"/>
      <c r="H1734" s="21"/>
      <c r="I1734" s="511"/>
    </row>
    <row r="1735" spans="1:9">
      <c r="A1735" s="509"/>
      <c r="B1735" s="510"/>
      <c r="C1735" s="23"/>
      <c r="D1735" s="23"/>
      <c r="E1735" s="23"/>
      <c r="F1735" s="21"/>
      <c r="G1735" s="21"/>
      <c r="H1735" s="21"/>
      <c r="I1735" s="511"/>
    </row>
    <row r="1736" spans="1:9">
      <c r="A1736" s="509"/>
      <c r="B1736" s="510"/>
      <c r="C1736" s="23"/>
      <c r="D1736" s="23"/>
      <c r="E1736" s="23"/>
      <c r="F1736" s="21"/>
      <c r="G1736" s="21"/>
      <c r="H1736" s="21"/>
      <c r="I1736" s="511"/>
    </row>
    <row r="1737" spans="1:9">
      <c r="A1737" s="509"/>
      <c r="B1737" s="510"/>
      <c r="C1737" s="23"/>
      <c r="D1737" s="23"/>
      <c r="E1737" s="23"/>
      <c r="F1737" s="21"/>
      <c r="G1737" s="21"/>
      <c r="H1737" s="21"/>
      <c r="I1737" s="511"/>
    </row>
    <row r="1738" spans="1:9">
      <c r="A1738" s="509"/>
      <c r="B1738" s="510"/>
      <c r="C1738" s="23"/>
      <c r="D1738" s="23"/>
      <c r="E1738" s="23"/>
      <c r="F1738" s="21"/>
      <c r="G1738" s="21"/>
      <c r="H1738" s="21"/>
      <c r="I1738" s="511"/>
    </row>
    <row r="1739" spans="1:9">
      <c r="A1739" s="509"/>
      <c r="B1739" s="510"/>
      <c r="C1739" s="23"/>
      <c r="D1739" s="23"/>
      <c r="E1739" s="23"/>
      <c r="F1739" s="21"/>
      <c r="G1739" s="21"/>
      <c r="H1739" s="21"/>
      <c r="I1739" s="511"/>
    </row>
    <row r="1740" spans="1:9">
      <c r="A1740" s="509"/>
      <c r="B1740" s="510"/>
      <c r="C1740" s="23"/>
      <c r="D1740" s="23"/>
      <c r="E1740" s="23"/>
      <c r="F1740" s="21"/>
      <c r="G1740" s="21"/>
      <c r="H1740" s="21"/>
      <c r="I1740" s="511"/>
    </row>
    <row r="1741" spans="1:9">
      <c r="A1741" s="509"/>
      <c r="B1741" s="510"/>
      <c r="C1741" s="23"/>
      <c r="D1741" s="23"/>
      <c r="E1741" s="23"/>
      <c r="F1741" s="21"/>
      <c r="G1741" s="21"/>
      <c r="H1741" s="21"/>
      <c r="I1741" s="511"/>
    </row>
    <row r="1742" spans="1:9">
      <c r="A1742" s="509"/>
      <c r="B1742" s="510"/>
      <c r="C1742" s="23"/>
      <c r="D1742" s="23"/>
      <c r="E1742" s="23"/>
      <c r="F1742" s="21"/>
      <c r="G1742" s="21"/>
      <c r="H1742" s="21"/>
      <c r="I1742" s="511"/>
    </row>
    <row r="1743" spans="1:9">
      <c r="A1743" s="509"/>
      <c r="B1743" s="510"/>
      <c r="C1743" s="23"/>
      <c r="D1743" s="23"/>
      <c r="E1743" s="23"/>
      <c r="F1743" s="21"/>
      <c r="G1743" s="21"/>
      <c r="H1743" s="21"/>
      <c r="I1743" s="511"/>
    </row>
    <row r="1744" spans="1:9">
      <c r="A1744" s="509"/>
      <c r="B1744" s="510"/>
      <c r="C1744" s="23"/>
      <c r="D1744" s="23"/>
      <c r="E1744" s="23"/>
      <c r="F1744" s="21"/>
      <c r="G1744" s="21"/>
      <c r="H1744" s="21"/>
      <c r="I1744" s="511"/>
    </row>
    <row r="1745" spans="1:9">
      <c r="A1745" s="509"/>
      <c r="B1745" s="510"/>
      <c r="C1745" s="23"/>
      <c r="D1745" s="23"/>
      <c r="E1745" s="23"/>
      <c r="F1745" s="21"/>
      <c r="G1745" s="21"/>
      <c r="H1745" s="21"/>
      <c r="I1745" s="511"/>
    </row>
    <row r="1746" spans="1:9">
      <c r="A1746" s="509"/>
      <c r="B1746" s="510"/>
      <c r="C1746" s="23"/>
      <c r="D1746" s="23"/>
      <c r="E1746" s="23"/>
      <c r="F1746" s="21"/>
      <c r="G1746" s="21"/>
      <c r="H1746" s="21"/>
      <c r="I1746" s="511"/>
    </row>
    <row r="1747" spans="1:9">
      <c r="A1747" s="509"/>
      <c r="B1747" s="510"/>
      <c r="C1747" s="23"/>
      <c r="D1747" s="23"/>
      <c r="E1747" s="23"/>
      <c r="F1747" s="21"/>
      <c r="G1747" s="21"/>
      <c r="H1747" s="21"/>
      <c r="I1747" s="511"/>
    </row>
    <row r="1748" spans="1:9">
      <c r="A1748" s="509"/>
      <c r="B1748" s="510"/>
      <c r="C1748" s="23"/>
      <c r="D1748" s="23"/>
      <c r="E1748" s="23"/>
      <c r="F1748" s="21"/>
      <c r="G1748" s="21"/>
      <c r="H1748" s="21"/>
      <c r="I1748" s="511"/>
    </row>
    <row r="1749" spans="1:9">
      <c r="A1749" s="509"/>
      <c r="B1749" s="510"/>
      <c r="C1749" s="23"/>
      <c r="D1749" s="23"/>
      <c r="E1749" s="23"/>
      <c r="F1749" s="21"/>
      <c r="G1749" s="21"/>
      <c r="H1749" s="21"/>
      <c r="I1749" s="511"/>
    </row>
    <row r="1750" spans="1:9">
      <c r="A1750" s="509"/>
      <c r="B1750" s="510"/>
      <c r="C1750" s="23"/>
      <c r="D1750" s="23"/>
      <c r="E1750" s="23"/>
      <c r="F1750" s="21"/>
      <c r="G1750" s="21"/>
      <c r="H1750" s="21"/>
      <c r="I1750" s="511"/>
    </row>
    <row r="1751" spans="1:9">
      <c r="A1751" s="509"/>
      <c r="B1751" s="510"/>
      <c r="C1751" s="23"/>
      <c r="D1751" s="23"/>
      <c r="E1751" s="23"/>
      <c r="F1751" s="21"/>
      <c r="G1751" s="21"/>
      <c r="H1751" s="21"/>
      <c r="I1751" s="511"/>
    </row>
    <row r="1752" spans="1:9">
      <c r="A1752" s="509"/>
      <c r="B1752" s="510"/>
      <c r="C1752" s="23"/>
      <c r="D1752" s="23"/>
      <c r="E1752" s="23"/>
      <c r="F1752" s="21"/>
      <c r="G1752" s="21"/>
      <c r="H1752" s="21"/>
      <c r="I1752" s="511"/>
    </row>
    <row r="1753" spans="1:9">
      <c r="A1753" s="509"/>
      <c r="B1753" s="510"/>
      <c r="C1753" s="23"/>
      <c r="D1753" s="23"/>
      <c r="E1753" s="23"/>
      <c r="F1753" s="21"/>
      <c r="G1753" s="21"/>
      <c r="H1753" s="21"/>
      <c r="I1753" s="511"/>
    </row>
    <row r="1754" spans="1:9">
      <c r="A1754" s="509"/>
      <c r="B1754" s="510"/>
      <c r="C1754" s="23"/>
      <c r="D1754" s="23"/>
      <c r="E1754" s="23"/>
      <c r="F1754" s="21"/>
      <c r="G1754" s="21"/>
      <c r="H1754" s="21"/>
      <c r="I1754" s="511"/>
    </row>
    <row r="1755" spans="1:9">
      <c r="A1755" s="509"/>
      <c r="B1755" s="510"/>
      <c r="C1755" s="23"/>
      <c r="D1755" s="23"/>
      <c r="E1755" s="23"/>
      <c r="F1755" s="21"/>
      <c r="G1755" s="21"/>
      <c r="H1755" s="21"/>
      <c r="I1755" s="511"/>
    </row>
    <row r="1756" spans="1:9">
      <c r="A1756" s="509"/>
      <c r="B1756" s="510"/>
      <c r="C1756" s="23"/>
      <c r="D1756" s="23"/>
      <c r="E1756" s="23"/>
      <c r="F1756" s="21"/>
      <c r="G1756" s="21"/>
      <c r="H1756" s="21"/>
      <c r="I1756" s="511"/>
    </row>
    <row r="1757" spans="1:9">
      <c r="A1757" s="509"/>
      <c r="B1757" s="510"/>
      <c r="C1757" s="23"/>
      <c r="D1757" s="23"/>
      <c r="E1757" s="23"/>
      <c r="F1757" s="21"/>
      <c r="G1757" s="21"/>
      <c r="H1757" s="21"/>
      <c r="I1757" s="511"/>
    </row>
    <row r="1758" spans="1:9">
      <c r="A1758" s="509"/>
      <c r="B1758" s="510"/>
      <c r="C1758" s="23"/>
      <c r="D1758" s="23"/>
      <c r="E1758" s="23"/>
      <c r="F1758" s="21"/>
      <c r="G1758" s="21"/>
      <c r="H1758" s="21"/>
      <c r="I1758" s="511"/>
    </row>
    <row r="1759" spans="1:9">
      <c r="A1759" s="509"/>
      <c r="B1759" s="510"/>
      <c r="C1759" s="23"/>
      <c r="D1759" s="23"/>
      <c r="E1759" s="23"/>
      <c r="F1759" s="21"/>
      <c r="G1759" s="21"/>
      <c r="H1759" s="21"/>
      <c r="I1759" s="511"/>
    </row>
    <row r="1760" spans="1:9">
      <c r="A1760" s="509"/>
      <c r="B1760" s="510"/>
      <c r="C1760" s="23"/>
      <c r="D1760" s="23"/>
      <c r="E1760" s="23"/>
      <c r="F1760" s="21"/>
      <c r="G1760" s="21"/>
      <c r="H1760" s="21"/>
      <c r="I1760" s="511"/>
    </row>
    <row r="1761" spans="1:9">
      <c r="A1761" s="509"/>
      <c r="B1761" s="510"/>
      <c r="C1761" s="23"/>
      <c r="D1761" s="23"/>
      <c r="E1761" s="23"/>
      <c r="F1761" s="21"/>
      <c r="G1761" s="21"/>
      <c r="H1761" s="21"/>
      <c r="I1761" s="511"/>
    </row>
    <row r="1762" spans="1:9">
      <c r="A1762" s="509"/>
      <c r="B1762" s="510"/>
      <c r="C1762" s="23"/>
      <c r="D1762" s="23"/>
      <c r="E1762" s="23"/>
      <c r="F1762" s="21"/>
      <c r="G1762" s="21"/>
      <c r="H1762" s="21"/>
      <c r="I1762" s="511"/>
    </row>
    <row r="1763" spans="1:9">
      <c r="A1763" s="509"/>
      <c r="B1763" s="510"/>
      <c r="C1763" s="23"/>
      <c r="D1763" s="23"/>
      <c r="E1763" s="23"/>
      <c r="F1763" s="21"/>
      <c r="G1763" s="21"/>
      <c r="H1763" s="21"/>
      <c r="I1763" s="511"/>
    </row>
    <row r="1764" spans="1:9">
      <c r="A1764" s="509"/>
      <c r="B1764" s="510"/>
      <c r="C1764" s="23"/>
      <c r="D1764" s="23"/>
      <c r="E1764" s="23"/>
      <c r="F1764" s="21"/>
      <c r="G1764" s="21"/>
      <c r="H1764" s="21"/>
      <c r="I1764" s="511"/>
    </row>
    <row r="1765" spans="1:9">
      <c r="A1765" s="509"/>
      <c r="B1765" s="510"/>
      <c r="C1765" s="23"/>
      <c r="D1765" s="23"/>
      <c r="E1765" s="23"/>
      <c r="F1765" s="21"/>
      <c r="G1765" s="21"/>
      <c r="H1765" s="21"/>
      <c r="I1765" s="511"/>
    </row>
    <row r="1766" spans="1:9">
      <c r="A1766" s="509"/>
      <c r="B1766" s="510"/>
      <c r="C1766" s="23"/>
      <c r="D1766" s="23"/>
      <c r="E1766" s="23"/>
      <c r="F1766" s="21"/>
      <c r="G1766" s="21"/>
      <c r="H1766" s="21"/>
      <c r="I1766" s="511"/>
    </row>
    <row r="1767" spans="1:9">
      <c r="A1767" s="509"/>
      <c r="B1767" s="510"/>
      <c r="C1767" s="23"/>
      <c r="D1767" s="23"/>
      <c r="E1767" s="23"/>
      <c r="F1767" s="21"/>
      <c r="G1767" s="21"/>
      <c r="H1767" s="21"/>
      <c r="I1767" s="511"/>
    </row>
    <row r="1768" spans="1:9">
      <c r="A1768" s="509"/>
      <c r="B1768" s="510"/>
      <c r="C1768" s="23"/>
      <c r="D1768" s="23"/>
      <c r="E1768" s="23"/>
      <c r="F1768" s="21"/>
      <c r="G1768" s="21"/>
      <c r="H1768" s="21"/>
      <c r="I1768" s="511"/>
    </row>
    <row r="1769" spans="1:9">
      <c r="A1769" s="509"/>
      <c r="B1769" s="510"/>
      <c r="C1769" s="23"/>
      <c r="D1769" s="23"/>
      <c r="E1769" s="23"/>
      <c r="F1769" s="21"/>
      <c r="G1769" s="21"/>
      <c r="H1769" s="21"/>
      <c r="I1769" s="511"/>
    </row>
    <row r="1770" spans="1:9">
      <c r="A1770" s="509"/>
      <c r="B1770" s="510"/>
      <c r="C1770" s="23"/>
      <c r="D1770" s="23"/>
      <c r="E1770" s="23"/>
      <c r="F1770" s="21"/>
      <c r="G1770" s="21"/>
      <c r="H1770" s="21"/>
      <c r="I1770" s="511"/>
    </row>
    <row r="1771" spans="1:9">
      <c r="A1771" s="509"/>
      <c r="B1771" s="510"/>
      <c r="C1771" s="23"/>
      <c r="D1771" s="23"/>
      <c r="E1771" s="23"/>
      <c r="F1771" s="21"/>
      <c r="G1771" s="21"/>
      <c r="H1771" s="21"/>
      <c r="I1771" s="511"/>
    </row>
    <row r="1772" spans="1:9">
      <c r="A1772" s="509"/>
      <c r="B1772" s="510"/>
      <c r="C1772" s="23"/>
      <c r="D1772" s="23"/>
      <c r="E1772" s="23"/>
      <c r="F1772" s="21"/>
      <c r="G1772" s="21"/>
      <c r="H1772" s="21"/>
      <c r="I1772" s="511"/>
    </row>
    <row r="1773" spans="1:9">
      <c r="A1773" s="509"/>
      <c r="B1773" s="510"/>
      <c r="C1773" s="23"/>
      <c r="D1773" s="23"/>
      <c r="E1773" s="23"/>
      <c r="F1773" s="21"/>
      <c r="G1773" s="21"/>
      <c r="H1773" s="21"/>
      <c r="I1773" s="511"/>
    </row>
    <row r="1774" spans="1:9">
      <c r="A1774" s="509"/>
      <c r="B1774" s="510"/>
      <c r="C1774" s="23"/>
      <c r="D1774" s="23"/>
      <c r="E1774" s="23"/>
      <c r="F1774" s="21"/>
      <c r="G1774" s="21"/>
      <c r="H1774" s="21"/>
      <c r="I1774" s="511"/>
    </row>
    <row r="1775" spans="1:9">
      <c r="A1775" s="509"/>
      <c r="B1775" s="510"/>
      <c r="C1775" s="23"/>
      <c r="D1775" s="23"/>
      <c r="E1775" s="23"/>
      <c r="F1775" s="21"/>
      <c r="G1775" s="21"/>
      <c r="H1775" s="21"/>
      <c r="I1775" s="511"/>
    </row>
    <row r="1776" spans="1:9">
      <c r="A1776" s="509"/>
      <c r="B1776" s="510"/>
      <c r="C1776" s="23"/>
      <c r="D1776" s="23"/>
      <c r="E1776" s="23"/>
      <c r="F1776" s="21"/>
      <c r="G1776" s="21"/>
      <c r="H1776" s="21"/>
      <c r="I1776" s="511"/>
    </row>
    <row r="1777" spans="1:9">
      <c r="A1777" s="509"/>
      <c r="B1777" s="510"/>
      <c r="C1777" s="23"/>
      <c r="D1777" s="23"/>
      <c r="E1777" s="23"/>
      <c r="F1777" s="21"/>
      <c r="G1777" s="21"/>
      <c r="H1777" s="21"/>
      <c r="I1777" s="511"/>
    </row>
    <row r="1778" spans="1:9">
      <c r="A1778" s="509"/>
      <c r="B1778" s="510"/>
      <c r="C1778" s="23"/>
      <c r="D1778" s="23"/>
      <c r="E1778" s="23"/>
      <c r="F1778" s="21"/>
      <c r="G1778" s="21"/>
      <c r="H1778" s="21"/>
      <c r="I1778" s="511"/>
    </row>
    <row r="1779" spans="1:9">
      <c r="A1779" s="509"/>
      <c r="B1779" s="510"/>
      <c r="C1779" s="23"/>
      <c r="D1779" s="23"/>
      <c r="E1779" s="23"/>
      <c r="F1779" s="21"/>
      <c r="G1779" s="21"/>
      <c r="H1779" s="21"/>
      <c r="I1779" s="511"/>
    </row>
    <row r="1780" spans="1:9">
      <c r="A1780" s="509"/>
      <c r="B1780" s="510"/>
      <c r="C1780" s="23"/>
      <c r="D1780" s="23"/>
      <c r="E1780" s="23"/>
      <c r="F1780" s="21"/>
      <c r="G1780" s="21"/>
      <c r="H1780" s="21"/>
      <c r="I1780" s="511"/>
    </row>
    <row r="1781" spans="1:9">
      <c r="A1781" s="509"/>
      <c r="B1781" s="510"/>
      <c r="C1781" s="23"/>
      <c r="D1781" s="23"/>
      <c r="E1781" s="23"/>
      <c r="F1781" s="21"/>
      <c r="G1781" s="21"/>
      <c r="H1781" s="21"/>
      <c r="I1781" s="511"/>
    </row>
    <row r="1782" spans="1:9">
      <c r="A1782" s="509"/>
      <c r="B1782" s="510"/>
      <c r="C1782" s="23"/>
      <c r="D1782" s="23"/>
      <c r="E1782" s="23"/>
      <c r="F1782" s="21"/>
      <c r="G1782" s="21"/>
      <c r="H1782" s="21"/>
      <c r="I1782" s="511"/>
    </row>
    <row r="1783" spans="1:9">
      <c r="A1783" s="509"/>
      <c r="B1783" s="510"/>
      <c r="C1783" s="23"/>
      <c r="D1783" s="23"/>
      <c r="E1783" s="23"/>
      <c r="F1783" s="21"/>
      <c r="G1783" s="21"/>
      <c r="H1783" s="21"/>
      <c r="I1783" s="511"/>
    </row>
    <row r="1784" spans="1:9">
      <c r="A1784" s="509"/>
      <c r="B1784" s="510"/>
      <c r="C1784" s="23"/>
      <c r="D1784" s="23"/>
      <c r="E1784" s="23"/>
      <c r="F1784" s="21"/>
      <c r="G1784" s="21"/>
      <c r="H1784" s="21"/>
      <c r="I1784" s="511"/>
    </row>
    <row r="1785" spans="1:9">
      <c r="A1785" s="509"/>
      <c r="B1785" s="510"/>
      <c r="C1785" s="23"/>
      <c r="D1785" s="23"/>
      <c r="E1785" s="23"/>
      <c r="F1785" s="21"/>
      <c r="G1785" s="21"/>
      <c r="H1785" s="21"/>
      <c r="I1785" s="511"/>
    </row>
    <row r="1786" spans="1:9">
      <c r="A1786" s="509"/>
      <c r="B1786" s="510"/>
      <c r="C1786" s="23"/>
      <c r="D1786" s="23"/>
      <c r="E1786" s="23"/>
      <c r="F1786" s="21"/>
      <c r="G1786" s="21"/>
      <c r="H1786" s="21"/>
      <c r="I1786" s="511"/>
    </row>
    <row r="1787" spans="1:9">
      <c r="A1787" s="509"/>
      <c r="B1787" s="510"/>
      <c r="C1787" s="23"/>
      <c r="D1787" s="23"/>
      <c r="E1787" s="23"/>
      <c r="F1787" s="21"/>
      <c r="G1787" s="21"/>
      <c r="H1787" s="21"/>
      <c r="I1787" s="511"/>
    </row>
    <row r="1788" spans="1:9">
      <c r="A1788" s="509"/>
      <c r="B1788" s="510"/>
      <c r="C1788" s="23"/>
      <c r="D1788" s="23"/>
      <c r="E1788" s="23"/>
      <c r="F1788" s="21"/>
      <c r="G1788" s="21"/>
      <c r="H1788" s="21"/>
      <c r="I1788" s="511"/>
    </row>
    <row r="1789" spans="1:9">
      <c r="A1789" s="509"/>
      <c r="B1789" s="510"/>
      <c r="C1789" s="23"/>
      <c r="D1789" s="23"/>
      <c r="E1789" s="23"/>
      <c r="F1789" s="21"/>
      <c r="G1789" s="21"/>
      <c r="H1789" s="21"/>
      <c r="I1789" s="511"/>
    </row>
    <row r="1790" spans="1:9">
      <c r="A1790" s="509"/>
      <c r="B1790" s="510"/>
      <c r="C1790" s="23"/>
      <c r="D1790" s="23"/>
      <c r="E1790" s="23"/>
      <c r="F1790" s="21"/>
      <c r="G1790" s="21"/>
      <c r="H1790" s="21"/>
      <c r="I1790" s="511"/>
    </row>
    <row r="1791" spans="1:9">
      <c r="A1791" s="509"/>
      <c r="B1791" s="510"/>
      <c r="C1791" s="23"/>
      <c r="D1791" s="23"/>
      <c r="E1791" s="23"/>
      <c r="F1791" s="21"/>
      <c r="G1791" s="21"/>
      <c r="H1791" s="21"/>
      <c r="I1791" s="511"/>
    </row>
    <row r="1792" spans="1:9">
      <c r="A1792" s="509"/>
      <c r="B1792" s="510"/>
      <c r="C1792" s="23"/>
      <c r="D1792" s="23"/>
      <c r="E1792" s="23"/>
      <c r="F1792" s="21"/>
      <c r="G1792" s="21"/>
      <c r="H1792" s="21"/>
      <c r="I1792" s="511"/>
    </row>
    <row r="1793" spans="1:9">
      <c r="A1793" s="509"/>
      <c r="B1793" s="510"/>
      <c r="C1793" s="23"/>
      <c r="D1793" s="23"/>
      <c r="E1793" s="23"/>
      <c r="F1793" s="21"/>
      <c r="G1793" s="21"/>
      <c r="H1793" s="21"/>
      <c r="I1793" s="511"/>
    </row>
    <row r="1794" spans="1:9">
      <c r="A1794" s="509"/>
      <c r="B1794" s="510"/>
      <c r="C1794" s="23"/>
      <c r="D1794" s="23"/>
      <c r="E1794" s="23"/>
      <c r="F1794" s="21"/>
      <c r="G1794" s="21"/>
      <c r="H1794" s="21"/>
      <c r="I1794" s="511"/>
    </row>
    <row r="1795" spans="1:9">
      <c r="A1795" s="509"/>
      <c r="B1795" s="510"/>
      <c r="C1795" s="23"/>
      <c r="D1795" s="23"/>
      <c r="E1795" s="23"/>
      <c r="F1795" s="21"/>
      <c r="G1795" s="21"/>
      <c r="H1795" s="21"/>
      <c r="I1795" s="511"/>
    </row>
    <row r="1796" spans="1:9">
      <c r="A1796" s="509"/>
      <c r="B1796" s="510"/>
      <c r="C1796" s="23"/>
      <c r="D1796" s="23"/>
      <c r="E1796" s="23"/>
      <c r="F1796" s="21"/>
      <c r="G1796" s="21"/>
      <c r="H1796" s="21"/>
      <c r="I1796" s="511"/>
    </row>
    <row r="1797" spans="1:9">
      <c r="A1797" s="509"/>
      <c r="B1797" s="510"/>
      <c r="C1797" s="23"/>
      <c r="D1797" s="23"/>
      <c r="E1797" s="23"/>
      <c r="F1797" s="21"/>
      <c r="G1797" s="21"/>
      <c r="H1797" s="21"/>
      <c r="I1797" s="511"/>
    </row>
    <row r="1798" spans="1:9">
      <c r="A1798" s="509"/>
      <c r="B1798" s="510"/>
      <c r="C1798" s="23"/>
      <c r="D1798" s="23"/>
      <c r="E1798" s="23"/>
      <c r="F1798" s="21"/>
      <c r="G1798" s="21"/>
      <c r="H1798" s="21"/>
      <c r="I1798" s="511"/>
    </row>
    <row r="1799" spans="1:9">
      <c r="A1799" s="509"/>
      <c r="B1799" s="510"/>
      <c r="C1799" s="23"/>
      <c r="D1799" s="23"/>
      <c r="E1799" s="23"/>
      <c r="F1799" s="21"/>
      <c r="G1799" s="21"/>
      <c r="H1799" s="21"/>
      <c r="I1799" s="511"/>
    </row>
    <row r="1800" spans="1:9">
      <c r="A1800" s="509"/>
      <c r="B1800" s="510"/>
      <c r="C1800" s="23"/>
      <c r="D1800" s="23"/>
      <c r="E1800" s="23"/>
      <c r="F1800" s="21"/>
      <c r="G1800" s="21"/>
      <c r="H1800" s="21"/>
      <c r="I1800" s="511"/>
    </row>
    <row r="1801" spans="1:9">
      <c r="A1801" s="509"/>
      <c r="B1801" s="510"/>
      <c r="C1801" s="23"/>
      <c r="D1801" s="23"/>
      <c r="E1801" s="23"/>
      <c r="F1801" s="21"/>
      <c r="G1801" s="21"/>
      <c r="H1801" s="21"/>
      <c r="I1801" s="511"/>
    </row>
    <row r="1802" spans="1:9">
      <c r="A1802" s="509"/>
      <c r="B1802" s="510"/>
      <c r="C1802" s="23"/>
      <c r="D1802" s="23"/>
      <c r="E1802" s="23"/>
      <c r="F1802" s="21"/>
      <c r="G1802" s="21"/>
      <c r="H1802" s="21"/>
      <c r="I1802" s="511"/>
    </row>
    <row r="1803" spans="1:9">
      <c r="A1803" s="509"/>
      <c r="B1803" s="510"/>
      <c r="C1803" s="23"/>
      <c r="D1803" s="23"/>
      <c r="E1803" s="23"/>
      <c r="F1803" s="21"/>
      <c r="G1803" s="21"/>
      <c r="H1803" s="21"/>
      <c r="I1803" s="511"/>
    </row>
    <row r="1804" spans="1:9">
      <c r="A1804" s="509"/>
      <c r="B1804" s="510"/>
      <c r="C1804" s="23"/>
      <c r="D1804" s="23"/>
      <c r="E1804" s="23"/>
      <c r="F1804" s="21"/>
      <c r="G1804" s="21"/>
      <c r="H1804" s="21"/>
      <c r="I1804" s="511"/>
    </row>
    <row r="1805" spans="1:9">
      <c r="A1805" s="509"/>
      <c r="B1805" s="510"/>
      <c r="C1805" s="23"/>
      <c r="D1805" s="23"/>
      <c r="E1805" s="23"/>
      <c r="F1805" s="21"/>
      <c r="G1805" s="21"/>
      <c r="H1805" s="21"/>
      <c r="I1805" s="511"/>
    </row>
    <row r="1806" spans="1:9">
      <c r="A1806" s="509"/>
      <c r="B1806" s="510"/>
      <c r="C1806" s="23"/>
      <c r="D1806" s="23"/>
      <c r="E1806" s="23"/>
      <c r="F1806" s="21"/>
      <c r="G1806" s="21"/>
      <c r="H1806" s="21"/>
      <c r="I1806" s="511"/>
    </row>
    <row r="1807" spans="1:9">
      <c r="A1807" s="509"/>
      <c r="B1807" s="510"/>
      <c r="C1807" s="23"/>
      <c r="D1807" s="23"/>
      <c r="E1807" s="23"/>
      <c r="F1807" s="21"/>
      <c r="G1807" s="21"/>
      <c r="H1807" s="21"/>
      <c r="I1807" s="511"/>
    </row>
    <row r="1808" spans="1:9">
      <c r="A1808" s="509"/>
      <c r="B1808" s="510"/>
      <c r="C1808" s="23"/>
      <c r="D1808" s="23"/>
      <c r="E1808" s="23"/>
      <c r="F1808" s="21"/>
      <c r="G1808" s="21"/>
      <c r="H1808" s="21"/>
      <c r="I1808" s="511"/>
    </row>
    <row r="1809" spans="1:9">
      <c r="A1809" s="509"/>
      <c r="B1809" s="510"/>
      <c r="C1809" s="23"/>
      <c r="D1809" s="23"/>
      <c r="E1809" s="23"/>
      <c r="F1809" s="21"/>
      <c r="G1809" s="21"/>
      <c r="H1809" s="21"/>
      <c r="I1809" s="511"/>
    </row>
    <row r="1810" spans="1:9">
      <c r="A1810" s="509"/>
      <c r="B1810" s="510"/>
      <c r="C1810" s="23"/>
      <c r="D1810" s="23"/>
      <c r="E1810" s="23"/>
      <c r="F1810" s="21"/>
      <c r="G1810" s="21"/>
      <c r="H1810" s="21"/>
      <c r="I1810" s="511"/>
    </row>
    <row r="1811" spans="1:9">
      <c r="A1811" s="509"/>
      <c r="B1811" s="510"/>
      <c r="C1811" s="23"/>
      <c r="D1811" s="23"/>
      <c r="E1811" s="23"/>
      <c r="F1811" s="21"/>
      <c r="G1811" s="21"/>
      <c r="H1811" s="21"/>
      <c r="I1811" s="511"/>
    </row>
    <row r="1812" spans="1:9">
      <c r="A1812" s="509"/>
      <c r="B1812" s="510"/>
      <c r="C1812" s="23"/>
      <c r="D1812" s="23"/>
      <c r="E1812" s="23"/>
      <c r="F1812" s="21"/>
      <c r="G1812" s="21"/>
      <c r="H1812" s="21"/>
      <c r="I1812" s="511"/>
    </row>
    <row r="1813" spans="1:9">
      <c r="A1813" s="509"/>
      <c r="B1813" s="510"/>
      <c r="C1813" s="23"/>
      <c r="D1813" s="23"/>
      <c r="E1813" s="23"/>
      <c r="F1813" s="21"/>
      <c r="G1813" s="21"/>
      <c r="H1813" s="21"/>
      <c r="I1813" s="511"/>
    </row>
    <row r="1814" spans="1:9">
      <c r="A1814" s="509"/>
      <c r="B1814" s="510"/>
      <c r="C1814" s="23"/>
      <c r="D1814" s="23"/>
      <c r="E1814" s="23"/>
      <c r="F1814" s="21"/>
      <c r="G1814" s="21"/>
      <c r="H1814" s="21"/>
      <c r="I1814" s="511"/>
    </row>
    <row r="1815" spans="1:9">
      <c r="A1815" s="509"/>
      <c r="B1815" s="510"/>
      <c r="C1815" s="23"/>
      <c r="D1815" s="23"/>
      <c r="E1815" s="23"/>
      <c r="F1815" s="21"/>
      <c r="G1815" s="21"/>
      <c r="H1815" s="21"/>
      <c r="I1815" s="511"/>
    </row>
    <row r="1816" spans="1:9">
      <c r="A1816" s="509"/>
      <c r="B1816" s="510"/>
      <c r="C1816" s="23"/>
      <c r="D1816" s="23"/>
      <c r="E1816" s="23"/>
      <c r="F1816" s="21"/>
      <c r="G1816" s="21"/>
      <c r="H1816" s="21"/>
      <c r="I1816" s="511"/>
    </row>
    <row r="1817" spans="1:9">
      <c r="A1817" s="509"/>
      <c r="B1817" s="510"/>
      <c r="C1817" s="23"/>
      <c r="D1817" s="23"/>
      <c r="E1817" s="23"/>
      <c r="F1817" s="21"/>
      <c r="G1817" s="21"/>
      <c r="H1817" s="21"/>
      <c r="I1817" s="511"/>
    </row>
    <row r="1818" spans="1:9">
      <c r="A1818" s="509"/>
      <c r="B1818" s="510"/>
      <c r="C1818" s="23"/>
      <c r="D1818" s="23"/>
      <c r="E1818" s="23"/>
      <c r="F1818" s="21"/>
      <c r="G1818" s="21"/>
      <c r="H1818" s="21"/>
      <c r="I1818" s="511"/>
    </row>
    <row r="1819" spans="1:9">
      <c r="A1819" s="509"/>
      <c r="B1819" s="510"/>
      <c r="C1819" s="23"/>
      <c r="D1819" s="23"/>
      <c r="E1819" s="23"/>
      <c r="F1819" s="21"/>
      <c r="G1819" s="21"/>
      <c r="H1819" s="21"/>
      <c r="I1819" s="511"/>
    </row>
    <row r="1820" spans="1:9">
      <c r="A1820" s="509"/>
      <c r="B1820" s="510"/>
      <c r="C1820" s="23"/>
      <c r="D1820" s="23"/>
      <c r="E1820" s="23"/>
      <c r="F1820" s="21"/>
      <c r="G1820" s="21"/>
      <c r="H1820" s="21"/>
      <c r="I1820" s="511"/>
    </row>
    <row r="1821" spans="1:9">
      <c r="A1821" s="509"/>
      <c r="B1821" s="510"/>
      <c r="C1821" s="23"/>
      <c r="D1821" s="23"/>
      <c r="E1821" s="23"/>
      <c r="F1821" s="21"/>
      <c r="G1821" s="21"/>
      <c r="H1821" s="21"/>
      <c r="I1821" s="511"/>
    </row>
    <row r="1822" spans="1:9">
      <c r="A1822" s="509"/>
      <c r="B1822" s="510"/>
      <c r="C1822" s="23"/>
      <c r="D1822" s="23"/>
      <c r="E1822" s="23"/>
      <c r="F1822" s="21"/>
      <c r="G1822" s="21"/>
      <c r="H1822" s="21"/>
      <c r="I1822" s="511"/>
    </row>
    <row r="1823" spans="1:9">
      <c r="A1823" s="509"/>
      <c r="B1823" s="510"/>
      <c r="C1823" s="23"/>
      <c r="D1823" s="23"/>
      <c r="E1823" s="23"/>
      <c r="F1823" s="21"/>
      <c r="G1823" s="21"/>
      <c r="H1823" s="21"/>
      <c r="I1823" s="511"/>
    </row>
    <row r="1824" spans="1:9">
      <c r="A1824" s="509"/>
      <c r="B1824" s="510"/>
      <c r="C1824" s="23"/>
      <c r="D1824" s="23"/>
      <c r="E1824" s="23"/>
      <c r="F1824" s="21"/>
      <c r="G1824" s="21"/>
      <c r="H1824" s="21"/>
      <c r="I1824" s="511"/>
    </row>
    <row r="1825" spans="1:9">
      <c r="A1825" s="509"/>
      <c r="B1825" s="510"/>
      <c r="C1825" s="23"/>
      <c r="D1825" s="23"/>
      <c r="E1825" s="23"/>
      <c r="F1825" s="21"/>
      <c r="G1825" s="21"/>
      <c r="H1825" s="21"/>
      <c r="I1825" s="511"/>
    </row>
    <row r="1826" spans="1:9">
      <c r="A1826" s="509"/>
      <c r="B1826" s="510"/>
      <c r="C1826" s="23"/>
      <c r="D1826" s="23"/>
      <c r="E1826" s="23"/>
      <c r="F1826" s="21"/>
      <c r="G1826" s="21"/>
      <c r="H1826" s="21"/>
      <c r="I1826" s="511"/>
    </row>
    <row r="1827" spans="1:9">
      <c r="A1827" s="509"/>
      <c r="B1827" s="510"/>
      <c r="C1827" s="23"/>
      <c r="D1827" s="23"/>
      <c r="E1827" s="23"/>
      <c r="F1827" s="21"/>
      <c r="G1827" s="21"/>
      <c r="H1827" s="21"/>
      <c r="I1827" s="511"/>
    </row>
    <row r="1828" spans="1:9">
      <c r="A1828" s="509"/>
      <c r="B1828" s="510"/>
      <c r="C1828" s="23"/>
      <c r="D1828" s="23"/>
      <c r="E1828" s="23"/>
      <c r="F1828" s="21"/>
      <c r="G1828" s="21"/>
      <c r="H1828" s="21"/>
      <c r="I1828" s="511"/>
    </row>
    <row r="1829" spans="1:9">
      <c r="A1829" s="509"/>
      <c r="B1829" s="510"/>
      <c r="C1829" s="23"/>
      <c r="D1829" s="23"/>
      <c r="E1829" s="23"/>
      <c r="F1829" s="21"/>
      <c r="G1829" s="21"/>
      <c r="H1829" s="21"/>
      <c r="I1829" s="511"/>
    </row>
    <row r="1830" spans="1:9">
      <c r="A1830" s="509"/>
      <c r="B1830" s="510"/>
      <c r="C1830" s="23"/>
      <c r="D1830" s="23"/>
      <c r="E1830" s="23"/>
      <c r="F1830" s="21"/>
      <c r="G1830" s="21"/>
      <c r="H1830" s="21"/>
      <c r="I1830" s="511"/>
    </row>
    <row r="1831" spans="1:9">
      <c r="A1831" s="509"/>
      <c r="B1831" s="510"/>
      <c r="C1831" s="23"/>
      <c r="D1831" s="23"/>
      <c r="E1831" s="23"/>
      <c r="F1831" s="21"/>
      <c r="G1831" s="21"/>
      <c r="H1831" s="21"/>
      <c r="I1831" s="511"/>
    </row>
    <row r="1832" spans="1:9">
      <c r="A1832" s="509"/>
      <c r="B1832" s="510"/>
      <c r="C1832" s="23"/>
      <c r="D1832" s="23"/>
      <c r="E1832" s="23"/>
      <c r="F1832" s="21"/>
      <c r="G1832" s="21"/>
      <c r="H1832" s="21"/>
      <c r="I1832" s="511"/>
    </row>
    <row r="1833" spans="1:9">
      <c r="A1833" s="509"/>
      <c r="B1833" s="510"/>
      <c r="C1833" s="23"/>
      <c r="D1833" s="23"/>
      <c r="E1833" s="23"/>
      <c r="F1833" s="21"/>
      <c r="G1833" s="21"/>
      <c r="H1833" s="21"/>
      <c r="I1833" s="511"/>
    </row>
    <row r="1834" spans="1:9">
      <c r="A1834" s="509"/>
      <c r="B1834" s="510"/>
      <c r="C1834" s="23"/>
      <c r="D1834" s="23"/>
      <c r="E1834" s="23"/>
      <c r="F1834" s="21"/>
      <c r="G1834" s="21"/>
      <c r="H1834" s="21"/>
      <c r="I1834" s="511"/>
    </row>
    <row r="1835" spans="1:9">
      <c r="A1835" s="509"/>
      <c r="B1835" s="510"/>
      <c r="C1835" s="23"/>
      <c r="D1835" s="23"/>
      <c r="E1835" s="23"/>
      <c r="F1835" s="21"/>
      <c r="G1835" s="21"/>
      <c r="H1835" s="21"/>
      <c r="I1835" s="511"/>
    </row>
    <row r="1836" spans="1:9">
      <c r="A1836" s="509"/>
      <c r="B1836" s="510"/>
      <c r="C1836" s="23"/>
      <c r="D1836" s="23"/>
      <c r="E1836" s="23"/>
      <c r="F1836" s="21"/>
      <c r="G1836" s="21"/>
      <c r="H1836" s="21"/>
      <c r="I1836" s="511"/>
    </row>
    <row r="1837" spans="1:9">
      <c r="A1837" s="509"/>
      <c r="B1837" s="510"/>
      <c r="C1837" s="23"/>
      <c r="D1837" s="23"/>
      <c r="E1837" s="23"/>
      <c r="F1837" s="21"/>
      <c r="G1837" s="21"/>
      <c r="H1837" s="21"/>
      <c r="I1837" s="511"/>
    </row>
    <row r="1838" spans="1:9">
      <c r="A1838" s="509"/>
      <c r="B1838" s="510"/>
      <c r="C1838" s="23"/>
      <c r="D1838" s="23"/>
      <c r="E1838" s="23"/>
      <c r="F1838" s="21"/>
      <c r="G1838" s="21"/>
      <c r="H1838" s="21"/>
      <c r="I1838" s="511"/>
    </row>
    <row r="1839" spans="1:9">
      <c r="A1839" s="509"/>
      <c r="B1839" s="510"/>
      <c r="C1839" s="23"/>
      <c r="D1839" s="23"/>
      <c r="E1839" s="23"/>
      <c r="F1839" s="21"/>
      <c r="G1839" s="21"/>
      <c r="H1839" s="21"/>
      <c r="I1839" s="511"/>
    </row>
    <row r="1840" spans="1:9">
      <c r="A1840" s="509"/>
      <c r="B1840" s="510"/>
      <c r="C1840" s="23"/>
      <c r="D1840" s="23"/>
      <c r="E1840" s="23"/>
      <c r="F1840" s="21"/>
      <c r="G1840" s="21"/>
      <c r="H1840" s="21"/>
      <c r="I1840" s="511"/>
    </row>
    <row r="1841" spans="1:9">
      <c r="A1841" s="509"/>
      <c r="B1841" s="510"/>
      <c r="C1841" s="23"/>
      <c r="D1841" s="23"/>
      <c r="E1841" s="23"/>
      <c r="F1841" s="21"/>
      <c r="G1841" s="21"/>
      <c r="H1841" s="21"/>
      <c r="I1841" s="511"/>
    </row>
    <row r="1842" spans="1:9">
      <c r="A1842" s="509"/>
      <c r="B1842" s="510"/>
      <c r="C1842" s="23"/>
      <c r="D1842" s="23"/>
      <c r="E1842" s="23"/>
      <c r="F1842" s="21"/>
      <c r="G1842" s="21"/>
      <c r="H1842" s="21"/>
      <c r="I1842" s="511"/>
    </row>
    <row r="1843" spans="1:9">
      <c r="A1843" s="509"/>
      <c r="B1843" s="510"/>
      <c r="C1843" s="23"/>
      <c r="D1843" s="23"/>
      <c r="E1843" s="23"/>
      <c r="F1843" s="21"/>
      <c r="G1843" s="21"/>
      <c r="H1843" s="21"/>
      <c r="I1843" s="511"/>
    </row>
    <row r="1844" spans="1:9">
      <c r="A1844" s="509"/>
      <c r="B1844" s="510"/>
      <c r="C1844" s="23"/>
      <c r="D1844" s="23"/>
      <c r="E1844" s="23"/>
      <c r="F1844" s="21"/>
      <c r="G1844" s="21"/>
      <c r="H1844" s="21"/>
      <c r="I1844" s="511"/>
    </row>
    <row r="1845" spans="1:9">
      <c r="A1845" s="509"/>
      <c r="B1845" s="510"/>
      <c r="C1845" s="23"/>
      <c r="D1845" s="23"/>
      <c r="E1845" s="23"/>
      <c r="F1845" s="21"/>
      <c r="G1845" s="21"/>
      <c r="H1845" s="21"/>
      <c r="I1845" s="511"/>
    </row>
    <row r="1846" spans="1:9">
      <c r="A1846" s="509"/>
      <c r="B1846" s="510"/>
      <c r="C1846" s="23"/>
      <c r="D1846" s="23"/>
      <c r="E1846" s="23"/>
      <c r="F1846" s="21"/>
      <c r="G1846" s="21"/>
      <c r="H1846" s="21"/>
      <c r="I1846" s="511"/>
    </row>
    <row r="1847" spans="1:9">
      <c r="A1847" s="509"/>
      <c r="B1847" s="510"/>
      <c r="C1847" s="23"/>
      <c r="D1847" s="23"/>
      <c r="E1847" s="23"/>
      <c r="F1847" s="21"/>
      <c r="G1847" s="21"/>
      <c r="H1847" s="21"/>
      <c r="I1847" s="511"/>
    </row>
    <row r="1848" spans="1:9">
      <c r="A1848" s="509"/>
      <c r="B1848" s="510"/>
      <c r="C1848" s="23"/>
      <c r="D1848" s="23"/>
      <c r="E1848" s="23"/>
      <c r="F1848" s="21"/>
      <c r="G1848" s="21"/>
      <c r="H1848" s="21"/>
      <c r="I1848" s="511"/>
    </row>
    <row r="1849" spans="1:9">
      <c r="A1849" s="509"/>
      <c r="B1849" s="510"/>
      <c r="C1849" s="23"/>
      <c r="D1849" s="23"/>
      <c r="E1849" s="23"/>
      <c r="F1849" s="21"/>
      <c r="G1849" s="21"/>
      <c r="H1849" s="21"/>
      <c r="I1849" s="511"/>
    </row>
    <row r="1850" spans="1:9">
      <c r="A1850" s="509"/>
      <c r="B1850" s="510"/>
      <c r="C1850" s="23"/>
      <c r="D1850" s="23"/>
      <c r="E1850" s="23"/>
      <c r="F1850" s="21"/>
      <c r="G1850" s="21"/>
      <c r="H1850" s="21"/>
      <c r="I1850" s="511"/>
    </row>
    <row r="1851" spans="1:9">
      <c r="A1851" s="509"/>
      <c r="B1851" s="510"/>
      <c r="C1851" s="23"/>
      <c r="D1851" s="23"/>
      <c r="E1851" s="23"/>
      <c r="F1851" s="21"/>
      <c r="G1851" s="21"/>
      <c r="H1851" s="21"/>
      <c r="I1851" s="511"/>
    </row>
    <row r="1852" spans="1:9">
      <c r="A1852" s="509"/>
      <c r="B1852" s="510"/>
      <c r="C1852" s="23"/>
      <c r="D1852" s="23"/>
      <c r="E1852" s="23"/>
      <c r="F1852" s="21"/>
      <c r="G1852" s="21"/>
      <c r="H1852" s="21"/>
      <c r="I1852" s="511"/>
    </row>
    <row r="1853" spans="1:9">
      <c r="A1853" s="509"/>
      <c r="B1853" s="510"/>
      <c r="C1853" s="23"/>
      <c r="D1853" s="23"/>
      <c r="E1853" s="23"/>
      <c r="F1853" s="21"/>
      <c r="G1853" s="21"/>
      <c r="H1853" s="21"/>
      <c r="I1853" s="511"/>
    </row>
    <row r="1854" spans="1:9">
      <c r="A1854" s="509"/>
      <c r="B1854" s="510"/>
      <c r="C1854" s="23"/>
      <c r="D1854" s="23"/>
      <c r="E1854" s="23"/>
      <c r="F1854" s="21"/>
      <c r="G1854" s="21"/>
      <c r="H1854" s="21"/>
      <c r="I1854" s="511"/>
    </row>
    <row r="1855" spans="1:9">
      <c r="A1855" s="509"/>
      <c r="B1855" s="510"/>
      <c r="C1855" s="23"/>
      <c r="D1855" s="23"/>
      <c r="E1855" s="23"/>
      <c r="F1855" s="21"/>
      <c r="G1855" s="21"/>
      <c r="H1855" s="21"/>
      <c r="I1855" s="511"/>
    </row>
    <row r="1856" spans="1:9">
      <c r="A1856" s="509"/>
      <c r="B1856" s="510"/>
      <c r="C1856" s="23"/>
      <c r="D1856" s="23"/>
      <c r="E1856" s="23"/>
      <c r="F1856" s="21"/>
      <c r="G1856" s="21"/>
      <c r="H1856" s="21"/>
      <c r="I1856" s="511"/>
    </row>
    <row r="1857" spans="1:9">
      <c r="A1857" s="509"/>
      <c r="B1857" s="510"/>
      <c r="C1857" s="23"/>
      <c r="D1857" s="23"/>
      <c r="E1857" s="23"/>
      <c r="F1857" s="21"/>
      <c r="G1857" s="21"/>
      <c r="H1857" s="21"/>
      <c r="I1857" s="511"/>
    </row>
    <row r="1858" spans="1:9">
      <c r="A1858" s="509"/>
      <c r="B1858" s="510"/>
      <c r="C1858" s="23"/>
      <c r="D1858" s="23"/>
      <c r="E1858" s="23"/>
      <c r="F1858" s="21"/>
      <c r="G1858" s="21"/>
      <c r="H1858" s="21"/>
      <c r="I1858" s="511"/>
    </row>
    <row r="1859" spans="1:9">
      <c r="A1859" s="509"/>
      <c r="B1859" s="510"/>
      <c r="C1859" s="23"/>
      <c r="D1859" s="23"/>
      <c r="E1859" s="23"/>
      <c r="F1859" s="21"/>
      <c r="G1859" s="21"/>
      <c r="H1859" s="21"/>
      <c r="I1859" s="511"/>
    </row>
    <row r="1860" spans="1:9">
      <c r="A1860" s="509"/>
      <c r="B1860" s="510"/>
      <c r="C1860" s="23"/>
      <c r="D1860" s="23"/>
      <c r="E1860" s="23"/>
      <c r="F1860" s="21"/>
      <c r="G1860" s="21"/>
      <c r="H1860" s="21"/>
      <c r="I1860" s="511"/>
    </row>
    <row r="1861" spans="1:9">
      <c r="A1861" s="509"/>
      <c r="B1861" s="510"/>
      <c r="C1861" s="23"/>
      <c r="D1861" s="23"/>
      <c r="E1861" s="23"/>
      <c r="F1861" s="21"/>
      <c r="G1861" s="21"/>
      <c r="H1861" s="21"/>
      <c r="I1861" s="511"/>
    </row>
    <row r="1862" spans="1:9">
      <c r="A1862" s="509"/>
      <c r="B1862" s="510"/>
      <c r="C1862" s="23"/>
      <c r="D1862" s="23"/>
      <c r="E1862" s="23"/>
      <c r="F1862" s="21"/>
      <c r="G1862" s="21"/>
      <c r="H1862" s="21"/>
      <c r="I1862" s="511"/>
    </row>
    <row r="1863" spans="1:9">
      <c r="A1863" s="509"/>
      <c r="B1863" s="510"/>
      <c r="C1863" s="23"/>
      <c r="D1863" s="23"/>
      <c r="E1863" s="23"/>
      <c r="F1863" s="21"/>
      <c r="G1863" s="21"/>
      <c r="H1863" s="21"/>
      <c r="I1863" s="511"/>
    </row>
    <row r="1864" spans="1:9">
      <c r="A1864" s="509"/>
      <c r="B1864" s="510"/>
      <c r="C1864" s="23"/>
      <c r="D1864" s="23"/>
      <c r="E1864" s="23"/>
      <c r="F1864" s="21"/>
      <c r="G1864" s="21"/>
      <c r="H1864" s="21"/>
      <c r="I1864" s="511"/>
    </row>
    <row r="1865" spans="1:9">
      <c r="A1865" s="509"/>
      <c r="B1865" s="510"/>
      <c r="C1865" s="23"/>
      <c r="D1865" s="23"/>
      <c r="E1865" s="23"/>
      <c r="F1865" s="21"/>
      <c r="G1865" s="21"/>
      <c r="H1865" s="21"/>
      <c r="I1865" s="511"/>
    </row>
    <row r="1866" spans="1:9">
      <c r="A1866" s="509"/>
      <c r="B1866" s="510"/>
      <c r="C1866" s="23"/>
      <c r="D1866" s="23"/>
      <c r="E1866" s="23"/>
      <c r="F1866" s="21"/>
      <c r="G1866" s="21"/>
      <c r="H1866" s="21"/>
      <c r="I1866" s="511"/>
    </row>
    <row r="1867" spans="1:9">
      <c r="A1867" s="509"/>
      <c r="B1867" s="510"/>
      <c r="C1867" s="23"/>
      <c r="D1867" s="23"/>
      <c r="E1867" s="23"/>
      <c r="F1867" s="21"/>
      <c r="G1867" s="21"/>
      <c r="H1867" s="21"/>
      <c r="I1867" s="511"/>
    </row>
    <row r="1868" spans="1:9">
      <c r="A1868" s="509"/>
      <c r="B1868" s="510"/>
      <c r="C1868" s="23"/>
      <c r="D1868" s="23"/>
      <c r="E1868" s="23"/>
      <c r="F1868" s="21"/>
      <c r="G1868" s="21"/>
      <c r="H1868" s="21"/>
      <c r="I1868" s="511"/>
    </row>
    <row r="1869" spans="1:9">
      <c r="A1869" s="509"/>
      <c r="B1869" s="510"/>
      <c r="C1869" s="23"/>
      <c r="D1869" s="23"/>
      <c r="E1869" s="23"/>
      <c r="F1869" s="21"/>
      <c r="G1869" s="21"/>
      <c r="H1869" s="21"/>
      <c r="I1869" s="511"/>
    </row>
    <row r="1870" spans="1:9">
      <c r="A1870" s="509"/>
      <c r="B1870" s="510"/>
      <c r="C1870" s="23"/>
      <c r="D1870" s="23"/>
      <c r="E1870" s="23"/>
      <c r="F1870" s="21"/>
      <c r="G1870" s="21"/>
      <c r="H1870" s="21"/>
      <c r="I1870" s="511"/>
    </row>
    <row r="1871" spans="1:9">
      <c r="A1871" s="509"/>
      <c r="B1871" s="510"/>
      <c r="C1871" s="23"/>
      <c r="D1871" s="23"/>
      <c r="E1871" s="23"/>
      <c r="F1871" s="21"/>
      <c r="G1871" s="21"/>
      <c r="H1871" s="21"/>
      <c r="I1871" s="511"/>
    </row>
    <row r="1872" spans="1:9">
      <c r="A1872" s="509"/>
      <c r="B1872" s="510"/>
      <c r="C1872" s="23"/>
      <c r="D1872" s="23"/>
      <c r="E1872" s="23"/>
      <c r="F1872" s="21"/>
      <c r="G1872" s="21"/>
      <c r="H1872" s="21"/>
      <c r="I1872" s="511"/>
    </row>
    <row r="1873" spans="1:9">
      <c r="A1873" s="509"/>
      <c r="B1873" s="510"/>
      <c r="C1873" s="23"/>
      <c r="D1873" s="23"/>
      <c r="E1873" s="23"/>
      <c r="F1873" s="21"/>
      <c r="G1873" s="21"/>
      <c r="H1873" s="21"/>
      <c r="I1873" s="511"/>
    </row>
    <row r="1874" spans="1:9">
      <c r="A1874" s="509"/>
      <c r="B1874" s="510"/>
      <c r="C1874" s="23"/>
      <c r="D1874" s="23"/>
      <c r="E1874" s="23"/>
      <c r="F1874" s="21"/>
      <c r="G1874" s="21"/>
      <c r="H1874" s="21"/>
      <c r="I1874" s="511"/>
    </row>
    <row r="1875" spans="1:9">
      <c r="A1875" s="509"/>
      <c r="B1875" s="510"/>
      <c r="C1875" s="23"/>
      <c r="D1875" s="23"/>
      <c r="E1875" s="23"/>
      <c r="F1875" s="21"/>
      <c r="G1875" s="21"/>
      <c r="H1875" s="21"/>
      <c r="I1875" s="511"/>
    </row>
    <row r="1876" spans="1:9">
      <c r="A1876" s="509"/>
      <c r="B1876" s="510"/>
      <c r="C1876" s="23"/>
      <c r="D1876" s="23"/>
      <c r="E1876" s="23"/>
      <c r="F1876" s="21"/>
      <c r="G1876" s="21"/>
      <c r="H1876" s="21"/>
      <c r="I1876" s="511"/>
    </row>
    <row r="1877" spans="1:9">
      <c r="A1877" s="509"/>
      <c r="B1877" s="510"/>
      <c r="C1877" s="23"/>
      <c r="D1877" s="23"/>
      <c r="E1877" s="23"/>
      <c r="F1877" s="21"/>
      <c r="G1877" s="21"/>
      <c r="H1877" s="21"/>
      <c r="I1877" s="511"/>
    </row>
    <row r="1878" spans="1:9">
      <c r="A1878" s="509"/>
      <c r="B1878" s="510"/>
      <c r="C1878" s="23"/>
      <c r="D1878" s="23"/>
      <c r="E1878" s="23"/>
      <c r="F1878" s="21"/>
      <c r="G1878" s="21"/>
      <c r="H1878" s="21"/>
      <c r="I1878" s="511"/>
    </row>
    <row r="1879" spans="1:9">
      <c r="A1879" s="509"/>
      <c r="B1879" s="510"/>
      <c r="C1879" s="23"/>
      <c r="D1879" s="23"/>
      <c r="E1879" s="23"/>
      <c r="F1879" s="21"/>
      <c r="G1879" s="21"/>
      <c r="H1879" s="21"/>
      <c r="I1879" s="511"/>
    </row>
  </sheetData>
  <sheetProtection algorithmName="SHA-512" hashValue="VvcOJInX1YucujnlDcDIvubbfP6Ao0+XirupWOxXon8Mkm6/xSeTdvmzYUGiyyPcUd3uzLkWyvIzQTd36yhpJw==" saltValue="olxPJs6aJsTVZzAaXGTn3g==" spinCount="100000" sheet="1"/>
  <mergeCells count="19">
    <mergeCell ref="A116:I116"/>
    <mergeCell ref="A118:I118"/>
    <mergeCell ref="A3:I3"/>
    <mergeCell ref="A4:I4"/>
    <mergeCell ref="A5:I5"/>
    <mergeCell ref="A7:I7"/>
    <mergeCell ref="A8:I8"/>
    <mergeCell ref="A9:I9"/>
    <mergeCell ref="B6:I6"/>
    <mergeCell ref="A110:I110"/>
    <mergeCell ref="A109:I109"/>
    <mergeCell ref="A108:I108"/>
    <mergeCell ref="A106:I106"/>
    <mergeCell ref="A2:I2"/>
    <mergeCell ref="B1:I1"/>
    <mergeCell ref="A12:I12"/>
    <mergeCell ref="A112:I112"/>
    <mergeCell ref="A114:I114"/>
    <mergeCell ref="A113:I11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118" max="5" man="1"/>
    <brk id="119" max="5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17"/>
  <sheetViews>
    <sheetView view="pageBreakPreview" topLeftCell="A118" zoomScaleNormal="100" zoomScaleSheetLayoutView="100" workbookViewId="0">
      <selection activeCell="P142" sqref="P142"/>
    </sheetView>
  </sheetViews>
  <sheetFormatPr defaultRowHeight="12"/>
  <cols>
    <col min="1" max="1" width="56.83203125" style="517" customWidth="1"/>
    <col min="2" max="2" width="8" style="518" customWidth="1"/>
    <col min="3" max="5" width="11.1640625" style="29" customWidth="1"/>
    <col min="6" max="6" width="20.6640625" style="30" customWidth="1"/>
    <col min="7" max="8" width="22" style="30" customWidth="1"/>
    <col min="9" max="9" width="10.6640625" style="519" customWidth="1"/>
    <col min="10" max="10" width="2" style="473" customWidth="1"/>
    <col min="11" max="11" width="18.33203125" style="473" customWidth="1"/>
    <col min="12" max="254" width="9.33203125" style="473"/>
    <col min="255" max="255" width="55.33203125" style="473" customWidth="1"/>
    <col min="256" max="256" width="8" style="473" customWidth="1"/>
    <col min="257" max="257" width="9.83203125" style="473" customWidth="1"/>
    <col min="258" max="258" width="11.33203125" style="473" customWidth="1"/>
    <col min="259" max="259" width="17.6640625" style="473" customWidth="1"/>
    <col min="260" max="260" width="10.6640625" style="473" customWidth="1"/>
    <col min="261" max="510" width="9.33203125" style="473"/>
    <col min="511" max="511" width="55.33203125" style="473" customWidth="1"/>
    <col min="512" max="512" width="8" style="473" customWidth="1"/>
    <col min="513" max="513" width="9.83203125" style="473" customWidth="1"/>
    <col min="514" max="514" width="11.33203125" style="473" customWidth="1"/>
    <col min="515" max="515" width="17.6640625" style="473" customWidth="1"/>
    <col min="516" max="516" width="10.6640625" style="473" customWidth="1"/>
    <col min="517" max="766" width="9.33203125" style="473"/>
    <col min="767" max="767" width="55.33203125" style="473" customWidth="1"/>
    <col min="768" max="768" width="8" style="473" customWidth="1"/>
    <col min="769" max="769" width="9.83203125" style="473" customWidth="1"/>
    <col min="770" max="770" width="11.33203125" style="473" customWidth="1"/>
    <col min="771" max="771" width="17.6640625" style="473" customWidth="1"/>
    <col min="772" max="772" width="10.6640625" style="473" customWidth="1"/>
    <col min="773" max="1022" width="9.33203125" style="473"/>
    <col min="1023" max="1023" width="55.33203125" style="473" customWidth="1"/>
    <col min="1024" max="1024" width="8" style="473" customWidth="1"/>
    <col min="1025" max="1025" width="9.83203125" style="473" customWidth="1"/>
    <col min="1026" max="1026" width="11.33203125" style="473" customWidth="1"/>
    <col min="1027" max="1027" width="17.6640625" style="473" customWidth="1"/>
    <col min="1028" max="1028" width="10.6640625" style="473" customWidth="1"/>
    <col min="1029" max="1278" width="9.33203125" style="473"/>
    <col min="1279" max="1279" width="55.33203125" style="473" customWidth="1"/>
    <col min="1280" max="1280" width="8" style="473" customWidth="1"/>
    <col min="1281" max="1281" width="9.83203125" style="473" customWidth="1"/>
    <col min="1282" max="1282" width="11.33203125" style="473" customWidth="1"/>
    <col min="1283" max="1283" width="17.6640625" style="473" customWidth="1"/>
    <col min="1284" max="1284" width="10.6640625" style="473" customWidth="1"/>
    <col min="1285" max="1534" width="9.33203125" style="473"/>
    <col min="1535" max="1535" width="55.33203125" style="473" customWidth="1"/>
    <col min="1536" max="1536" width="8" style="473" customWidth="1"/>
    <col min="1537" max="1537" width="9.83203125" style="473" customWidth="1"/>
    <col min="1538" max="1538" width="11.33203125" style="473" customWidth="1"/>
    <col min="1539" max="1539" width="17.6640625" style="473" customWidth="1"/>
    <col min="1540" max="1540" width="10.6640625" style="473" customWidth="1"/>
    <col min="1541" max="1790" width="9.33203125" style="473"/>
    <col min="1791" max="1791" width="55.33203125" style="473" customWidth="1"/>
    <col min="1792" max="1792" width="8" style="473" customWidth="1"/>
    <col min="1793" max="1793" width="9.83203125" style="473" customWidth="1"/>
    <col min="1794" max="1794" width="11.33203125" style="473" customWidth="1"/>
    <col min="1795" max="1795" width="17.6640625" style="473" customWidth="1"/>
    <col min="1796" max="1796" width="10.6640625" style="473" customWidth="1"/>
    <col min="1797" max="2046" width="9.33203125" style="473"/>
    <col min="2047" max="2047" width="55.33203125" style="473" customWidth="1"/>
    <col min="2048" max="2048" width="8" style="473" customWidth="1"/>
    <col min="2049" max="2049" width="9.83203125" style="473" customWidth="1"/>
    <col min="2050" max="2050" width="11.33203125" style="473" customWidth="1"/>
    <col min="2051" max="2051" width="17.6640625" style="473" customWidth="1"/>
    <col min="2052" max="2052" width="10.6640625" style="473" customWidth="1"/>
    <col min="2053" max="2302" width="9.33203125" style="473"/>
    <col min="2303" max="2303" width="55.33203125" style="473" customWidth="1"/>
    <col min="2304" max="2304" width="8" style="473" customWidth="1"/>
    <col min="2305" max="2305" width="9.83203125" style="473" customWidth="1"/>
    <col min="2306" max="2306" width="11.33203125" style="473" customWidth="1"/>
    <col min="2307" max="2307" width="17.6640625" style="473" customWidth="1"/>
    <col min="2308" max="2308" width="10.6640625" style="473" customWidth="1"/>
    <col min="2309" max="2558" width="9.33203125" style="473"/>
    <col min="2559" max="2559" width="55.33203125" style="473" customWidth="1"/>
    <col min="2560" max="2560" width="8" style="473" customWidth="1"/>
    <col min="2561" max="2561" width="9.83203125" style="473" customWidth="1"/>
    <col min="2562" max="2562" width="11.33203125" style="473" customWidth="1"/>
    <col min="2563" max="2563" width="17.6640625" style="473" customWidth="1"/>
    <col min="2564" max="2564" width="10.6640625" style="473" customWidth="1"/>
    <col min="2565" max="2814" width="9.33203125" style="473"/>
    <col min="2815" max="2815" width="55.33203125" style="473" customWidth="1"/>
    <col min="2816" max="2816" width="8" style="473" customWidth="1"/>
    <col min="2817" max="2817" width="9.83203125" style="473" customWidth="1"/>
    <col min="2818" max="2818" width="11.33203125" style="473" customWidth="1"/>
    <col min="2819" max="2819" width="17.6640625" style="473" customWidth="1"/>
    <col min="2820" max="2820" width="10.6640625" style="473" customWidth="1"/>
    <col min="2821" max="3070" width="9.33203125" style="473"/>
    <col min="3071" max="3071" width="55.33203125" style="473" customWidth="1"/>
    <col min="3072" max="3072" width="8" style="473" customWidth="1"/>
    <col min="3073" max="3073" width="9.83203125" style="473" customWidth="1"/>
    <col min="3074" max="3074" width="11.33203125" style="473" customWidth="1"/>
    <col min="3075" max="3075" width="17.6640625" style="473" customWidth="1"/>
    <col min="3076" max="3076" width="10.6640625" style="473" customWidth="1"/>
    <col min="3077" max="3326" width="9.33203125" style="473"/>
    <col min="3327" max="3327" width="55.33203125" style="473" customWidth="1"/>
    <col min="3328" max="3328" width="8" style="473" customWidth="1"/>
    <col min="3329" max="3329" width="9.83203125" style="473" customWidth="1"/>
    <col min="3330" max="3330" width="11.33203125" style="473" customWidth="1"/>
    <col min="3331" max="3331" width="17.6640625" style="473" customWidth="1"/>
    <col min="3332" max="3332" width="10.6640625" style="473" customWidth="1"/>
    <col min="3333" max="3582" width="9.33203125" style="473"/>
    <col min="3583" max="3583" width="55.33203125" style="473" customWidth="1"/>
    <col min="3584" max="3584" width="8" style="473" customWidth="1"/>
    <col min="3585" max="3585" width="9.83203125" style="473" customWidth="1"/>
    <col min="3586" max="3586" width="11.33203125" style="473" customWidth="1"/>
    <col min="3587" max="3587" width="17.6640625" style="473" customWidth="1"/>
    <col min="3588" max="3588" width="10.6640625" style="473" customWidth="1"/>
    <col min="3589" max="3838" width="9.33203125" style="473"/>
    <col min="3839" max="3839" width="55.33203125" style="473" customWidth="1"/>
    <col min="3840" max="3840" width="8" style="473" customWidth="1"/>
    <col min="3841" max="3841" width="9.83203125" style="473" customWidth="1"/>
    <col min="3842" max="3842" width="11.33203125" style="473" customWidth="1"/>
    <col min="3843" max="3843" width="17.6640625" style="473" customWidth="1"/>
    <col min="3844" max="3844" width="10.6640625" style="473" customWidth="1"/>
    <col min="3845" max="4094" width="9.33203125" style="473"/>
    <col min="4095" max="4095" width="55.33203125" style="473" customWidth="1"/>
    <col min="4096" max="4096" width="8" style="473" customWidth="1"/>
    <col min="4097" max="4097" width="9.83203125" style="473" customWidth="1"/>
    <col min="4098" max="4098" width="11.33203125" style="473" customWidth="1"/>
    <col min="4099" max="4099" width="17.6640625" style="473" customWidth="1"/>
    <col min="4100" max="4100" width="10.6640625" style="473" customWidth="1"/>
    <col min="4101" max="4350" width="9.33203125" style="473"/>
    <col min="4351" max="4351" width="55.33203125" style="473" customWidth="1"/>
    <col min="4352" max="4352" width="8" style="473" customWidth="1"/>
    <col min="4353" max="4353" width="9.83203125" style="473" customWidth="1"/>
    <col min="4354" max="4354" width="11.33203125" style="473" customWidth="1"/>
    <col min="4355" max="4355" width="17.6640625" style="473" customWidth="1"/>
    <col min="4356" max="4356" width="10.6640625" style="473" customWidth="1"/>
    <col min="4357" max="4606" width="9.33203125" style="473"/>
    <col min="4607" max="4607" width="55.33203125" style="473" customWidth="1"/>
    <col min="4608" max="4608" width="8" style="473" customWidth="1"/>
    <col min="4609" max="4609" width="9.83203125" style="473" customWidth="1"/>
    <col min="4610" max="4610" width="11.33203125" style="473" customWidth="1"/>
    <col min="4611" max="4611" width="17.6640625" style="473" customWidth="1"/>
    <col min="4612" max="4612" width="10.6640625" style="473" customWidth="1"/>
    <col min="4613" max="4862" width="9.33203125" style="473"/>
    <col min="4863" max="4863" width="55.33203125" style="473" customWidth="1"/>
    <col min="4864" max="4864" width="8" style="473" customWidth="1"/>
    <col min="4865" max="4865" width="9.83203125" style="473" customWidth="1"/>
    <col min="4866" max="4866" width="11.33203125" style="473" customWidth="1"/>
    <col min="4867" max="4867" width="17.6640625" style="473" customWidth="1"/>
    <col min="4868" max="4868" width="10.6640625" style="473" customWidth="1"/>
    <col min="4869" max="5118" width="9.33203125" style="473"/>
    <col min="5119" max="5119" width="55.33203125" style="473" customWidth="1"/>
    <col min="5120" max="5120" width="8" style="473" customWidth="1"/>
    <col min="5121" max="5121" width="9.83203125" style="473" customWidth="1"/>
    <col min="5122" max="5122" width="11.33203125" style="473" customWidth="1"/>
    <col min="5123" max="5123" width="17.6640625" style="473" customWidth="1"/>
    <col min="5124" max="5124" width="10.6640625" style="473" customWidth="1"/>
    <col min="5125" max="5374" width="9.33203125" style="473"/>
    <col min="5375" max="5375" width="55.33203125" style="473" customWidth="1"/>
    <col min="5376" max="5376" width="8" style="473" customWidth="1"/>
    <col min="5377" max="5377" width="9.83203125" style="473" customWidth="1"/>
    <col min="5378" max="5378" width="11.33203125" style="473" customWidth="1"/>
    <col min="5379" max="5379" width="17.6640625" style="473" customWidth="1"/>
    <col min="5380" max="5380" width="10.6640625" style="473" customWidth="1"/>
    <col min="5381" max="5630" width="9.33203125" style="473"/>
    <col min="5631" max="5631" width="55.33203125" style="473" customWidth="1"/>
    <col min="5632" max="5632" width="8" style="473" customWidth="1"/>
    <col min="5633" max="5633" width="9.83203125" style="473" customWidth="1"/>
    <col min="5634" max="5634" width="11.33203125" style="473" customWidth="1"/>
    <col min="5635" max="5635" width="17.6640625" style="473" customWidth="1"/>
    <col min="5636" max="5636" width="10.6640625" style="473" customWidth="1"/>
    <col min="5637" max="5886" width="9.33203125" style="473"/>
    <col min="5887" max="5887" width="55.33203125" style="473" customWidth="1"/>
    <col min="5888" max="5888" width="8" style="473" customWidth="1"/>
    <col min="5889" max="5889" width="9.83203125" style="473" customWidth="1"/>
    <col min="5890" max="5890" width="11.33203125" style="473" customWidth="1"/>
    <col min="5891" max="5891" width="17.6640625" style="473" customWidth="1"/>
    <col min="5892" max="5892" width="10.6640625" style="473" customWidth="1"/>
    <col min="5893" max="6142" width="9.33203125" style="473"/>
    <col min="6143" max="6143" width="55.33203125" style="473" customWidth="1"/>
    <col min="6144" max="6144" width="8" style="473" customWidth="1"/>
    <col min="6145" max="6145" width="9.83203125" style="473" customWidth="1"/>
    <col min="6146" max="6146" width="11.33203125" style="473" customWidth="1"/>
    <col min="6147" max="6147" width="17.6640625" style="473" customWidth="1"/>
    <col min="6148" max="6148" width="10.6640625" style="473" customWidth="1"/>
    <col min="6149" max="6398" width="9.33203125" style="473"/>
    <col min="6399" max="6399" width="55.33203125" style="473" customWidth="1"/>
    <col min="6400" max="6400" width="8" style="473" customWidth="1"/>
    <col min="6401" max="6401" width="9.83203125" style="473" customWidth="1"/>
    <col min="6402" max="6402" width="11.33203125" style="473" customWidth="1"/>
    <col min="6403" max="6403" width="17.6640625" style="473" customWidth="1"/>
    <col min="6404" max="6404" width="10.6640625" style="473" customWidth="1"/>
    <col min="6405" max="6654" width="9.33203125" style="473"/>
    <col min="6655" max="6655" width="55.33203125" style="473" customWidth="1"/>
    <col min="6656" max="6656" width="8" style="473" customWidth="1"/>
    <col min="6657" max="6657" width="9.83203125" style="473" customWidth="1"/>
    <col min="6658" max="6658" width="11.33203125" style="473" customWidth="1"/>
    <col min="6659" max="6659" width="17.6640625" style="473" customWidth="1"/>
    <col min="6660" max="6660" width="10.6640625" style="473" customWidth="1"/>
    <col min="6661" max="6910" width="9.33203125" style="473"/>
    <col min="6911" max="6911" width="55.33203125" style="473" customWidth="1"/>
    <col min="6912" max="6912" width="8" style="473" customWidth="1"/>
    <col min="6913" max="6913" width="9.83203125" style="473" customWidth="1"/>
    <col min="6914" max="6914" width="11.33203125" style="473" customWidth="1"/>
    <col min="6915" max="6915" width="17.6640625" style="473" customWidth="1"/>
    <col min="6916" max="6916" width="10.6640625" style="473" customWidth="1"/>
    <col min="6917" max="7166" width="9.33203125" style="473"/>
    <col min="7167" max="7167" width="55.33203125" style="473" customWidth="1"/>
    <col min="7168" max="7168" width="8" style="473" customWidth="1"/>
    <col min="7169" max="7169" width="9.83203125" style="473" customWidth="1"/>
    <col min="7170" max="7170" width="11.33203125" style="473" customWidth="1"/>
    <col min="7171" max="7171" width="17.6640625" style="473" customWidth="1"/>
    <col min="7172" max="7172" width="10.6640625" style="473" customWidth="1"/>
    <col min="7173" max="7422" width="9.33203125" style="473"/>
    <col min="7423" max="7423" width="55.33203125" style="473" customWidth="1"/>
    <col min="7424" max="7424" width="8" style="473" customWidth="1"/>
    <col min="7425" max="7425" width="9.83203125" style="473" customWidth="1"/>
    <col min="7426" max="7426" width="11.33203125" style="473" customWidth="1"/>
    <col min="7427" max="7427" width="17.6640625" style="473" customWidth="1"/>
    <col min="7428" max="7428" width="10.6640625" style="473" customWidth="1"/>
    <col min="7429" max="7678" width="9.33203125" style="473"/>
    <col min="7679" max="7679" width="55.33203125" style="473" customWidth="1"/>
    <col min="7680" max="7680" width="8" style="473" customWidth="1"/>
    <col min="7681" max="7681" width="9.83203125" style="473" customWidth="1"/>
    <col min="7682" max="7682" width="11.33203125" style="473" customWidth="1"/>
    <col min="7683" max="7683" width="17.6640625" style="473" customWidth="1"/>
    <col min="7684" max="7684" width="10.6640625" style="473" customWidth="1"/>
    <col min="7685" max="7934" width="9.33203125" style="473"/>
    <col min="7935" max="7935" width="55.33203125" style="473" customWidth="1"/>
    <col min="7936" max="7936" width="8" style="473" customWidth="1"/>
    <col min="7937" max="7937" width="9.83203125" style="473" customWidth="1"/>
    <col min="7938" max="7938" width="11.33203125" style="473" customWidth="1"/>
    <col min="7939" max="7939" width="17.6640625" style="473" customWidth="1"/>
    <col min="7940" max="7940" width="10.6640625" style="473" customWidth="1"/>
    <col min="7941" max="8190" width="9.33203125" style="473"/>
    <col min="8191" max="8191" width="55.33203125" style="473" customWidth="1"/>
    <col min="8192" max="8192" width="8" style="473" customWidth="1"/>
    <col min="8193" max="8193" width="9.83203125" style="473" customWidth="1"/>
    <col min="8194" max="8194" width="11.33203125" style="473" customWidth="1"/>
    <col min="8195" max="8195" width="17.6640625" style="473" customWidth="1"/>
    <col min="8196" max="8196" width="10.6640625" style="473" customWidth="1"/>
    <col min="8197" max="8446" width="9.33203125" style="473"/>
    <col min="8447" max="8447" width="55.33203125" style="473" customWidth="1"/>
    <col min="8448" max="8448" width="8" style="473" customWidth="1"/>
    <col min="8449" max="8449" width="9.83203125" style="473" customWidth="1"/>
    <col min="8450" max="8450" width="11.33203125" style="473" customWidth="1"/>
    <col min="8451" max="8451" width="17.6640625" style="473" customWidth="1"/>
    <col min="8452" max="8452" width="10.6640625" style="473" customWidth="1"/>
    <col min="8453" max="8702" width="9.33203125" style="473"/>
    <col min="8703" max="8703" width="55.33203125" style="473" customWidth="1"/>
    <col min="8704" max="8704" width="8" style="473" customWidth="1"/>
    <col min="8705" max="8705" width="9.83203125" style="473" customWidth="1"/>
    <col min="8706" max="8706" width="11.33203125" style="473" customWidth="1"/>
    <col min="8707" max="8707" width="17.6640625" style="473" customWidth="1"/>
    <col min="8708" max="8708" width="10.6640625" style="473" customWidth="1"/>
    <col min="8709" max="8958" width="9.33203125" style="473"/>
    <col min="8959" max="8959" width="55.33203125" style="473" customWidth="1"/>
    <col min="8960" max="8960" width="8" style="473" customWidth="1"/>
    <col min="8961" max="8961" width="9.83203125" style="473" customWidth="1"/>
    <col min="8962" max="8962" width="11.33203125" style="473" customWidth="1"/>
    <col min="8963" max="8963" width="17.6640625" style="473" customWidth="1"/>
    <col min="8964" max="8964" width="10.6640625" style="473" customWidth="1"/>
    <col min="8965" max="9214" width="9.33203125" style="473"/>
    <col min="9215" max="9215" width="55.33203125" style="473" customWidth="1"/>
    <col min="9216" max="9216" width="8" style="473" customWidth="1"/>
    <col min="9217" max="9217" width="9.83203125" style="473" customWidth="1"/>
    <col min="9218" max="9218" width="11.33203125" style="473" customWidth="1"/>
    <col min="9219" max="9219" width="17.6640625" style="473" customWidth="1"/>
    <col min="9220" max="9220" width="10.6640625" style="473" customWidth="1"/>
    <col min="9221" max="9470" width="9.33203125" style="473"/>
    <col min="9471" max="9471" width="55.33203125" style="473" customWidth="1"/>
    <col min="9472" max="9472" width="8" style="473" customWidth="1"/>
    <col min="9473" max="9473" width="9.83203125" style="473" customWidth="1"/>
    <col min="9474" max="9474" width="11.33203125" style="473" customWidth="1"/>
    <col min="9475" max="9475" width="17.6640625" style="473" customWidth="1"/>
    <col min="9476" max="9476" width="10.6640625" style="473" customWidth="1"/>
    <col min="9477" max="9726" width="9.33203125" style="473"/>
    <col min="9727" max="9727" width="55.33203125" style="473" customWidth="1"/>
    <col min="9728" max="9728" width="8" style="473" customWidth="1"/>
    <col min="9729" max="9729" width="9.83203125" style="473" customWidth="1"/>
    <col min="9730" max="9730" width="11.33203125" style="473" customWidth="1"/>
    <col min="9731" max="9731" width="17.6640625" style="473" customWidth="1"/>
    <col min="9732" max="9732" width="10.6640625" style="473" customWidth="1"/>
    <col min="9733" max="9982" width="9.33203125" style="473"/>
    <col min="9983" max="9983" width="55.33203125" style="473" customWidth="1"/>
    <col min="9984" max="9984" width="8" style="473" customWidth="1"/>
    <col min="9985" max="9985" width="9.83203125" style="473" customWidth="1"/>
    <col min="9986" max="9986" width="11.33203125" style="473" customWidth="1"/>
    <col min="9987" max="9987" width="17.6640625" style="473" customWidth="1"/>
    <col min="9988" max="9988" width="10.6640625" style="473" customWidth="1"/>
    <col min="9989" max="10238" width="9.33203125" style="473"/>
    <col min="10239" max="10239" width="55.33203125" style="473" customWidth="1"/>
    <col min="10240" max="10240" width="8" style="473" customWidth="1"/>
    <col min="10241" max="10241" width="9.83203125" style="473" customWidth="1"/>
    <col min="10242" max="10242" width="11.33203125" style="473" customWidth="1"/>
    <col min="10243" max="10243" width="17.6640625" style="473" customWidth="1"/>
    <col min="10244" max="10244" width="10.6640625" style="473" customWidth="1"/>
    <col min="10245" max="10494" width="9.33203125" style="473"/>
    <col min="10495" max="10495" width="55.33203125" style="473" customWidth="1"/>
    <col min="10496" max="10496" width="8" style="473" customWidth="1"/>
    <col min="10497" max="10497" width="9.83203125" style="473" customWidth="1"/>
    <col min="10498" max="10498" width="11.33203125" style="473" customWidth="1"/>
    <col min="10499" max="10499" width="17.6640625" style="473" customWidth="1"/>
    <col min="10500" max="10500" width="10.6640625" style="473" customWidth="1"/>
    <col min="10501" max="10750" width="9.33203125" style="473"/>
    <col min="10751" max="10751" width="55.33203125" style="473" customWidth="1"/>
    <col min="10752" max="10752" width="8" style="473" customWidth="1"/>
    <col min="10753" max="10753" width="9.83203125" style="473" customWidth="1"/>
    <col min="10754" max="10754" width="11.33203125" style="473" customWidth="1"/>
    <col min="10755" max="10755" width="17.6640625" style="473" customWidth="1"/>
    <col min="10756" max="10756" width="10.6640625" style="473" customWidth="1"/>
    <col min="10757" max="11006" width="9.33203125" style="473"/>
    <col min="11007" max="11007" width="55.33203125" style="473" customWidth="1"/>
    <col min="11008" max="11008" width="8" style="473" customWidth="1"/>
    <col min="11009" max="11009" width="9.83203125" style="473" customWidth="1"/>
    <col min="11010" max="11010" width="11.33203125" style="473" customWidth="1"/>
    <col min="11011" max="11011" width="17.6640625" style="473" customWidth="1"/>
    <col min="11012" max="11012" width="10.6640625" style="473" customWidth="1"/>
    <col min="11013" max="11262" width="9.33203125" style="473"/>
    <col min="11263" max="11263" width="55.33203125" style="473" customWidth="1"/>
    <col min="11264" max="11264" width="8" style="473" customWidth="1"/>
    <col min="11265" max="11265" width="9.83203125" style="473" customWidth="1"/>
    <col min="11266" max="11266" width="11.33203125" style="473" customWidth="1"/>
    <col min="11267" max="11267" width="17.6640625" style="473" customWidth="1"/>
    <col min="11268" max="11268" width="10.6640625" style="473" customWidth="1"/>
    <col min="11269" max="11518" width="9.33203125" style="473"/>
    <col min="11519" max="11519" width="55.33203125" style="473" customWidth="1"/>
    <col min="11520" max="11520" width="8" style="473" customWidth="1"/>
    <col min="11521" max="11521" width="9.83203125" style="473" customWidth="1"/>
    <col min="11522" max="11522" width="11.33203125" style="473" customWidth="1"/>
    <col min="11523" max="11523" width="17.6640625" style="473" customWidth="1"/>
    <col min="11524" max="11524" width="10.6640625" style="473" customWidth="1"/>
    <col min="11525" max="11774" width="9.33203125" style="473"/>
    <col min="11775" max="11775" width="55.33203125" style="473" customWidth="1"/>
    <col min="11776" max="11776" width="8" style="473" customWidth="1"/>
    <col min="11777" max="11777" width="9.83203125" style="473" customWidth="1"/>
    <col min="11778" max="11778" width="11.33203125" style="473" customWidth="1"/>
    <col min="11779" max="11779" width="17.6640625" style="473" customWidth="1"/>
    <col min="11780" max="11780" width="10.6640625" style="473" customWidth="1"/>
    <col min="11781" max="12030" width="9.33203125" style="473"/>
    <col min="12031" max="12031" width="55.33203125" style="473" customWidth="1"/>
    <col min="12032" max="12032" width="8" style="473" customWidth="1"/>
    <col min="12033" max="12033" width="9.83203125" style="473" customWidth="1"/>
    <col min="12034" max="12034" width="11.33203125" style="473" customWidth="1"/>
    <col min="12035" max="12035" width="17.6640625" style="473" customWidth="1"/>
    <col min="12036" max="12036" width="10.6640625" style="473" customWidth="1"/>
    <col min="12037" max="12286" width="9.33203125" style="473"/>
    <col min="12287" max="12287" width="55.33203125" style="473" customWidth="1"/>
    <col min="12288" max="12288" width="8" style="473" customWidth="1"/>
    <col min="12289" max="12289" width="9.83203125" style="473" customWidth="1"/>
    <col min="12290" max="12290" width="11.33203125" style="473" customWidth="1"/>
    <col min="12291" max="12291" width="17.6640625" style="473" customWidth="1"/>
    <col min="12292" max="12292" width="10.6640625" style="473" customWidth="1"/>
    <col min="12293" max="12542" width="9.33203125" style="473"/>
    <col min="12543" max="12543" width="55.33203125" style="473" customWidth="1"/>
    <col min="12544" max="12544" width="8" style="473" customWidth="1"/>
    <col min="12545" max="12545" width="9.83203125" style="473" customWidth="1"/>
    <col min="12546" max="12546" width="11.33203125" style="473" customWidth="1"/>
    <col min="12547" max="12547" width="17.6640625" style="473" customWidth="1"/>
    <col min="12548" max="12548" width="10.6640625" style="473" customWidth="1"/>
    <col min="12549" max="12798" width="9.33203125" style="473"/>
    <col min="12799" max="12799" width="55.33203125" style="473" customWidth="1"/>
    <col min="12800" max="12800" width="8" style="473" customWidth="1"/>
    <col min="12801" max="12801" width="9.83203125" style="473" customWidth="1"/>
    <col min="12802" max="12802" width="11.33203125" style="473" customWidth="1"/>
    <col min="12803" max="12803" width="17.6640625" style="473" customWidth="1"/>
    <col min="12804" max="12804" width="10.6640625" style="473" customWidth="1"/>
    <col min="12805" max="13054" width="9.33203125" style="473"/>
    <col min="13055" max="13055" width="55.33203125" style="473" customWidth="1"/>
    <col min="13056" max="13056" width="8" style="473" customWidth="1"/>
    <col min="13057" max="13057" width="9.83203125" style="473" customWidth="1"/>
    <col min="13058" max="13058" width="11.33203125" style="473" customWidth="1"/>
    <col min="13059" max="13059" width="17.6640625" style="473" customWidth="1"/>
    <col min="13060" max="13060" width="10.6640625" style="473" customWidth="1"/>
    <col min="13061" max="13310" width="9.33203125" style="473"/>
    <col min="13311" max="13311" width="55.33203125" style="473" customWidth="1"/>
    <col min="13312" max="13312" width="8" style="473" customWidth="1"/>
    <col min="13313" max="13313" width="9.83203125" style="473" customWidth="1"/>
    <col min="13314" max="13314" width="11.33203125" style="473" customWidth="1"/>
    <col min="13315" max="13315" width="17.6640625" style="473" customWidth="1"/>
    <col min="13316" max="13316" width="10.6640625" style="473" customWidth="1"/>
    <col min="13317" max="13566" width="9.33203125" style="473"/>
    <col min="13567" max="13567" width="55.33203125" style="473" customWidth="1"/>
    <col min="13568" max="13568" width="8" style="473" customWidth="1"/>
    <col min="13569" max="13569" width="9.83203125" style="473" customWidth="1"/>
    <col min="13570" max="13570" width="11.33203125" style="473" customWidth="1"/>
    <col min="13571" max="13571" width="17.6640625" style="473" customWidth="1"/>
    <col min="13572" max="13572" width="10.6640625" style="473" customWidth="1"/>
    <col min="13573" max="13822" width="9.33203125" style="473"/>
    <col min="13823" max="13823" width="55.33203125" style="473" customWidth="1"/>
    <col min="13824" max="13824" width="8" style="473" customWidth="1"/>
    <col min="13825" max="13825" width="9.83203125" style="473" customWidth="1"/>
    <col min="13826" max="13826" width="11.33203125" style="473" customWidth="1"/>
    <col min="13827" max="13827" width="17.6640625" style="473" customWidth="1"/>
    <col min="13828" max="13828" width="10.6640625" style="473" customWidth="1"/>
    <col min="13829" max="14078" width="9.33203125" style="473"/>
    <col min="14079" max="14079" width="55.33203125" style="473" customWidth="1"/>
    <col min="14080" max="14080" width="8" style="473" customWidth="1"/>
    <col min="14081" max="14081" width="9.83203125" style="473" customWidth="1"/>
    <col min="14082" max="14082" width="11.33203125" style="473" customWidth="1"/>
    <col min="14083" max="14083" width="17.6640625" style="473" customWidth="1"/>
    <col min="14084" max="14084" width="10.6640625" style="473" customWidth="1"/>
    <col min="14085" max="14334" width="9.33203125" style="473"/>
    <col min="14335" max="14335" width="55.33203125" style="473" customWidth="1"/>
    <col min="14336" max="14336" width="8" style="473" customWidth="1"/>
    <col min="14337" max="14337" width="9.83203125" style="473" customWidth="1"/>
    <col min="14338" max="14338" width="11.33203125" style="473" customWidth="1"/>
    <col min="14339" max="14339" width="17.6640625" style="473" customWidth="1"/>
    <col min="14340" max="14340" width="10.6640625" style="473" customWidth="1"/>
    <col min="14341" max="14590" width="9.33203125" style="473"/>
    <col min="14591" max="14591" width="55.33203125" style="473" customWidth="1"/>
    <col min="14592" max="14592" width="8" style="473" customWidth="1"/>
    <col min="14593" max="14593" width="9.83203125" style="473" customWidth="1"/>
    <col min="14594" max="14594" width="11.33203125" style="473" customWidth="1"/>
    <col min="14595" max="14595" width="17.6640625" style="473" customWidth="1"/>
    <col min="14596" max="14596" width="10.6640625" style="473" customWidth="1"/>
    <col min="14597" max="14846" width="9.33203125" style="473"/>
    <col min="14847" max="14847" width="55.33203125" style="473" customWidth="1"/>
    <col min="14848" max="14848" width="8" style="473" customWidth="1"/>
    <col min="14849" max="14849" width="9.83203125" style="473" customWidth="1"/>
    <col min="14850" max="14850" width="11.33203125" style="473" customWidth="1"/>
    <col min="14851" max="14851" width="17.6640625" style="473" customWidth="1"/>
    <col min="14852" max="14852" width="10.6640625" style="473" customWidth="1"/>
    <col min="14853" max="15102" width="9.33203125" style="473"/>
    <col min="15103" max="15103" width="55.33203125" style="473" customWidth="1"/>
    <col min="15104" max="15104" width="8" style="473" customWidth="1"/>
    <col min="15105" max="15105" width="9.83203125" style="473" customWidth="1"/>
    <col min="15106" max="15106" width="11.33203125" style="473" customWidth="1"/>
    <col min="15107" max="15107" width="17.6640625" style="473" customWidth="1"/>
    <col min="15108" max="15108" width="10.6640625" style="473" customWidth="1"/>
    <col min="15109" max="15358" width="9.33203125" style="473"/>
    <col min="15359" max="15359" width="55.33203125" style="473" customWidth="1"/>
    <col min="15360" max="15360" width="8" style="473" customWidth="1"/>
    <col min="15361" max="15361" width="9.83203125" style="473" customWidth="1"/>
    <col min="15362" max="15362" width="11.33203125" style="473" customWidth="1"/>
    <col min="15363" max="15363" width="17.6640625" style="473" customWidth="1"/>
    <col min="15364" max="15364" width="10.6640625" style="473" customWidth="1"/>
    <col min="15365" max="15614" width="9.33203125" style="473"/>
    <col min="15615" max="15615" width="55.33203125" style="473" customWidth="1"/>
    <col min="15616" max="15616" width="8" style="473" customWidth="1"/>
    <col min="15617" max="15617" width="9.83203125" style="473" customWidth="1"/>
    <col min="15618" max="15618" width="11.33203125" style="473" customWidth="1"/>
    <col min="15619" max="15619" width="17.6640625" style="473" customWidth="1"/>
    <col min="15620" max="15620" width="10.6640625" style="473" customWidth="1"/>
    <col min="15621" max="15870" width="9.33203125" style="473"/>
    <col min="15871" max="15871" width="55.33203125" style="473" customWidth="1"/>
    <col min="15872" max="15872" width="8" style="473" customWidth="1"/>
    <col min="15873" max="15873" width="9.83203125" style="473" customWidth="1"/>
    <col min="15874" max="15874" width="11.33203125" style="473" customWidth="1"/>
    <col min="15875" max="15875" width="17.6640625" style="473" customWidth="1"/>
    <col min="15876" max="15876" width="10.6640625" style="473" customWidth="1"/>
    <col min="15877" max="16126" width="9.33203125" style="473"/>
    <col min="16127" max="16127" width="55.33203125" style="473" customWidth="1"/>
    <col min="16128" max="16128" width="8" style="473" customWidth="1"/>
    <col min="16129" max="16129" width="9.83203125" style="473" customWidth="1"/>
    <col min="16130" max="16130" width="11.33203125" style="473" customWidth="1"/>
    <col min="16131" max="16131" width="17.6640625" style="473" customWidth="1"/>
    <col min="16132" max="16132" width="10.6640625" style="473" customWidth="1"/>
    <col min="16133" max="16384" width="9.33203125" style="473"/>
  </cols>
  <sheetData>
    <row r="1" spans="1:9" s="472" customFormat="1" ht="15.75" customHeight="1">
      <c r="A1" s="471" t="s">
        <v>3</v>
      </c>
      <c r="B1" s="807" t="str">
        <f>Rekapitulace!K4</f>
        <v>Stavební úpravy, vestavba a přístavba stávajícího objektu</v>
      </c>
      <c r="C1" s="807"/>
      <c r="D1" s="807"/>
      <c r="E1" s="807"/>
      <c r="F1" s="807"/>
      <c r="G1" s="807"/>
      <c r="H1" s="807"/>
      <c r="I1" s="809"/>
    </row>
    <row r="2" spans="1:9" ht="12.75" customHeight="1">
      <c r="A2" s="803"/>
      <c r="B2" s="804"/>
      <c r="C2" s="804"/>
      <c r="D2" s="804"/>
      <c r="E2" s="804"/>
      <c r="F2" s="804"/>
      <c r="G2" s="804"/>
      <c r="H2" s="804"/>
      <c r="I2" s="806"/>
    </row>
    <row r="3" spans="1:9" ht="29.25" customHeight="1">
      <c r="A3" s="520" t="s">
        <v>124</v>
      </c>
      <c r="B3" s="521" t="str">
        <f>Rekapitulace!E24</f>
        <v>REV01</v>
      </c>
      <c r="C3" s="522">
        <f>Rekapitulace!H24</f>
        <v>45104</v>
      </c>
      <c r="D3" s="522"/>
      <c r="E3" s="522"/>
      <c r="F3" s="835" t="str">
        <f>Rekapitulace!K24</f>
        <v>Úprava popisů a položek ve vyznačených listech</v>
      </c>
      <c r="G3" s="835"/>
      <c r="H3" s="835"/>
      <c r="I3" s="836"/>
    </row>
    <row r="4" spans="1:9" ht="12.75" customHeight="1">
      <c r="A4" s="832"/>
      <c r="B4" s="833"/>
      <c r="C4" s="833"/>
      <c r="D4" s="833"/>
      <c r="E4" s="833"/>
      <c r="F4" s="833"/>
      <c r="G4" s="833"/>
      <c r="H4" s="833"/>
      <c r="I4" s="834"/>
    </row>
    <row r="5" spans="1:9" s="472" customFormat="1" ht="15.75" thickBot="1">
      <c r="A5" s="820" t="s">
        <v>527</v>
      </c>
      <c r="B5" s="821"/>
      <c r="C5" s="821"/>
      <c r="D5" s="821"/>
      <c r="E5" s="821"/>
      <c r="F5" s="821"/>
      <c r="G5" s="821"/>
      <c r="H5" s="821"/>
      <c r="I5" s="822"/>
    </row>
    <row r="6" spans="1:9" s="472" customFormat="1" ht="16.5" customHeight="1" thickBot="1">
      <c r="A6" s="474" t="s">
        <v>11</v>
      </c>
      <c r="B6" s="828">
        <f>Rekapitulace!K11</f>
        <v>0</v>
      </c>
      <c r="C6" s="828"/>
      <c r="D6" s="828"/>
      <c r="E6" s="828"/>
      <c r="F6" s="828"/>
      <c r="G6" s="828"/>
      <c r="H6" s="828"/>
      <c r="I6" s="829"/>
    </row>
    <row r="7" spans="1:9" s="472" customFormat="1" ht="3.75" customHeight="1">
      <c r="A7" s="823"/>
      <c r="B7" s="823"/>
      <c r="C7" s="823"/>
      <c r="D7" s="823"/>
      <c r="E7" s="823"/>
      <c r="F7" s="823"/>
      <c r="G7" s="823"/>
      <c r="H7" s="823"/>
      <c r="I7" s="823"/>
    </row>
    <row r="8" spans="1:9" s="475" customFormat="1" ht="42.75" customHeight="1">
      <c r="A8" s="824" t="s">
        <v>125</v>
      </c>
      <c r="B8" s="825"/>
      <c r="C8" s="825"/>
      <c r="D8" s="825"/>
      <c r="E8" s="825"/>
      <c r="F8" s="825"/>
      <c r="G8" s="825"/>
      <c r="H8" s="825"/>
      <c r="I8" s="826"/>
    </row>
    <row r="9" spans="1:9" ht="6" customHeight="1">
      <c r="A9" s="827"/>
      <c r="B9" s="827"/>
      <c r="C9" s="827"/>
      <c r="D9" s="827"/>
      <c r="E9" s="827"/>
      <c r="F9" s="827"/>
      <c r="G9" s="827"/>
      <c r="H9" s="827"/>
      <c r="I9" s="827"/>
    </row>
    <row r="10" spans="1:9" s="478" customFormat="1" ht="45">
      <c r="A10" s="476" t="s">
        <v>126</v>
      </c>
      <c r="B10" s="476" t="s">
        <v>127</v>
      </c>
      <c r="C10" s="31" t="s">
        <v>2479</v>
      </c>
      <c r="D10" s="31" t="s">
        <v>2487</v>
      </c>
      <c r="E10" s="31" t="s">
        <v>2478</v>
      </c>
      <c r="F10" s="32" t="s">
        <v>128</v>
      </c>
      <c r="G10" s="33" t="s">
        <v>2488</v>
      </c>
      <c r="H10" s="33" t="s">
        <v>2477</v>
      </c>
      <c r="I10" s="477" t="s">
        <v>129</v>
      </c>
    </row>
    <row r="11" spans="1:9" ht="5.25" customHeight="1" thickBot="1">
      <c r="A11" s="479"/>
      <c r="B11" s="480"/>
      <c r="C11" s="34"/>
      <c r="D11" s="34"/>
      <c r="E11" s="34"/>
      <c r="F11" s="22"/>
      <c r="G11" s="35"/>
      <c r="H11" s="35"/>
      <c r="I11" s="481"/>
    </row>
    <row r="12" spans="1:9" ht="17.45" customHeight="1" thickBot="1">
      <c r="A12" s="810" t="s">
        <v>130</v>
      </c>
      <c r="B12" s="811"/>
      <c r="C12" s="811"/>
      <c r="D12" s="811"/>
      <c r="E12" s="811"/>
      <c r="F12" s="811"/>
      <c r="G12" s="811"/>
      <c r="H12" s="811"/>
      <c r="I12" s="812"/>
    </row>
    <row r="13" spans="1:9" ht="13.5" thickBot="1">
      <c r="A13" s="482" t="s">
        <v>1267</v>
      </c>
      <c r="B13" s="483"/>
      <c r="C13" s="36"/>
      <c r="D13" s="36"/>
      <c r="E13" s="36"/>
      <c r="F13" s="484"/>
      <c r="G13" s="37">
        <f>SUM(G15:G20)</f>
        <v>0</v>
      </c>
      <c r="H13" s="37">
        <f>SUM(H15:H20)</f>
        <v>0</v>
      </c>
      <c r="I13" s="485" t="s">
        <v>131</v>
      </c>
    </row>
    <row r="14" spans="1:9" s="489" customFormat="1">
      <c r="A14" s="486" t="s">
        <v>1268</v>
      </c>
      <c r="B14" s="487"/>
      <c r="C14" s="136"/>
      <c r="D14" s="136"/>
      <c r="E14" s="136"/>
      <c r="F14" s="137"/>
      <c r="G14" s="138"/>
      <c r="H14" s="138"/>
      <c r="I14" s="488"/>
    </row>
    <row r="15" spans="1:9" ht="22.5">
      <c r="A15" s="500" t="s">
        <v>2342</v>
      </c>
      <c r="B15" s="491" t="s">
        <v>67</v>
      </c>
      <c r="C15" s="87">
        <v>1</v>
      </c>
      <c r="D15" s="87">
        <v>1</v>
      </c>
      <c r="E15" s="87">
        <f>C15-D15</f>
        <v>0</v>
      </c>
      <c r="F15" s="90"/>
      <c r="G15" s="89">
        <f>F15*D15</f>
        <v>0</v>
      </c>
      <c r="H15" s="89">
        <f>F15*E15</f>
        <v>0</v>
      </c>
      <c r="I15" s="499"/>
    </row>
    <row r="16" spans="1:9" ht="22.5">
      <c r="A16" s="500" t="s">
        <v>2343</v>
      </c>
      <c r="B16" s="491" t="s">
        <v>67</v>
      </c>
      <c r="C16" s="87">
        <v>1</v>
      </c>
      <c r="D16" s="87">
        <v>1</v>
      </c>
      <c r="E16" s="87">
        <f>C16-D16</f>
        <v>0</v>
      </c>
      <c r="F16" s="90"/>
      <c r="G16" s="89">
        <f>F16*D16</f>
        <v>0</v>
      </c>
      <c r="H16" s="89">
        <f>F16*E16</f>
        <v>0</v>
      </c>
      <c r="I16" s="499"/>
    </row>
    <row r="17" spans="1:9">
      <c r="A17" s="500" t="s">
        <v>1269</v>
      </c>
      <c r="B17" s="491" t="s">
        <v>67</v>
      </c>
      <c r="C17" s="87">
        <v>2</v>
      </c>
      <c r="D17" s="87">
        <v>2</v>
      </c>
      <c r="E17" s="87">
        <f>C17-D17</f>
        <v>0</v>
      </c>
      <c r="F17" s="90"/>
      <c r="G17" s="89">
        <f>F17*D17</f>
        <v>0</v>
      </c>
      <c r="H17" s="89">
        <f>F17*E17</f>
        <v>0</v>
      </c>
      <c r="I17" s="499"/>
    </row>
    <row r="18" spans="1:9" ht="22.5">
      <c r="A18" s="500" t="s">
        <v>2344</v>
      </c>
      <c r="B18" s="491" t="s">
        <v>67</v>
      </c>
      <c r="C18" s="87">
        <v>1</v>
      </c>
      <c r="D18" s="87">
        <v>1</v>
      </c>
      <c r="E18" s="87">
        <f>C18-D18</f>
        <v>0</v>
      </c>
      <c r="F18" s="90"/>
      <c r="G18" s="89">
        <f>F18*D18</f>
        <v>0</v>
      </c>
      <c r="H18" s="89">
        <f>F18*E18</f>
        <v>0</v>
      </c>
      <c r="I18" s="499"/>
    </row>
    <row r="19" spans="1:9" ht="22.5">
      <c r="A19" s="500" t="s">
        <v>2345</v>
      </c>
      <c r="B19" s="491" t="s">
        <v>67</v>
      </c>
      <c r="C19" s="87">
        <v>1</v>
      </c>
      <c r="D19" s="87">
        <v>1</v>
      </c>
      <c r="E19" s="87">
        <f>C19-D19</f>
        <v>0</v>
      </c>
      <c r="F19" s="90"/>
      <c r="G19" s="89">
        <f>F19*D19</f>
        <v>0</v>
      </c>
      <c r="H19" s="89">
        <f>F19*E19</f>
        <v>0</v>
      </c>
      <c r="I19" s="499"/>
    </row>
    <row r="20" spans="1:9" ht="4.5" customHeight="1" thickBot="1">
      <c r="A20" s="493"/>
      <c r="B20" s="494"/>
      <c r="C20" s="38"/>
      <c r="D20" s="38"/>
      <c r="E20" s="38"/>
      <c r="F20" s="201"/>
      <c r="G20" s="22"/>
      <c r="H20" s="22"/>
      <c r="I20" s="495"/>
    </row>
    <row r="21" spans="1:9" ht="13.5" thickBot="1">
      <c r="A21" s="482" t="s">
        <v>1270</v>
      </c>
      <c r="B21" s="496"/>
      <c r="C21" s="39"/>
      <c r="D21" s="39"/>
      <c r="E21" s="39"/>
      <c r="F21" s="202"/>
      <c r="G21" s="37">
        <f>SUM(G22:G25)</f>
        <v>0</v>
      </c>
      <c r="H21" s="37">
        <f>SUM(H22:H25)</f>
        <v>0</v>
      </c>
      <c r="I21" s="485" t="s">
        <v>131</v>
      </c>
    </row>
    <row r="22" spans="1:9" s="489" customFormat="1">
      <c r="A22" s="486" t="s">
        <v>1271</v>
      </c>
      <c r="B22" s="487"/>
      <c r="C22" s="136"/>
      <c r="D22" s="136"/>
      <c r="E22" s="136"/>
      <c r="F22" s="137"/>
      <c r="G22" s="138"/>
      <c r="H22" s="138"/>
      <c r="I22" s="488"/>
    </row>
    <row r="23" spans="1:9">
      <c r="A23" s="500" t="s">
        <v>1272</v>
      </c>
      <c r="B23" s="491" t="s">
        <v>67</v>
      </c>
      <c r="C23" s="87">
        <v>1</v>
      </c>
      <c r="D23" s="87"/>
      <c r="E23" s="87">
        <f>C23-D23</f>
        <v>1</v>
      </c>
      <c r="F23" s="90"/>
      <c r="G23" s="89">
        <f>F23*D23</f>
        <v>0</v>
      </c>
      <c r="H23" s="89">
        <f>F23*E23</f>
        <v>0</v>
      </c>
      <c r="I23" s="499"/>
    </row>
    <row r="24" spans="1:9">
      <c r="A24" s="500" t="s">
        <v>1273</v>
      </c>
      <c r="B24" s="491" t="s">
        <v>67</v>
      </c>
      <c r="C24" s="87">
        <v>1</v>
      </c>
      <c r="D24" s="87"/>
      <c r="E24" s="87">
        <f>C24-D24</f>
        <v>1</v>
      </c>
      <c r="F24" s="90"/>
      <c r="G24" s="89">
        <f>F24*D24</f>
        <v>0</v>
      </c>
      <c r="H24" s="89">
        <f>F24*E24</f>
        <v>0</v>
      </c>
      <c r="I24" s="499"/>
    </row>
    <row r="25" spans="1:9" ht="6" customHeight="1" thickBot="1">
      <c r="A25" s="501"/>
      <c r="B25" s="502"/>
      <c r="C25" s="40"/>
      <c r="D25" s="40"/>
      <c r="E25" s="40"/>
      <c r="F25" s="201"/>
      <c r="G25" s="22"/>
      <c r="H25" s="22"/>
      <c r="I25" s="495"/>
    </row>
    <row r="26" spans="1:9" ht="13.5" thickBot="1">
      <c r="A26" s="482" t="s">
        <v>1274</v>
      </c>
      <c r="B26" s="496"/>
      <c r="C26" s="39"/>
      <c r="D26" s="39"/>
      <c r="E26" s="39"/>
      <c r="F26" s="202"/>
      <c r="G26" s="37">
        <f>SUM(G28:G28)</f>
        <v>0</v>
      </c>
      <c r="H26" s="37">
        <f>SUM(H28:H28)</f>
        <v>0</v>
      </c>
      <c r="I26" s="485" t="s">
        <v>131</v>
      </c>
    </row>
    <row r="27" spans="1:9" s="489" customFormat="1">
      <c r="A27" s="486" t="s">
        <v>1275</v>
      </c>
      <c r="B27" s="487"/>
      <c r="C27" s="136"/>
      <c r="D27" s="136"/>
      <c r="E27" s="136"/>
      <c r="F27" s="137"/>
      <c r="G27" s="138"/>
      <c r="H27" s="138"/>
      <c r="I27" s="488"/>
    </row>
    <row r="28" spans="1:9" ht="22.5">
      <c r="A28" s="500" t="s">
        <v>2346</v>
      </c>
      <c r="B28" s="491" t="s">
        <v>67</v>
      </c>
      <c r="C28" s="87">
        <v>1</v>
      </c>
      <c r="D28" s="87"/>
      <c r="E28" s="87">
        <f>C28-D28</f>
        <v>1</v>
      </c>
      <c r="F28" s="90"/>
      <c r="G28" s="89">
        <f>F28*D28</f>
        <v>0</v>
      </c>
      <c r="H28" s="89">
        <f>F28*E28</f>
        <v>0</v>
      </c>
      <c r="I28" s="499"/>
    </row>
    <row r="29" spans="1:9" ht="6" customHeight="1" thickBot="1">
      <c r="A29" s="501"/>
      <c r="B29" s="502"/>
      <c r="C29" s="40"/>
      <c r="D29" s="40"/>
      <c r="E29" s="40"/>
      <c r="F29" s="201"/>
      <c r="G29" s="22"/>
      <c r="H29" s="22"/>
      <c r="I29" s="495"/>
    </row>
    <row r="30" spans="1:9" ht="13.5" thickBot="1">
      <c r="A30" s="482" t="s">
        <v>1276</v>
      </c>
      <c r="B30" s="496"/>
      <c r="C30" s="39"/>
      <c r="D30" s="39"/>
      <c r="E30" s="39"/>
      <c r="F30" s="202"/>
      <c r="G30" s="37">
        <f>SUM(G31:G31)</f>
        <v>0</v>
      </c>
      <c r="H30" s="37">
        <f>SUM(H31:H31)</f>
        <v>0</v>
      </c>
      <c r="I30" s="485" t="s">
        <v>131</v>
      </c>
    </row>
    <row r="31" spans="1:9">
      <c r="A31" s="500" t="s">
        <v>1277</v>
      </c>
      <c r="B31" s="491" t="s">
        <v>67</v>
      </c>
      <c r="C31" s="87">
        <v>3</v>
      </c>
      <c r="D31" s="87"/>
      <c r="E31" s="87">
        <f>C31-D31</f>
        <v>3</v>
      </c>
      <c r="F31" s="90"/>
      <c r="G31" s="89">
        <f>F31*D31</f>
        <v>0</v>
      </c>
      <c r="H31" s="89">
        <f>F31*E31</f>
        <v>0</v>
      </c>
      <c r="I31" s="499"/>
    </row>
    <row r="32" spans="1:9" ht="6" customHeight="1" thickBot="1">
      <c r="A32" s="501"/>
      <c r="B32" s="502"/>
      <c r="C32" s="40"/>
      <c r="D32" s="40"/>
      <c r="E32" s="40"/>
      <c r="F32" s="201"/>
      <c r="G32" s="22"/>
      <c r="H32" s="22"/>
      <c r="I32" s="495"/>
    </row>
    <row r="33" spans="1:9" ht="13.5" thickBot="1">
      <c r="A33" s="482" t="s">
        <v>1278</v>
      </c>
      <c r="B33" s="496"/>
      <c r="C33" s="39"/>
      <c r="D33" s="39"/>
      <c r="E33" s="39"/>
      <c r="F33" s="202"/>
      <c r="G33" s="37">
        <f>SUM(G34:G34)</f>
        <v>0</v>
      </c>
      <c r="H33" s="37">
        <f>SUM(H34:H34)</f>
        <v>0</v>
      </c>
      <c r="I33" s="485" t="s">
        <v>131</v>
      </c>
    </row>
    <row r="34" spans="1:9">
      <c r="A34" s="500" t="s">
        <v>1279</v>
      </c>
      <c r="B34" s="491" t="s">
        <v>67</v>
      </c>
      <c r="C34" s="87">
        <v>1</v>
      </c>
      <c r="D34" s="87"/>
      <c r="E34" s="87">
        <f>C34-D34</f>
        <v>1</v>
      </c>
      <c r="F34" s="90"/>
      <c r="G34" s="89">
        <f>F34*D34</f>
        <v>0</v>
      </c>
      <c r="H34" s="89">
        <f>F34*E34</f>
        <v>0</v>
      </c>
      <c r="I34" s="499"/>
    </row>
    <row r="35" spans="1:9" ht="6" customHeight="1" thickBot="1">
      <c r="A35" s="501"/>
      <c r="B35" s="502"/>
      <c r="C35" s="40"/>
      <c r="D35" s="40"/>
      <c r="E35" s="40"/>
      <c r="F35" s="201"/>
      <c r="G35" s="22"/>
      <c r="H35" s="22"/>
      <c r="I35" s="495"/>
    </row>
    <row r="36" spans="1:9" ht="13.5" thickBot="1">
      <c r="A36" s="482" t="s">
        <v>1280</v>
      </c>
      <c r="B36" s="496"/>
      <c r="C36" s="39"/>
      <c r="D36" s="39"/>
      <c r="E36" s="39"/>
      <c r="F36" s="202"/>
      <c r="G36" s="37">
        <f>SUM(G37:G57)</f>
        <v>0</v>
      </c>
      <c r="H36" s="37">
        <f>SUM(H37:H57)</f>
        <v>0</v>
      </c>
      <c r="I36" s="485" t="s">
        <v>131</v>
      </c>
    </row>
    <row r="37" spans="1:9" s="489" customFormat="1">
      <c r="A37" s="486" t="s">
        <v>1281</v>
      </c>
      <c r="B37" s="487"/>
      <c r="C37" s="136"/>
      <c r="D37" s="136"/>
      <c r="E37" s="136"/>
      <c r="F37" s="137"/>
      <c r="G37" s="138"/>
      <c r="H37" s="138"/>
      <c r="I37" s="488"/>
    </row>
    <row r="38" spans="1:9" ht="22.5">
      <c r="A38" s="523" t="s">
        <v>2444</v>
      </c>
      <c r="B38" s="491" t="s">
        <v>67</v>
      </c>
      <c r="C38" s="87">
        <v>8</v>
      </c>
      <c r="D38" s="87">
        <v>1</v>
      </c>
      <c r="E38" s="87">
        <f>C38-D38</f>
        <v>7</v>
      </c>
      <c r="F38" s="90"/>
      <c r="G38" s="89">
        <f>F38*D38</f>
        <v>0</v>
      </c>
      <c r="H38" s="89">
        <f>F38*E38</f>
        <v>0</v>
      </c>
      <c r="I38" s="499"/>
    </row>
    <row r="39" spans="1:9" ht="22.5">
      <c r="A39" s="523" t="s">
        <v>2445</v>
      </c>
      <c r="B39" s="491" t="s">
        <v>67</v>
      </c>
      <c r="C39" s="87">
        <v>1</v>
      </c>
      <c r="D39" s="87"/>
      <c r="E39" s="87">
        <f>C39-D39</f>
        <v>1</v>
      </c>
      <c r="F39" s="90"/>
      <c r="G39" s="89">
        <f>F39*D39</f>
        <v>0</v>
      </c>
      <c r="H39" s="89">
        <f>F39*E39</f>
        <v>0</v>
      </c>
      <c r="I39" s="499"/>
    </row>
    <row r="40" spans="1:9" ht="22.5">
      <c r="A40" s="523" t="s">
        <v>2407</v>
      </c>
      <c r="B40" s="491" t="s">
        <v>67</v>
      </c>
      <c r="C40" s="87">
        <v>9</v>
      </c>
      <c r="D40" s="87">
        <v>1</v>
      </c>
      <c r="E40" s="87">
        <f>C40-D40</f>
        <v>8</v>
      </c>
      <c r="F40" s="90"/>
      <c r="G40" s="89">
        <f>F40*D40</f>
        <v>0</v>
      </c>
      <c r="H40" s="89">
        <f>F40*E40</f>
        <v>0</v>
      </c>
      <c r="I40" s="499"/>
    </row>
    <row r="41" spans="1:9" s="489" customFormat="1">
      <c r="A41" s="486" t="s">
        <v>1282</v>
      </c>
      <c r="B41" s="487"/>
      <c r="C41" s="136"/>
      <c r="D41" s="136"/>
      <c r="E41" s="136"/>
      <c r="F41" s="137"/>
      <c r="G41" s="138"/>
      <c r="H41" s="138"/>
      <c r="I41" s="488"/>
    </row>
    <row r="42" spans="1:9">
      <c r="A42" s="500" t="s">
        <v>2253</v>
      </c>
      <c r="B42" s="491" t="s">
        <v>67</v>
      </c>
      <c r="C42" s="87">
        <v>3</v>
      </c>
      <c r="D42" s="87"/>
      <c r="E42" s="87">
        <f>C42-D42</f>
        <v>3</v>
      </c>
      <c r="F42" s="90"/>
      <c r="G42" s="89">
        <f>F42*D42</f>
        <v>0</v>
      </c>
      <c r="H42" s="89">
        <f>F42*E42</f>
        <v>0</v>
      </c>
      <c r="I42" s="499"/>
    </row>
    <row r="43" spans="1:9" s="489" customFormat="1">
      <c r="A43" s="486" t="s">
        <v>1283</v>
      </c>
      <c r="B43" s="487"/>
      <c r="C43" s="136"/>
      <c r="D43" s="136"/>
      <c r="E43" s="136"/>
      <c r="F43" s="137"/>
      <c r="G43" s="138"/>
      <c r="H43" s="138"/>
      <c r="I43" s="488"/>
    </row>
    <row r="44" spans="1:9" ht="22.5">
      <c r="A44" s="523" t="s">
        <v>2446</v>
      </c>
      <c r="B44" s="491" t="s">
        <v>67</v>
      </c>
      <c r="C44" s="87">
        <v>7</v>
      </c>
      <c r="D44" s="87">
        <v>1</v>
      </c>
      <c r="E44" s="87">
        <f>C44-D44</f>
        <v>6</v>
      </c>
      <c r="F44" s="90"/>
      <c r="G44" s="89">
        <f>F44*D44</f>
        <v>0</v>
      </c>
      <c r="H44" s="89">
        <f>F44*E44</f>
        <v>0</v>
      </c>
      <c r="I44" s="499"/>
    </row>
    <row r="45" spans="1:9" ht="22.5">
      <c r="A45" s="523" t="s">
        <v>2447</v>
      </c>
      <c r="B45" s="491" t="s">
        <v>67</v>
      </c>
      <c r="C45" s="87">
        <v>1</v>
      </c>
      <c r="D45" s="87"/>
      <c r="E45" s="87">
        <f>C45-D45</f>
        <v>1</v>
      </c>
      <c r="F45" s="90"/>
      <c r="G45" s="89">
        <f>F45*D45</f>
        <v>0</v>
      </c>
      <c r="H45" s="89">
        <f>F45*E45</f>
        <v>0</v>
      </c>
      <c r="I45" s="499"/>
    </row>
    <row r="46" spans="1:9" s="489" customFormat="1">
      <c r="A46" s="486" t="s">
        <v>1284</v>
      </c>
      <c r="B46" s="487"/>
      <c r="C46" s="136"/>
      <c r="D46" s="136"/>
      <c r="E46" s="136"/>
      <c r="F46" s="137"/>
      <c r="G46" s="138"/>
      <c r="H46" s="138"/>
      <c r="I46" s="488"/>
    </row>
    <row r="47" spans="1:9" ht="22.5">
      <c r="A47" s="500" t="s">
        <v>2254</v>
      </c>
      <c r="B47" s="491" t="s">
        <v>67</v>
      </c>
      <c r="C47" s="87">
        <v>1</v>
      </c>
      <c r="D47" s="87"/>
      <c r="E47" s="87">
        <f>C47-D47</f>
        <v>1</v>
      </c>
      <c r="F47" s="90"/>
      <c r="G47" s="89">
        <f>F47*D47</f>
        <v>0</v>
      </c>
      <c r="H47" s="89">
        <f>F47*E47</f>
        <v>0</v>
      </c>
      <c r="I47" s="499"/>
    </row>
    <row r="48" spans="1:9">
      <c r="A48" s="500" t="s">
        <v>2255</v>
      </c>
      <c r="B48" s="491" t="s">
        <v>67</v>
      </c>
      <c r="C48" s="87">
        <v>1</v>
      </c>
      <c r="D48" s="87"/>
      <c r="E48" s="87">
        <f>C48-D48</f>
        <v>1</v>
      </c>
      <c r="F48" s="90"/>
      <c r="G48" s="89">
        <f>F48*D48</f>
        <v>0</v>
      </c>
      <c r="H48" s="89">
        <f>F48*E48</f>
        <v>0</v>
      </c>
      <c r="I48" s="499"/>
    </row>
    <row r="49" spans="1:9" s="489" customFormat="1">
      <c r="A49" s="486" t="s">
        <v>1264</v>
      </c>
      <c r="B49" s="487"/>
      <c r="C49" s="136"/>
      <c r="D49" s="136"/>
      <c r="E49" s="136"/>
      <c r="F49" s="137"/>
      <c r="G49" s="138"/>
      <c r="H49" s="138"/>
      <c r="I49" s="488"/>
    </row>
    <row r="50" spans="1:9">
      <c r="A50" s="500" t="s">
        <v>2256</v>
      </c>
      <c r="B50" s="491" t="s">
        <v>67</v>
      </c>
      <c r="C50" s="87">
        <v>2</v>
      </c>
      <c r="D50" s="87"/>
      <c r="E50" s="87">
        <f>C50-D50</f>
        <v>2</v>
      </c>
      <c r="F50" s="90"/>
      <c r="G50" s="89">
        <f>F50*D50</f>
        <v>0</v>
      </c>
      <c r="H50" s="89">
        <f>F50*E50</f>
        <v>0</v>
      </c>
      <c r="I50" s="499"/>
    </row>
    <row r="51" spans="1:9">
      <c r="A51" s="500" t="s">
        <v>1285</v>
      </c>
      <c r="B51" s="491" t="s">
        <v>67</v>
      </c>
      <c r="C51" s="87">
        <v>4</v>
      </c>
      <c r="D51" s="87"/>
      <c r="E51" s="87">
        <f>C51-D51</f>
        <v>4</v>
      </c>
      <c r="F51" s="90"/>
      <c r="G51" s="89">
        <f>F51*D51</f>
        <v>0</v>
      </c>
      <c r="H51" s="89">
        <f>F51*E51</f>
        <v>0</v>
      </c>
      <c r="I51" s="499"/>
    </row>
    <row r="52" spans="1:9">
      <c r="A52" s="500" t="s">
        <v>1286</v>
      </c>
      <c r="B52" s="491" t="s">
        <v>67</v>
      </c>
      <c r="C52" s="87">
        <v>2</v>
      </c>
      <c r="D52" s="87"/>
      <c r="E52" s="87">
        <f>C52-D52</f>
        <v>2</v>
      </c>
      <c r="F52" s="90"/>
      <c r="G52" s="89">
        <f>F52*D52</f>
        <v>0</v>
      </c>
      <c r="H52" s="89">
        <f>F52*E52</f>
        <v>0</v>
      </c>
      <c r="I52" s="499"/>
    </row>
    <row r="53" spans="1:9">
      <c r="A53" s="500" t="s">
        <v>1287</v>
      </c>
      <c r="B53" s="491" t="s">
        <v>67</v>
      </c>
      <c r="C53" s="87">
        <v>4</v>
      </c>
      <c r="D53" s="87"/>
      <c r="E53" s="87">
        <f>C53-D53</f>
        <v>4</v>
      </c>
      <c r="F53" s="90"/>
      <c r="G53" s="89">
        <f>F53*D53</f>
        <v>0</v>
      </c>
      <c r="H53" s="89">
        <f>F53*E53</f>
        <v>0</v>
      </c>
      <c r="I53" s="499"/>
    </row>
    <row r="54" spans="1:9" s="489" customFormat="1">
      <c r="A54" s="486" t="s">
        <v>283</v>
      </c>
      <c r="B54" s="487"/>
      <c r="C54" s="136"/>
      <c r="D54" s="136"/>
      <c r="E54" s="136"/>
      <c r="F54" s="137"/>
      <c r="G54" s="138"/>
      <c r="H54" s="138"/>
      <c r="I54" s="488"/>
    </row>
    <row r="55" spans="1:9">
      <c r="A55" s="500" t="s">
        <v>285</v>
      </c>
      <c r="B55" s="491" t="s">
        <v>67</v>
      </c>
      <c r="C55" s="87">
        <v>2</v>
      </c>
      <c r="D55" s="87"/>
      <c r="E55" s="87">
        <f>C55-D55</f>
        <v>2</v>
      </c>
      <c r="F55" s="90"/>
      <c r="G55" s="89">
        <f>F55*D55</f>
        <v>0</v>
      </c>
      <c r="H55" s="89">
        <f>F55*E55</f>
        <v>0</v>
      </c>
      <c r="I55" s="499"/>
    </row>
    <row r="56" spans="1:9" s="489" customFormat="1">
      <c r="A56" s="486" t="s">
        <v>1265</v>
      </c>
      <c r="B56" s="487"/>
      <c r="C56" s="136"/>
      <c r="D56" s="136"/>
      <c r="E56" s="136"/>
      <c r="F56" s="137"/>
      <c r="G56" s="138"/>
      <c r="H56" s="138"/>
      <c r="I56" s="488"/>
    </row>
    <row r="57" spans="1:9">
      <c r="A57" s="500" t="s">
        <v>2257</v>
      </c>
      <c r="B57" s="491" t="s">
        <v>67</v>
      </c>
      <c r="C57" s="87">
        <v>2</v>
      </c>
      <c r="D57" s="87"/>
      <c r="E57" s="87">
        <f>C57-D57</f>
        <v>2</v>
      </c>
      <c r="F57" s="90"/>
      <c r="G57" s="89">
        <f>F57*D57</f>
        <v>0</v>
      </c>
      <c r="H57" s="89">
        <f>F57*E57</f>
        <v>0</v>
      </c>
      <c r="I57" s="499"/>
    </row>
    <row r="58" spans="1:9" ht="4.5" customHeight="1" thickBot="1">
      <c r="A58" s="493"/>
      <c r="B58" s="494"/>
      <c r="C58" s="38"/>
      <c r="D58" s="38"/>
      <c r="E58" s="38"/>
      <c r="F58" s="201"/>
      <c r="G58" s="22"/>
      <c r="H58" s="22"/>
      <c r="I58" s="495"/>
    </row>
    <row r="59" spans="1:9" ht="13.5" thickBot="1">
      <c r="A59" s="482" t="s">
        <v>1288</v>
      </c>
      <c r="B59" s="483"/>
      <c r="C59" s="36"/>
      <c r="D59" s="36"/>
      <c r="E59" s="36"/>
      <c r="F59" s="74"/>
      <c r="G59" s="37">
        <f>SUM(G60:G70)</f>
        <v>0</v>
      </c>
      <c r="H59" s="37">
        <f>SUM(H60:H70)</f>
        <v>0</v>
      </c>
      <c r="I59" s="485" t="s">
        <v>131</v>
      </c>
    </row>
    <row r="60" spans="1:9">
      <c r="A60" s="500" t="s">
        <v>289</v>
      </c>
      <c r="B60" s="491" t="s">
        <v>81</v>
      </c>
      <c r="C60" s="87">
        <v>20</v>
      </c>
      <c r="D60" s="87"/>
      <c r="E60" s="87">
        <f t="shared" ref="E60:E70" si="0">C60-D60</f>
        <v>20</v>
      </c>
      <c r="F60" s="90"/>
      <c r="G60" s="89">
        <f t="shared" ref="G60:G70" si="1">F60*D60</f>
        <v>0</v>
      </c>
      <c r="H60" s="89">
        <f t="shared" ref="H60:H70" si="2">F60*E60</f>
        <v>0</v>
      </c>
      <c r="I60" s="499"/>
    </row>
    <row r="61" spans="1:9">
      <c r="A61" s="490" t="s">
        <v>290</v>
      </c>
      <c r="B61" s="491" t="s">
        <v>81</v>
      </c>
      <c r="C61" s="87">
        <v>34</v>
      </c>
      <c r="D61" s="87">
        <v>5</v>
      </c>
      <c r="E61" s="87">
        <f t="shared" si="0"/>
        <v>29</v>
      </c>
      <c r="F61" s="90"/>
      <c r="G61" s="89">
        <f t="shared" si="1"/>
        <v>0</v>
      </c>
      <c r="H61" s="89">
        <f t="shared" si="2"/>
        <v>0</v>
      </c>
      <c r="I61" s="492"/>
    </row>
    <row r="62" spans="1:9">
      <c r="A62" s="490" t="s">
        <v>288</v>
      </c>
      <c r="B62" s="491" t="s">
        <v>81</v>
      </c>
      <c r="C62" s="87">
        <v>18</v>
      </c>
      <c r="D62" s="87">
        <v>4</v>
      </c>
      <c r="E62" s="87">
        <f t="shared" si="0"/>
        <v>14</v>
      </c>
      <c r="F62" s="90"/>
      <c r="G62" s="89">
        <f t="shared" si="1"/>
        <v>0</v>
      </c>
      <c r="H62" s="89">
        <f t="shared" si="2"/>
        <v>0</v>
      </c>
      <c r="I62" s="492"/>
    </row>
    <row r="63" spans="1:9">
      <c r="A63" s="490" t="s">
        <v>1290</v>
      </c>
      <c r="B63" s="491" t="s">
        <v>67</v>
      </c>
      <c r="C63" s="87">
        <v>14</v>
      </c>
      <c r="D63" s="87"/>
      <c r="E63" s="87">
        <f t="shared" si="0"/>
        <v>14</v>
      </c>
      <c r="F63" s="90"/>
      <c r="G63" s="89">
        <f t="shared" si="1"/>
        <v>0</v>
      </c>
      <c r="H63" s="89">
        <f t="shared" si="2"/>
        <v>0</v>
      </c>
      <c r="I63" s="492"/>
    </row>
    <row r="64" spans="1:9">
      <c r="A64" s="490" t="s">
        <v>1291</v>
      </c>
      <c r="B64" s="491" t="s">
        <v>67</v>
      </c>
      <c r="C64" s="87">
        <v>20</v>
      </c>
      <c r="D64" s="87">
        <v>3</v>
      </c>
      <c r="E64" s="87">
        <f t="shared" si="0"/>
        <v>17</v>
      </c>
      <c r="F64" s="90"/>
      <c r="G64" s="89">
        <f t="shared" si="1"/>
        <v>0</v>
      </c>
      <c r="H64" s="89">
        <f t="shared" si="2"/>
        <v>0</v>
      </c>
      <c r="I64" s="492"/>
    </row>
    <row r="65" spans="1:9">
      <c r="A65" s="490" t="s">
        <v>1292</v>
      </c>
      <c r="B65" s="491" t="s">
        <v>67</v>
      </c>
      <c r="C65" s="87">
        <v>2</v>
      </c>
      <c r="D65" s="87"/>
      <c r="E65" s="87">
        <f t="shared" si="0"/>
        <v>2</v>
      </c>
      <c r="F65" s="90"/>
      <c r="G65" s="89">
        <f t="shared" si="1"/>
        <v>0</v>
      </c>
      <c r="H65" s="89">
        <f t="shared" si="2"/>
        <v>0</v>
      </c>
      <c r="I65" s="492"/>
    </row>
    <row r="66" spans="1:9">
      <c r="A66" s="490" t="s">
        <v>1293</v>
      </c>
      <c r="B66" s="491" t="s">
        <v>67</v>
      </c>
      <c r="C66" s="87">
        <v>1</v>
      </c>
      <c r="D66" s="87"/>
      <c r="E66" s="87">
        <f t="shared" si="0"/>
        <v>1</v>
      </c>
      <c r="F66" s="90"/>
      <c r="G66" s="89">
        <f t="shared" si="1"/>
        <v>0</v>
      </c>
      <c r="H66" s="89">
        <f t="shared" si="2"/>
        <v>0</v>
      </c>
      <c r="I66" s="492"/>
    </row>
    <row r="67" spans="1:9">
      <c r="A67" s="490" t="s">
        <v>1289</v>
      </c>
      <c r="B67" s="491" t="s">
        <v>67</v>
      </c>
      <c r="C67" s="87">
        <v>2</v>
      </c>
      <c r="D67" s="87"/>
      <c r="E67" s="87">
        <f t="shared" si="0"/>
        <v>2</v>
      </c>
      <c r="F67" s="90"/>
      <c r="G67" s="89">
        <f t="shared" si="1"/>
        <v>0</v>
      </c>
      <c r="H67" s="89">
        <f t="shared" si="2"/>
        <v>0</v>
      </c>
      <c r="I67" s="492"/>
    </row>
    <row r="68" spans="1:9">
      <c r="A68" s="490" t="s">
        <v>1296</v>
      </c>
      <c r="B68" s="491" t="s">
        <v>67</v>
      </c>
      <c r="C68" s="87">
        <v>3</v>
      </c>
      <c r="D68" s="87">
        <v>1</v>
      </c>
      <c r="E68" s="87">
        <f t="shared" si="0"/>
        <v>2</v>
      </c>
      <c r="F68" s="90"/>
      <c r="G68" s="89">
        <f t="shared" si="1"/>
        <v>0</v>
      </c>
      <c r="H68" s="89">
        <f t="shared" si="2"/>
        <v>0</v>
      </c>
      <c r="I68" s="492"/>
    </row>
    <row r="69" spans="1:9">
      <c r="A69" s="490" t="s">
        <v>1294</v>
      </c>
      <c r="B69" s="491" t="s">
        <v>67</v>
      </c>
      <c r="C69" s="87">
        <v>5</v>
      </c>
      <c r="D69" s="87">
        <v>1</v>
      </c>
      <c r="E69" s="87">
        <f t="shared" si="0"/>
        <v>4</v>
      </c>
      <c r="F69" s="90"/>
      <c r="G69" s="89">
        <f t="shared" si="1"/>
        <v>0</v>
      </c>
      <c r="H69" s="89">
        <f t="shared" si="2"/>
        <v>0</v>
      </c>
      <c r="I69" s="492"/>
    </row>
    <row r="70" spans="1:9">
      <c r="A70" s="490" t="s">
        <v>1295</v>
      </c>
      <c r="B70" s="491" t="s">
        <v>67</v>
      </c>
      <c r="C70" s="87">
        <v>1</v>
      </c>
      <c r="D70" s="87"/>
      <c r="E70" s="87">
        <f t="shared" si="0"/>
        <v>1</v>
      </c>
      <c r="F70" s="90"/>
      <c r="G70" s="89">
        <f t="shared" si="1"/>
        <v>0</v>
      </c>
      <c r="H70" s="89">
        <f t="shared" si="2"/>
        <v>0</v>
      </c>
      <c r="I70" s="492"/>
    </row>
    <row r="71" spans="1:9" ht="4.5" customHeight="1" thickBot="1">
      <c r="A71" s="493"/>
      <c r="B71" s="494"/>
      <c r="C71" s="38"/>
      <c r="D71" s="38"/>
      <c r="E71" s="38"/>
      <c r="F71" s="201"/>
      <c r="G71" s="22"/>
      <c r="H71" s="22"/>
      <c r="I71" s="495"/>
    </row>
    <row r="72" spans="1:9" ht="26.25" thickBot="1">
      <c r="A72" s="482" t="s">
        <v>519</v>
      </c>
      <c r="B72" s="483"/>
      <c r="C72" s="36"/>
      <c r="D72" s="36"/>
      <c r="E72" s="36"/>
      <c r="F72" s="74"/>
      <c r="G72" s="37">
        <f>SUM(G73:G94)</f>
        <v>0</v>
      </c>
      <c r="H72" s="37">
        <f>SUM(H73:H94)</f>
        <v>0</v>
      </c>
      <c r="I72" s="485" t="s">
        <v>131</v>
      </c>
    </row>
    <row r="73" spans="1:9">
      <c r="A73" s="500" t="s">
        <v>1297</v>
      </c>
      <c r="B73" s="491" t="s">
        <v>81</v>
      </c>
      <c r="C73" s="87">
        <v>8</v>
      </c>
      <c r="D73" s="87"/>
      <c r="E73" s="87">
        <f t="shared" ref="E73:E94" si="3">C73-D73</f>
        <v>8</v>
      </c>
      <c r="F73" s="90"/>
      <c r="G73" s="89">
        <f t="shared" ref="G73:G94" si="4">F73*D73</f>
        <v>0</v>
      </c>
      <c r="H73" s="89">
        <f t="shared" ref="H73:H94" si="5">F73*E73</f>
        <v>0</v>
      </c>
      <c r="I73" s="499"/>
    </row>
    <row r="74" spans="1:9">
      <c r="A74" s="500" t="s">
        <v>295</v>
      </c>
      <c r="B74" s="491" t="s">
        <v>81</v>
      </c>
      <c r="C74" s="87">
        <v>33</v>
      </c>
      <c r="D74" s="87">
        <v>3</v>
      </c>
      <c r="E74" s="87">
        <f t="shared" si="3"/>
        <v>30</v>
      </c>
      <c r="F74" s="90"/>
      <c r="G74" s="89">
        <f t="shared" si="4"/>
        <v>0</v>
      </c>
      <c r="H74" s="89">
        <f t="shared" si="5"/>
        <v>0</v>
      </c>
      <c r="I74" s="499"/>
    </row>
    <row r="75" spans="1:9">
      <c r="A75" s="490" t="s">
        <v>1298</v>
      </c>
      <c r="B75" s="491" t="s">
        <v>81</v>
      </c>
      <c r="C75" s="87">
        <v>18</v>
      </c>
      <c r="D75" s="87"/>
      <c r="E75" s="87">
        <f t="shared" si="3"/>
        <v>18</v>
      </c>
      <c r="F75" s="90"/>
      <c r="G75" s="89">
        <f t="shared" si="4"/>
        <v>0</v>
      </c>
      <c r="H75" s="89">
        <f t="shared" si="5"/>
        <v>0</v>
      </c>
      <c r="I75" s="492"/>
    </row>
    <row r="76" spans="1:9">
      <c r="A76" s="490" t="s">
        <v>296</v>
      </c>
      <c r="B76" s="491" t="s">
        <v>81</v>
      </c>
      <c r="C76" s="87">
        <v>36</v>
      </c>
      <c r="D76" s="87">
        <v>10</v>
      </c>
      <c r="E76" s="87">
        <f t="shared" si="3"/>
        <v>26</v>
      </c>
      <c r="F76" s="90"/>
      <c r="G76" s="89">
        <f t="shared" si="4"/>
        <v>0</v>
      </c>
      <c r="H76" s="89">
        <f t="shared" si="5"/>
        <v>0</v>
      </c>
      <c r="I76" s="492"/>
    </row>
    <row r="77" spans="1:9">
      <c r="A77" s="490" t="s">
        <v>520</v>
      </c>
      <c r="B77" s="491" t="s">
        <v>67</v>
      </c>
      <c r="C77" s="87">
        <v>3</v>
      </c>
      <c r="D77" s="87"/>
      <c r="E77" s="87">
        <f t="shared" si="3"/>
        <v>3</v>
      </c>
      <c r="F77" s="90"/>
      <c r="G77" s="89">
        <f t="shared" si="4"/>
        <v>0</v>
      </c>
      <c r="H77" s="89">
        <f t="shared" si="5"/>
        <v>0</v>
      </c>
      <c r="I77" s="492"/>
    </row>
    <row r="78" spans="1:9">
      <c r="A78" s="490" t="s">
        <v>297</v>
      </c>
      <c r="B78" s="491" t="s">
        <v>67</v>
      </c>
      <c r="C78" s="87">
        <v>6</v>
      </c>
      <c r="D78" s="87">
        <v>2</v>
      </c>
      <c r="E78" s="87">
        <f t="shared" si="3"/>
        <v>4</v>
      </c>
      <c r="F78" s="90"/>
      <c r="G78" s="89">
        <f t="shared" si="4"/>
        <v>0</v>
      </c>
      <c r="H78" s="89">
        <f t="shared" si="5"/>
        <v>0</v>
      </c>
      <c r="I78" s="492"/>
    </row>
    <row r="79" spans="1:9">
      <c r="A79" s="490" t="s">
        <v>298</v>
      </c>
      <c r="B79" s="491" t="s">
        <v>67</v>
      </c>
      <c r="C79" s="87">
        <v>45</v>
      </c>
      <c r="D79" s="87"/>
      <c r="E79" s="87">
        <f t="shared" si="3"/>
        <v>45</v>
      </c>
      <c r="F79" s="90"/>
      <c r="G79" s="89">
        <f t="shared" si="4"/>
        <v>0</v>
      </c>
      <c r="H79" s="89">
        <f t="shared" si="5"/>
        <v>0</v>
      </c>
      <c r="I79" s="492"/>
    </row>
    <row r="80" spans="1:9">
      <c r="A80" s="490" t="s">
        <v>1299</v>
      </c>
      <c r="B80" s="491" t="s">
        <v>67</v>
      </c>
      <c r="C80" s="87">
        <v>1</v>
      </c>
      <c r="D80" s="87"/>
      <c r="E80" s="87">
        <f t="shared" si="3"/>
        <v>1</v>
      </c>
      <c r="F80" s="90"/>
      <c r="G80" s="89">
        <f t="shared" si="4"/>
        <v>0</v>
      </c>
      <c r="H80" s="89">
        <f t="shared" si="5"/>
        <v>0</v>
      </c>
      <c r="I80" s="492"/>
    </row>
    <row r="81" spans="1:9">
      <c r="A81" s="490" t="s">
        <v>1300</v>
      </c>
      <c r="B81" s="491" t="s">
        <v>67</v>
      </c>
      <c r="C81" s="87">
        <v>7</v>
      </c>
      <c r="D81" s="87"/>
      <c r="E81" s="87">
        <f t="shared" si="3"/>
        <v>7</v>
      </c>
      <c r="F81" s="90"/>
      <c r="G81" s="89">
        <f t="shared" si="4"/>
        <v>0</v>
      </c>
      <c r="H81" s="89">
        <f t="shared" si="5"/>
        <v>0</v>
      </c>
      <c r="I81" s="492"/>
    </row>
    <row r="82" spans="1:9">
      <c r="A82" s="490" t="s">
        <v>299</v>
      </c>
      <c r="B82" s="491" t="s">
        <v>67</v>
      </c>
      <c r="C82" s="87">
        <v>10</v>
      </c>
      <c r="D82" s="87"/>
      <c r="E82" s="87">
        <f t="shared" si="3"/>
        <v>10</v>
      </c>
      <c r="F82" s="90"/>
      <c r="G82" s="89">
        <f t="shared" si="4"/>
        <v>0</v>
      </c>
      <c r="H82" s="89">
        <f t="shared" si="5"/>
        <v>0</v>
      </c>
      <c r="I82" s="492"/>
    </row>
    <row r="83" spans="1:9">
      <c r="A83" s="490" t="s">
        <v>1301</v>
      </c>
      <c r="B83" s="491" t="s">
        <v>67</v>
      </c>
      <c r="C83" s="87">
        <v>8</v>
      </c>
      <c r="D83" s="87"/>
      <c r="E83" s="87">
        <f t="shared" si="3"/>
        <v>8</v>
      </c>
      <c r="F83" s="90"/>
      <c r="G83" s="89">
        <f t="shared" si="4"/>
        <v>0</v>
      </c>
      <c r="H83" s="89">
        <f t="shared" si="5"/>
        <v>0</v>
      </c>
      <c r="I83" s="492"/>
    </row>
    <row r="84" spans="1:9">
      <c r="A84" s="490" t="s">
        <v>300</v>
      </c>
      <c r="B84" s="491" t="s">
        <v>67</v>
      </c>
      <c r="C84" s="87">
        <v>14</v>
      </c>
      <c r="D84" s="87">
        <v>1</v>
      </c>
      <c r="E84" s="87">
        <f t="shared" si="3"/>
        <v>13</v>
      </c>
      <c r="F84" s="90"/>
      <c r="G84" s="89">
        <f t="shared" si="4"/>
        <v>0</v>
      </c>
      <c r="H84" s="89">
        <f t="shared" si="5"/>
        <v>0</v>
      </c>
      <c r="I84" s="492"/>
    </row>
    <row r="85" spans="1:9">
      <c r="A85" s="490" t="s">
        <v>301</v>
      </c>
      <c r="B85" s="491" t="s">
        <v>67</v>
      </c>
      <c r="C85" s="87">
        <v>2</v>
      </c>
      <c r="D85" s="87"/>
      <c r="E85" s="87">
        <f t="shared" si="3"/>
        <v>2</v>
      </c>
      <c r="F85" s="90"/>
      <c r="G85" s="89">
        <f t="shared" si="4"/>
        <v>0</v>
      </c>
      <c r="H85" s="89">
        <f t="shared" si="5"/>
        <v>0</v>
      </c>
      <c r="I85" s="492"/>
    </row>
    <row r="86" spans="1:9">
      <c r="A86" s="490" t="s">
        <v>1302</v>
      </c>
      <c r="B86" s="491" t="s">
        <v>67</v>
      </c>
      <c r="C86" s="87">
        <v>1</v>
      </c>
      <c r="D86" s="87"/>
      <c r="E86" s="87">
        <f t="shared" si="3"/>
        <v>1</v>
      </c>
      <c r="F86" s="90"/>
      <c r="G86" s="89">
        <f t="shared" si="4"/>
        <v>0</v>
      </c>
      <c r="H86" s="89">
        <f t="shared" si="5"/>
        <v>0</v>
      </c>
      <c r="I86" s="492"/>
    </row>
    <row r="87" spans="1:9">
      <c r="A87" s="490" t="s">
        <v>302</v>
      </c>
      <c r="B87" s="491" t="s">
        <v>67</v>
      </c>
      <c r="C87" s="87">
        <v>2</v>
      </c>
      <c r="D87" s="87"/>
      <c r="E87" s="87">
        <f t="shared" si="3"/>
        <v>2</v>
      </c>
      <c r="F87" s="90"/>
      <c r="G87" s="89">
        <f t="shared" si="4"/>
        <v>0</v>
      </c>
      <c r="H87" s="89">
        <f t="shared" si="5"/>
        <v>0</v>
      </c>
      <c r="I87" s="492"/>
    </row>
    <row r="88" spans="1:9">
      <c r="A88" s="490" t="s">
        <v>1303</v>
      </c>
      <c r="B88" s="491" t="s">
        <v>67</v>
      </c>
      <c r="C88" s="87">
        <v>1</v>
      </c>
      <c r="D88" s="87"/>
      <c r="E88" s="87">
        <f t="shared" si="3"/>
        <v>1</v>
      </c>
      <c r="F88" s="90"/>
      <c r="G88" s="89">
        <f t="shared" si="4"/>
        <v>0</v>
      </c>
      <c r="H88" s="89">
        <f t="shared" si="5"/>
        <v>0</v>
      </c>
      <c r="I88" s="492"/>
    </row>
    <row r="89" spans="1:9">
      <c r="A89" s="490" t="s">
        <v>1304</v>
      </c>
      <c r="B89" s="491" t="s">
        <v>67</v>
      </c>
      <c r="C89" s="87">
        <v>9</v>
      </c>
      <c r="D89" s="87"/>
      <c r="E89" s="87">
        <f t="shared" si="3"/>
        <v>9</v>
      </c>
      <c r="F89" s="90"/>
      <c r="G89" s="89">
        <f t="shared" si="4"/>
        <v>0</v>
      </c>
      <c r="H89" s="89">
        <f t="shared" si="5"/>
        <v>0</v>
      </c>
      <c r="I89" s="492"/>
    </row>
    <row r="90" spans="1:9">
      <c r="A90" s="490" t="s">
        <v>303</v>
      </c>
      <c r="B90" s="491" t="s">
        <v>67</v>
      </c>
      <c r="C90" s="87">
        <v>2</v>
      </c>
      <c r="D90" s="87"/>
      <c r="E90" s="87">
        <f t="shared" si="3"/>
        <v>2</v>
      </c>
      <c r="F90" s="90"/>
      <c r="G90" s="89">
        <f t="shared" si="4"/>
        <v>0</v>
      </c>
      <c r="H90" s="89">
        <f t="shared" si="5"/>
        <v>0</v>
      </c>
      <c r="I90" s="492"/>
    </row>
    <row r="91" spans="1:9">
      <c r="A91" s="490" t="s">
        <v>304</v>
      </c>
      <c r="B91" s="491" t="s">
        <v>67</v>
      </c>
      <c r="C91" s="87">
        <v>1</v>
      </c>
      <c r="D91" s="87"/>
      <c r="E91" s="87">
        <f t="shared" si="3"/>
        <v>1</v>
      </c>
      <c r="F91" s="90"/>
      <c r="G91" s="89">
        <f t="shared" si="4"/>
        <v>0</v>
      </c>
      <c r="H91" s="89">
        <f t="shared" si="5"/>
        <v>0</v>
      </c>
      <c r="I91" s="492"/>
    </row>
    <row r="92" spans="1:9">
      <c r="A92" s="490" t="s">
        <v>521</v>
      </c>
      <c r="B92" s="491" t="s">
        <v>67</v>
      </c>
      <c r="C92" s="87">
        <v>3</v>
      </c>
      <c r="D92" s="87"/>
      <c r="E92" s="87">
        <f t="shared" si="3"/>
        <v>3</v>
      </c>
      <c r="F92" s="90"/>
      <c r="G92" s="89">
        <f t="shared" si="4"/>
        <v>0</v>
      </c>
      <c r="H92" s="89">
        <f t="shared" si="5"/>
        <v>0</v>
      </c>
      <c r="I92" s="492"/>
    </row>
    <row r="93" spans="1:9">
      <c r="A93" s="490" t="s">
        <v>305</v>
      </c>
      <c r="B93" s="491" t="s">
        <v>67</v>
      </c>
      <c r="C93" s="87">
        <v>6</v>
      </c>
      <c r="D93" s="87"/>
      <c r="E93" s="87">
        <f t="shared" si="3"/>
        <v>6</v>
      </c>
      <c r="F93" s="90"/>
      <c r="G93" s="89">
        <f t="shared" si="4"/>
        <v>0</v>
      </c>
      <c r="H93" s="89">
        <f t="shared" si="5"/>
        <v>0</v>
      </c>
      <c r="I93" s="492"/>
    </row>
    <row r="94" spans="1:9">
      <c r="A94" s="490" t="s">
        <v>1305</v>
      </c>
      <c r="B94" s="491" t="s">
        <v>67</v>
      </c>
      <c r="C94" s="87">
        <v>2</v>
      </c>
      <c r="D94" s="87"/>
      <c r="E94" s="87">
        <f t="shared" si="3"/>
        <v>2</v>
      </c>
      <c r="F94" s="90"/>
      <c r="G94" s="89">
        <f t="shared" si="4"/>
        <v>0</v>
      </c>
      <c r="H94" s="89">
        <f t="shared" si="5"/>
        <v>0</v>
      </c>
      <c r="I94" s="492"/>
    </row>
    <row r="95" spans="1:9" ht="4.5" customHeight="1" thickBot="1">
      <c r="A95" s="493"/>
      <c r="B95" s="494"/>
      <c r="C95" s="38"/>
      <c r="D95" s="38"/>
      <c r="E95" s="38"/>
      <c r="F95" s="201"/>
      <c r="G95" s="22"/>
      <c r="H95" s="22"/>
      <c r="I95" s="495"/>
    </row>
    <row r="96" spans="1:9" ht="13.5" thickBot="1">
      <c r="A96" s="482" t="s">
        <v>522</v>
      </c>
      <c r="B96" s="483"/>
      <c r="C96" s="36"/>
      <c r="D96" s="36"/>
      <c r="E96" s="36"/>
      <c r="F96" s="74"/>
      <c r="G96" s="37">
        <f>SUM(G97:G102)</f>
        <v>0</v>
      </c>
      <c r="H96" s="37">
        <f>SUM(H97:H102)</f>
        <v>0</v>
      </c>
      <c r="I96" s="485" t="s">
        <v>131</v>
      </c>
    </row>
    <row r="97" spans="1:9">
      <c r="A97" s="500" t="s">
        <v>1306</v>
      </c>
      <c r="B97" s="491" t="s">
        <v>67</v>
      </c>
      <c r="C97" s="87">
        <v>5</v>
      </c>
      <c r="D97" s="87"/>
      <c r="E97" s="87">
        <f t="shared" ref="E97:E102" si="6">C97-D97</f>
        <v>5</v>
      </c>
      <c r="F97" s="90"/>
      <c r="G97" s="89">
        <f t="shared" ref="G97:G102" si="7">F97*D97</f>
        <v>0</v>
      </c>
      <c r="H97" s="89">
        <f t="shared" ref="H97:H102" si="8">F97*E97</f>
        <v>0</v>
      </c>
      <c r="I97" s="499"/>
    </row>
    <row r="98" spans="1:9">
      <c r="A98" s="500" t="s">
        <v>306</v>
      </c>
      <c r="B98" s="491" t="s">
        <v>67</v>
      </c>
      <c r="C98" s="87">
        <v>15</v>
      </c>
      <c r="D98" s="87">
        <v>3</v>
      </c>
      <c r="E98" s="87">
        <f t="shared" si="6"/>
        <v>12</v>
      </c>
      <c r="F98" s="90"/>
      <c r="G98" s="89">
        <f t="shared" si="7"/>
        <v>0</v>
      </c>
      <c r="H98" s="89">
        <f t="shared" si="8"/>
        <v>0</v>
      </c>
      <c r="I98" s="499"/>
    </row>
    <row r="99" spans="1:9">
      <c r="A99" s="490" t="s">
        <v>307</v>
      </c>
      <c r="B99" s="491" t="s">
        <v>67</v>
      </c>
      <c r="C99" s="87">
        <v>10</v>
      </c>
      <c r="D99" s="87"/>
      <c r="E99" s="87">
        <f t="shared" si="6"/>
        <v>10</v>
      </c>
      <c r="F99" s="90"/>
      <c r="G99" s="89">
        <f t="shared" si="7"/>
        <v>0</v>
      </c>
      <c r="H99" s="89">
        <f t="shared" si="8"/>
        <v>0</v>
      </c>
      <c r="I99" s="492"/>
    </row>
    <row r="100" spans="1:9">
      <c r="A100" s="490" t="s">
        <v>292</v>
      </c>
      <c r="B100" s="491" t="s">
        <v>67</v>
      </c>
      <c r="C100" s="87">
        <v>20</v>
      </c>
      <c r="D100" s="87">
        <v>5</v>
      </c>
      <c r="E100" s="87">
        <f t="shared" si="6"/>
        <v>15</v>
      </c>
      <c r="F100" s="90"/>
      <c r="G100" s="89">
        <f t="shared" si="7"/>
        <v>0</v>
      </c>
      <c r="H100" s="89">
        <f t="shared" si="8"/>
        <v>0</v>
      </c>
      <c r="I100" s="492"/>
    </row>
    <row r="101" spans="1:9">
      <c r="A101" s="490" t="s">
        <v>293</v>
      </c>
      <c r="B101" s="491" t="s">
        <v>67</v>
      </c>
      <c r="C101" s="87">
        <v>50</v>
      </c>
      <c r="D101" s="87">
        <f>SUM(D97:D100)</f>
        <v>8</v>
      </c>
      <c r="E101" s="87">
        <f t="shared" si="6"/>
        <v>42</v>
      </c>
      <c r="F101" s="90"/>
      <c r="G101" s="89">
        <f t="shared" si="7"/>
        <v>0</v>
      </c>
      <c r="H101" s="89">
        <f t="shared" si="8"/>
        <v>0</v>
      </c>
      <c r="I101" s="492"/>
    </row>
    <row r="102" spans="1:9">
      <c r="A102" s="490" t="s">
        <v>294</v>
      </c>
      <c r="B102" s="491" t="s">
        <v>67</v>
      </c>
      <c r="C102" s="87">
        <v>50</v>
      </c>
      <c r="D102" s="87">
        <f>D101</f>
        <v>8</v>
      </c>
      <c r="E102" s="87">
        <f t="shared" si="6"/>
        <v>42</v>
      </c>
      <c r="F102" s="90"/>
      <c r="G102" s="89">
        <f t="shared" si="7"/>
        <v>0</v>
      </c>
      <c r="H102" s="89">
        <f t="shared" si="8"/>
        <v>0</v>
      </c>
      <c r="I102" s="492"/>
    </row>
    <row r="103" spans="1:9" ht="4.5" customHeight="1" thickBot="1">
      <c r="A103" s="493"/>
      <c r="B103" s="494"/>
      <c r="C103" s="38"/>
      <c r="D103" s="38"/>
      <c r="E103" s="38"/>
      <c r="F103" s="201"/>
      <c r="G103" s="22"/>
      <c r="H103" s="22"/>
      <c r="I103" s="495"/>
    </row>
    <row r="104" spans="1:9" ht="13.5" thickBot="1">
      <c r="A104" s="482" t="s">
        <v>523</v>
      </c>
      <c r="B104" s="483"/>
      <c r="C104" s="36"/>
      <c r="D104" s="36"/>
      <c r="E104" s="36"/>
      <c r="F104" s="74"/>
      <c r="G104" s="37">
        <f>SUM(G105:G106)</f>
        <v>0</v>
      </c>
      <c r="H104" s="37">
        <f>SUM(H105:H106)</f>
        <v>0</v>
      </c>
      <c r="I104" s="485" t="s">
        <v>131</v>
      </c>
    </row>
    <row r="105" spans="1:9">
      <c r="A105" s="500" t="s">
        <v>524</v>
      </c>
      <c r="B105" s="491" t="s">
        <v>67</v>
      </c>
      <c r="C105" s="87">
        <v>7</v>
      </c>
      <c r="D105" s="87">
        <v>1</v>
      </c>
      <c r="E105" s="87">
        <f>C105-D105</f>
        <v>6</v>
      </c>
      <c r="F105" s="90"/>
      <c r="G105" s="89">
        <f>F105*D105</f>
        <v>0</v>
      </c>
      <c r="H105" s="89">
        <f>F105*E105</f>
        <v>0</v>
      </c>
      <c r="I105" s="499"/>
    </row>
    <row r="106" spans="1:9">
      <c r="A106" s="490" t="s">
        <v>525</v>
      </c>
      <c r="B106" s="491" t="s">
        <v>67</v>
      </c>
      <c r="C106" s="87">
        <f>C105</f>
        <v>7</v>
      </c>
      <c r="D106" s="87"/>
      <c r="E106" s="87">
        <f>C106-D106</f>
        <v>7</v>
      </c>
      <c r="F106" s="90"/>
      <c r="G106" s="89">
        <f>F106*D106</f>
        <v>0</v>
      </c>
      <c r="H106" s="89">
        <f>F106*E106</f>
        <v>0</v>
      </c>
      <c r="I106" s="492"/>
    </row>
    <row r="107" spans="1:9" ht="4.5" customHeight="1" thickBot="1">
      <c r="A107" s="493"/>
      <c r="B107" s="494"/>
      <c r="C107" s="38"/>
      <c r="D107" s="38"/>
      <c r="E107" s="38"/>
      <c r="F107" s="201"/>
      <c r="G107" s="22"/>
      <c r="H107" s="22"/>
      <c r="I107" s="495"/>
    </row>
    <row r="108" spans="1:9" ht="13.5" thickBot="1">
      <c r="A108" s="482" t="s">
        <v>2258</v>
      </c>
      <c r="B108" s="483"/>
      <c r="C108" s="36"/>
      <c r="D108" s="36"/>
      <c r="E108" s="36"/>
      <c r="F108" s="74"/>
      <c r="G108" s="37">
        <f>SUM(G109:G109)</f>
        <v>0</v>
      </c>
      <c r="H108" s="37">
        <f>SUM(H109:H109)</f>
        <v>0</v>
      </c>
      <c r="I108" s="485" t="s">
        <v>131</v>
      </c>
    </row>
    <row r="109" spans="1:9">
      <c r="A109" s="500" t="s">
        <v>2259</v>
      </c>
      <c r="B109" s="491" t="s">
        <v>67</v>
      </c>
      <c r="C109" s="87">
        <v>2</v>
      </c>
      <c r="D109" s="87"/>
      <c r="E109" s="87">
        <f>C109-D109</f>
        <v>2</v>
      </c>
      <c r="F109" s="90"/>
      <c r="G109" s="89">
        <f>F109*D109</f>
        <v>0</v>
      </c>
      <c r="H109" s="89">
        <f>F109*E109</f>
        <v>0</v>
      </c>
      <c r="I109" s="499"/>
    </row>
    <row r="110" spans="1:9" ht="4.5" customHeight="1" thickBot="1">
      <c r="A110" s="493"/>
      <c r="B110" s="494"/>
      <c r="C110" s="38"/>
      <c r="D110" s="38"/>
      <c r="E110" s="38"/>
      <c r="F110" s="201"/>
      <c r="G110" s="22"/>
      <c r="H110" s="22"/>
      <c r="I110" s="495"/>
    </row>
    <row r="111" spans="1:9" ht="13.5" thickBot="1">
      <c r="A111" s="482" t="s">
        <v>2260</v>
      </c>
      <c r="B111" s="483"/>
      <c r="C111" s="36"/>
      <c r="D111" s="36"/>
      <c r="E111" s="36"/>
      <c r="F111" s="74"/>
      <c r="G111" s="37">
        <f>SUM(G112:G122)</f>
        <v>0</v>
      </c>
      <c r="H111" s="37">
        <f>SUM(H112:H122)</f>
        <v>0</v>
      </c>
      <c r="I111" s="485" t="s">
        <v>131</v>
      </c>
    </row>
    <row r="112" spans="1:9">
      <c r="A112" s="500" t="s">
        <v>289</v>
      </c>
      <c r="B112" s="491" t="s">
        <v>81</v>
      </c>
      <c r="C112" s="87">
        <v>7</v>
      </c>
      <c r="D112" s="87"/>
      <c r="E112" s="87">
        <f t="shared" ref="E112:E122" si="9">C112-D112</f>
        <v>7</v>
      </c>
      <c r="F112" s="90"/>
      <c r="G112" s="89">
        <f t="shared" ref="G112:G122" si="10">F112*D112</f>
        <v>0</v>
      </c>
      <c r="H112" s="89">
        <f t="shared" ref="H112:H122" si="11">F112*E112</f>
        <v>0</v>
      </c>
      <c r="I112" s="499"/>
    </row>
    <row r="113" spans="1:9">
      <c r="A113" s="490" t="s">
        <v>290</v>
      </c>
      <c r="B113" s="491" t="s">
        <v>81</v>
      </c>
      <c r="C113" s="87">
        <v>36</v>
      </c>
      <c r="D113" s="87"/>
      <c r="E113" s="87">
        <f t="shared" si="9"/>
        <v>36</v>
      </c>
      <c r="F113" s="90"/>
      <c r="G113" s="89">
        <f t="shared" si="10"/>
        <v>0</v>
      </c>
      <c r="H113" s="89">
        <f t="shared" si="11"/>
        <v>0</v>
      </c>
      <c r="I113" s="492"/>
    </row>
    <row r="114" spans="1:9">
      <c r="A114" s="490" t="s">
        <v>288</v>
      </c>
      <c r="B114" s="491" t="s">
        <v>81</v>
      </c>
      <c r="C114" s="87">
        <v>23</v>
      </c>
      <c r="D114" s="87"/>
      <c r="E114" s="87">
        <f t="shared" si="9"/>
        <v>23</v>
      </c>
      <c r="F114" s="90"/>
      <c r="G114" s="89">
        <f t="shared" si="10"/>
        <v>0</v>
      </c>
      <c r="H114" s="89">
        <f t="shared" si="11"/>
        <v>0</v>
      </c>
      <c r="I114" s="492"/>
    </row>
    <row r="115" spans="1:9">
      <c r="A115" s="490" t="s">
        <v>1298</v>
      </c>
      <c r="B115" s="491" t="s">
        <v>81</v>
      </c>
      <c r="C115" s="87">
        <v>19</v>
      </c>
      <c r="D115" s="87"/>
      <c r="E115" s="87">
        <f t="shared" si="9"/>
        <v>19</v>
      </c>
      <c r="F115" s="90"/>
      <c r="G115" s="89">
        <f t="shared" si="10"/>
        <v>0</v>
      </c>
      <c r="H115" s="89">
        <f t="shared" si="11"/>
        <v>0</v>
      </c>
      <c r="I115" s="492"/>
    </row>
    <row r="116" spans="1:9">
      <c r="A116" s="490" t="s">
        <v>1290</v>
      </c>
      <c r="B116" s="491" t="s">
        <v>67</v>
      </c>
      <c r="C116" s="87">
        <v>7</v>
      </c>
      <c r="D116" s="87"/>
      <c r="E116" s="87">
        <f t="shared" si="9"/>
        <v>7</v>
      </c>
      <c r="F116" s="90"/>
      <c r="G116" s="89">
        <f t="shared" si="10"/>
        <v>0</v>
      </c>
      <c r="H116" s="89">
        <f t="shared" si="11"/>
        <v>0</v>
      </c>
      <c r="I116" s="492"/>
    </row>
    <row r="117" spans="1:9">
      <c r="A117" s="490" t="s">
        <v>1291</v>
      </c>
      <c r="B117" s="491" t="s">
        <v>67</v>
      </c>
      <c r="C117" s="87">
        <v>10</v>
      </c>
      <c r="D117" s="87"/>
      <c r="E117" s="87">
        <f t="shared" si="9"/>
        <v>10</v>
      </c>
      <c r="F117" s="90"/>
      <c r="G117" s="89">
        <f t="shared" si="10"/>
        <v>0</v>
      </c>
      <c r="H117" s="89">
        <f t="shared" si="11"/>
        <v>0</v>
      </c>
      <c r="I117" s="492"/>
    </row>
    <row r="118" spans="1:9">
      <c r="A118" s="490" t="s">
        <v>1307</v>
      </c>
      <c r="B118" s="491" t="s">
        <v>67</v>
      </c>
      <c r="C118" s="87">
        <v>5</v>
      </c>
      <c r="D118" s="87"/>
      <c r="E118" s="87">
        <f t="shared" si="9"/>
        <v>5</v>
      </c>
      <c r="F118" s="90"/>
      <c r="G118" s="89">
        <f t="shared" si="10"/>
        <v>0</v>
      </c>
      <c r="H118" s="89">
        <f t="shared" si="11"/>
        <v>0</v>
      </c>
      <c r="I118" s="492"/>
    </row>
    <row r="119" spans="1:9">
      <c r="A119" s="490" t="s">
        <v>1308</v>
      </c>
      <c r="B119" s="491" t="s">
        <v>67</v>
      </c>
      <c r="C119" s="87">
        <v>1</v>
      </c>
      <c r="D119" s="87"/>
      <c r="E119" s="87">
        <f t="shared" si="9"/>
        <v>1</v>
      </c>
      <c r="F119" s="90"/>
      <c r="G119" s="89">
        <f t="shared" si="10"/>
        <v>0</v>
      </c>
      <c r="H119" s="89">
        <f t="shared" si="11"/>
        <v>0</v>
      </c>
      <c r="I119" s="492"/>
    </row>
    <row r="120" spans="1:9">
      <c r="A120" s="490" t="s">
        <v>1309</v>
      </c>
      <c r="B120" s="491" t="s">
        <v>67</v>
      </c>
      <c r="C120" s="87">
        <v>2</v>
      </c>
      <c r="D120" s="87"/>
      <c r="E120" s="87">
        <f t="shared" si="9"/>
        <v>2</v>
      </c>
      <c r="F120" s="90"/>
      <c r="G120" s="89">
        <f t="shared" si="10"/>
        <v>0</v>
      </c>
      <c r="H120" s="89">
        <f t="shared" si="11"/>
        <v>0</v>
      </c>
      <c r="I120" s="492"/>
    </row>
    <row r="121" spans="1:9">
      <c r="A121" s="490" t="s">
        <v>1310</v>
      </c>
      <c r="B121" s="491" t="s">
        <v>67</v>
      </c>
      <c r="C121" s="87">
        <v>1</v>
      </c>
      <c r="D121" s="87"/>
      <c r="E121" s="87">
        <f t="shared" si="9"/>
        <v>1</v>
      </c>
      <c r="F121" s="90"/>
      <c r="G121" s="89">
        <f t="shared" si="10"/>
        <v>0</v>
      </c>
      <c r="H121" s="89">
        <f t="shared" si="11"/>
        <v>0</v>
      </c>
      <c r="I121" s="492"/>
    </row>
    <row r="122" spans="1:9" ht="12.75" customHeight="1">
      <c r="A122" s="490" t="s">
        <v>291</v>
      </c>
      <c r="B122" s="491" t="s">
        <v>67</v>
      </c>
      <c r="C122" s="87">
        <v>2</v>
      </c>
      <c r="D122" s="87"/>
      <c r="E122" s="87">
        <f t="shared" si="9"/>
        <v>2</v>
      </c>
      <c r="F122" s="90"/>
      <c r="G122" s="89">
        <f t="shared" si="10"/>
        <v>0</v>
      </c>
      <c r="H122" s="89">
        <f t="shared" si="11"/>
        <v>0</v>
      </c>
      <c r="I122" s="492"/>
    </row>
    <row r="123" spans="1:9" ht="4.5" customHeight="1" thickBot="1">
      <c r="A123" s="493"/>
      <c r="B123" s="494"/>
      <c r="C123" s="38"/>
      <c r="D123" s="38"/>
      <c r="E123" s="38"/>
      <c r="F123" s="201"/>
      <c r="G123" s="22"/>
      <c r="H123" s="22"/>
      <c r="I123" s="495"/>
    </row>
    <row r="124" spans="1:9" ht="13.5" thickBot="1">
      <c r="A124" s="482" t="s">
        <v>2261</v>
      </c>
      <c r="B124" s="483"/>
      <c r="C124" s="36"/>
      <c r="D124" s="36"/>
      <c r="E124" s="36"/>
      <c r="F124" s="74"/>
      <c r="G124" s="37">
        <f>SUM(G125:G127)</f>
        <v>0</v>
      </c>
      <c r="H124" s="37">
        <f>SUM(H125:H127)</f>
        <v>0</v>
      </c>
      <c r="I124" s="485" t="s">
        <v>131</v>
      </c>
    </row>
    <row r="125" spans="1:9">
      <c r="A125" s="490" t="s">
        <v>307</v>
      </c>
      <c r="B125" s="491" t="s">
        <v>67</v>
      </c>
      <c r="C125" s="87">
        <v>20</v>
      </c>
      <c r="D125" s="87"/>
      <c r="E125" s="87">
        <f>C125-D125</f>
        <v>20</v>
      </c>
      <c r="F125" s="90"/>
      <c r="G125" s="89">
        <f>F125*D125</f>
        <v>0</v>
      </c>
      <c r="H125" s="89">
        <f>F125*E125</f>
        <v>0</v>
      </c>
      <c r="I125" s="492"/>
    </row>
    <row r="126" spans="1:9">
      <c r="A126" s="490" t="s">
        <v>293</v>
      </c>
      <c r="B126" s="491" t="s">
        <v>67</v>
      </c>
      <c r="C126" s="87">
        <f>C125</f>
        <v>20</v>
      </c>
      <c r="D126" s="87"/>
      <c r="E126" s="87">
        <f>C126-D126</f>
        <v>20</v>
      </c>
      <c r="F126" s="90"/>
      <c r="G126" s="89">
        <f>F126*D126</f>
        <v>0</v>
      </c>
      <c r="H126" s="89">
        <f>F126*E126</f>
        <v>0</v>
      </c>
      <c r="I126" s="492"/>
    </row>
    <row r="127" spans="1:9">
      <c r="A127" s="490" t="s">
        <v>294</v>
      </c>
      <c r="B127" s="491" t="s">
        <v>67</v>
      </c>
      <c r="C127" s="87">
        <f>C125</f>
        <v>20</v>
      </c>
      <c r="D127" s="87"/>
      <c r="E127" s="87">
        <f>C127-D127</f>
        <v>20</v>
      </c>
      <c r="F127" s="90"/>
      <c r="G127" s="89">
        <f>F127*D127</f>
        <v>0</v>
      </c>
      <c r="H127" s="89">
        <f>F127*E127</f>
        <v>0</v>
      </c>
      <c r="I127" s="492"/>
    </row>
    <row r="128" spans="1:9" ht="4.5" customHeight="1" thickBot="1">
      <c r="A128" s="493"/>
      <c r="B128" s="494"/>
      <c r="C128" s="38"/>
      <c r="D128" s="38"/>
      <c r="E128" s="38"/>
      <c r="F128" s="201"/>
      <c r="G128" s="22"/>
      <c r="H128" s="22"/>
      <c r="I128" s="495"/>
    </row>
    <row r="129" spans="1:11" ht="13.5" thickBot="1">
      <c r="A129" s="482" t="s">
        <v>2262</v>
      </c>
      <c r="B129" s="483"/>
      <c r="C129" s="36"/>
      <c r="D129" s="36"/>
      <c r="E129" s="36"/>
      <c r="F129" s="74"/>
      <c r="G129" s="37">
        <f>SUM(G130:G140)</f>
        <v>0</v>
      </c>
      <c r="H129" s="37">
        <f>SUM(H130:H140)</f>
        <v>0</v>
      </c>
      <c r="I129" s="485" t="s">
        <v>131</v>
      </c>
    </row>
    <row r="130" spans="1:11">
      <c r="A130" s="500" t="s">
        <v>518</v>
      </c>
      <c r="B130" s="491" t="s">
        <v>81</v>
      </c>
      <c r="C130" s="87">
        <f>C60+C61+C62+C112+C113+C114</f>
        <v>138</v>
      </c>
      <c r="D130" s="87">
        <f>D61+D62</f>
        <v>9</v>
      </c>
      <c r="E130" s="87">
        <f>C130-D130</f>
        <v>129</v>
      </c>
      <c r="F130" s="90"/>
      <c r="G130" s="89">
        <f t="shared" ref="G130:G140" si="12">F130*D130</f>
        <v>0</v>
      </c>
      <c r="H130" s="89">
        <f t="shared" ref="H130:H140" si="13">F130*E130</f>
        <v>0</v>
      </c>
      <c r="I130" s="499"/>
    </row>
    <row r="131" spans="1:11">
      <c r="A131" s="500" t="s">
        <v>1311</v>
      </c>
      <c r="B131" s="491" t="s">
        <v>64</v>
      </c>
      <c r="C131" s="87">
        <f>5*4.5*3.5</f>
        <v>78.75</v>
      </c>
      <c r="D131" s="87"/>
      <c r="E131" s="87">
        <f>C131-D131</f>
        <v>78.75</v>
      </c>
      <c r="F131" s="90"/>
      <c r="G131" s="89">
        <f t="shared" si="12"/>
        <v>0</v>
      </c>
      <c r="H131" s="89">
        <f t="shared" si="13"/>
        <v>0</v>
      </c>
      <c r="I131" s="499"/>
    </row>
    <row r="132" spans="1:11">
      <c r="A132" s="500" t="s">
        <v>504</v>
      </c>
      <c r="B132" s="491" t="s">
        <v>81</v>
      </c>
      <c r="C132" s="87">
        <v>11</v>
      </c>
      <c r="D132" s="87">
        <v>2</v>
      </c>
      <c r="E132" s="87">
        <f>C132-D132</f>
        <v>9</v>
      </c>
      <c r="F132" s="90"/>
      <c r="G132" s="89">
        <f t="shared" si="12"/>
        <v>0</v>
      </c>
      <c r="H132" s="89">
        <f t="shared" si="13"/>
        <v>0</v>
      </c>
      <c r="I132" s="499"/>
    </row>
    <row r="133" spans="1:11">
      <c r="A133" s="500" t="s">
        <v>505</v>
      </c>
      <c r="B133" s="491" t="s">
        <v>67</v>
      </c>
      <c r="C133" s="87">
        <v>1</v>
      </c>
      <c r="D133" s="87"/>
      <c r="E133" s="87">
        <f>C133-D133</f>
        <v>1</v>
      </c>
      <c r="F133" s="90"/>
      <c r="G133" s="89">
        <f t="shared" si="12"/>
        <v>0</v>
      </c>
      <c r="H133" s="89">
        <f t="shared" si="13"/>
        <v>0</v>
      </c>
      <c r="I133" s="499"/>
    </row>
    <row r="134" spans="1:11">
      <c r="A134" s="500" t="s">
        <v>512</v>
      </c>
      <c r="B134" s="491" t="s">
        <v>81</v>
      </c>
      <c r="C134" s="87">
        <f>C132</f>
        <v>11</v>
      </c>
      <c r="D134" s="87">
        <f>D132</f>
        <v>2</v>
      </c>
      <c r="E134" s="87">
        <f>C134-D134</f>
        <v>9</v>
      </c>
      <c r="F134" s="90"/>
      <c r="G134" s="89">
        <f t="shared" si="12"/>
        <v>0</v>
      </c>
      <c r="H134" s="89">
        <f t="shared" si="13"/>
        <v>0</v>
      </c>
      <c r="I134" s="499"/>
    </row>
    <row r="135" spans="1:11">
      <c r="A135" s="500" t="s">
        <v>506</v>
      </c>
      <c r="B135" s="491" t="s">
        <v>70</v>
      </c>
      <c r="C135" s="87">
        <f>SUM(D135:E135)</f>
        <v>0</v>
      </c>
      <c r="D135" s="87">
        <f>SUM(G13:G123)/2</f>
        <v>0</v>
      </c>
      <c r="E135" s="87">
        <f>SUM(H13:H123)/2</f>
        <v>0</v>
      </c>
      <c r="F135" s="206"/>
      <c r="G135" s="89">
        <f t="shared" si="12"/>
        <v>0</v>
      </c>
      <c r="H135" s="89">
        <f t="shared" si="13"/>
        <v>0</v>
      </c>
      <c r="I135" s="499"/>
    </row>
    <row r="136" spans="1:11">
      <c r="A136" s="500" t="s">
        <v>517</v>
      </c>
      <c r="B136" s="491" t="s">
        <v>81</v>
      </c>
      <c r="C136" s="87">
        <f>C60+C61+C62+C73+C74+C75+C76+C112+C113+C114</f>
        <v>233</v>
      </c>
      <c r="D136" s="87">
        <f>D61+D62+D74+D76</f>
        <v>22</v>
      </c>
      <c r="E136" s="87">
        <f>C136-D136</f>
        <v>211</v>
      </c>
      <c r="F136" s="90"/>
      <c r="G136" s="89">
        <f t="shared" si="12"/>
        <v>0</v>
      </c>
      <c r="H136" s="89">
        <f t="shared" si="13"/>
        <v>0</v>
      </c>
      <c r="I136" s="499"/>
    </row>
    <row r="137" spans="1:11">
      <c r="A137" s="500" t="s">
        <v>1974</v>
      </c>
      <c r="B137" s="491" t="s">
        <v>67</v>
      </c>
      <c r="C137" s="87">
        <v>1</v>
      </c>
      <c r="D137" s="87"/>
      <c r="E137" s="87">
        <f>C137-D137</f>
        <v>1</v>
      </c>
      <c r="F137" s="90"/>
      <c r="G137" s="89">
        <f t="shared" si="12"/>
        <v>0</v>
      </c>
      <c r="H137" s="89">
        <f t="shared" si="13"/>
        <v>0</v>
      </c>
      <c r="I137" s="499"/>
    </row>
    <row r="138" spans="1:11">
      <c r="A138" s="500" t="s">
        <v>508</v>
      </c>
      <c r="B138" s="491" t="s">
        <v>67</v>
      </c>
      <c r="C138" s="87">
        <v>1</v>
      </c>
      <c r="D138" s="87"/>
      <c r="E138" s="87">
        <f>C138-D138</f>
        <v>1</v>
      </c>
      <c r="F138" s="90"/>
      <c r="G138" s="89">
        <f t="shared" si="12"/>
        <v>0</v>
      </c>
      <c r="H138" s="89">
        <f t="shared" si="13"/>
        <v>0</v>
      </c>
      <c r="I138" s="499"/>
    </row>
    <row r="139" spans="1:11">
      <c r="A139" s="500" t="s">
        <v>509</v>
      </c>
      <c r="B139" s="491" t="s">
        <v>67</v>
      </c>
      <c r="C139" s="87">
        <v>1</v>
      </c>
      <c r="D139" s="87"/>
      <c r="E139" s="87">
        <f>C139-D139</f>
        <v>1</v>
      </c>
      <c r="F139" s="90"/>
      <c r="G139" s="89">
        <f t="shared" si="12"/>
        <v>0</v>
      </c>
      <c r="H139" s="89">
        <f t="shared" si="13"/>
        <v>0</v>
      </c>
      <c r="I139" s="499"/>
    </row>
    <row r="140" spans="1:11">
      <c r="A140" s="500" t="s">
        <v>2408</v>
      </c>
      <c r="B140" s="491" t="s">
        <v>511</v>
      </c>
      <c r="C140" s="87">
        <v>4</v>
      </c>
      <c r="D140" s="87"/>
      <c r="E140" s="87">
        <f>C140-D140</f>
        <v>4</v>
      </c>
      <c r="F140" s="90"/>
      <c r="G140" s="89">
        <f t="shared" si="12"/>
        <v>0</v>
      </c>
      <c r="H140" s="89">
        <f t="shared" si="13"/>
        <v>0</v>
      </c>
      <c r="I140" s="499"/>
    </row>
    <row r="141" spans="1:11" ht="6" customHeight="1" thickBot="1">
      <c r="A141" s="501"/>
      <c r="B141" s="502"/>
      <c r="C141" s="40"/>
      <c r="D141" s="40"/>
      <c r="E141" s="40"/>
      <c r="F141" s="201"/>
      <c r="G141" s="22"/>
      <c r="H141" s="22"/>
      <c r="I141" s="495"/>
    </row>
    <row r="142" spans="1:11" ht="16.899999999999999" customHeight="1" thickBot="1">
      <c r="A142" s="505" t="s">
        <v>207</v>
      </c>
      <c r="B142" s="506"/>
      <c r="C142" s="41"/>
      <c r="D142" s="41"/>
      <c r="E142" s="41"/>
      <c r="F142" s="24"/>
      <c r="G142" s="25">
        <f>SUM(G12:G141)/2</f>
        <v>0</v>
      </c>
      <c r="H142" s="25">
        <f>SUM(H12:H141)/2</f>
        <v>0</v>
      </c>
      <c r="I142" s="507" t="s">
        <v>131</v>
      </c>
      <c r="K142" s="508"/>
    </row>
    <row r="143" spans="1:11">
      <c r="A143" s="509"/>
      <c r="B143" s="510"/>
      <c r="C143" s="23"/>
      <c r="D143" s="23"/>
      <c r="E143" s="23"/>
      <c r="F143" s="21"/>
      <c r="G143" s="21"/>
      <c r="H143" s="21"/>
      <c r="I143" s="511"/>
      <c r="K143" s="508"/>
    </row>
    <row r="144" spans="1:11">
      <c r="A144" s="831" t="s">
        <v>132</v>
      </c>
      <c r="B144" s="831"/>
      <c r="C144" s="831"/>
      <c r="D144" s="831"/>
      <c r="E144" s="831"/>
      <c r="F144" s="831"/>
      <c r="G144" s="831"/>
      <c r="H144" s="831"/>
      <c r="I144" s="831"/>
      <c r="J144" s="512"/>
    </row>
    <row r="145" spans="1:10" ht="4.9000000000000004" customHeight="1">
      <c r="A145" s="513"/>
      <c r="B145" s="514"/>
      <c r="C145" s="26"/>
      <c r="D145" s="26"/>
      <c r="E145" s="26"/>
      <c r="F145" s="27"/>
      <c r="G145" s="28"/>
      <c r="H145" s="28"/>
      <c r="I145" s="512"/>
      <c r="J145" s="512"/>
    </row>
    <row r="146" spans="1:10">
      <c r="A146" s="830" t="s">
        <v>133</v>
      </c>
      <c r="B146" s="830"/>
      <c r="C146" s="830"/>
      <c r="D146" s="830"/>
      <c r="E146" s="830"/>
      <c r="F146" s="830"/>
      <c r="G146" s="830"/>
      <c r="H146" s="830"/>
      <c r="I146" s="830"/>
      <c r="J146" s="512"/>
    </row>
    <row r="147" spans="1:10">
      <c r="A147" s="830" t="s">
        <v>134</v>
      </c>
      <c r="B147" s="830"/>
      <c r="C147" s="830"/>
      <c r="D147" s="830"/>
      <c r="E147" s="830"/>
      <c r="F147" s="830"/>
      <c r="G147" s="830"/>
      <c r="H147" s="830"/>
      <c r="I147" s="830"/>
      <c r="J147" s="512"/>
    </row>
    <row r="148" spans="1:10">
      <c r="A148" s="830" t="s">
        <v>135</v>
      </c>
      <c r="B148" s="830"/>
      <c r="C148" s="830"/>
      <c r="D148" s="830"/>
      <c r="E148" s="830"/>
      <c r="F148" s="830"/>
      <c r="G148" s="830"/>
      <c r="H148" s="830"/>
      <c r="I148" s="830"/>
      <c r="J148" s="512"/>
    </row>
    <row r="149" spans="1:10" ht="7.9" customHeight="1">
      <c r="A149" s="513"/>
      <c r="B149" s="514"/>
      <c r="C149" s="26"/>
      <c r="D149" s="26"/>
      <c r="E149" s="26"/>
      <c r="F149" s="27"/>
      <c r="G149" s="28"/>
      <c r="H149" s="28"/>
      <c r="I149" s="512"/>
      <c r="J149" s="512"/>
    </row>
    <row r="150" spans="1:10" ht="33.6" customHeight="1">
      <c r="A150" s="813" t="s">
        <v>136</v>
      </c>
      <c r="B150" s="813"/>
      <c r="C150" s="813"/>
      <c r="D150" s="813"/>
      <c r="E150" s="813"/>
      <c r="F150" s="813"/>
      <c r="G150" s="813"/>
      <c r="H150" s="813"/>
      <c r="I150" s="813"/>
      <c r="J150" s="515"/>
    </row>
    <row r="151" spans="1:10" ht="33.75" customHeight="1">
      <c r="A151" s="813" t="s">
        <v>2537</v>
      </c>
      <c r="B151" s="813"/>
      <c r="C151" s="813"/>
      <c r="D151" s="813"/>
      <c r="E151" s="813"/>
      <c r="F151" s="813"/>
      <c r="G151" s="813"/>
      <c r="H151" s="813"/>
      <c r="I151" s="813"/>
      <c r="J151" s="512"/>
    </row>
    <row r="152" spans="1:10" ht="69.75" customHeight="1">
      <c r="A152" s="813" t="s">
        <v>137</v>
      </c>
      <c r="B152" s="813"/>
      <c r="C152" s="813"/>
      <c r="D152" s="813"/>
      <c r="E152" s="813"/>
      <c r="F152" s="813"/>
      <c r="G152" s="813"/>
      <c r="H152" s="813"/>
      <c r="I152" s="813"/>
      <c r="J152" s="515"/>
    </row>
    <row r="153" spans="1:10" ht="5.45" customHeight="1">
      <c r="A153" s="513"/>
      <c r="B153" s="514"/>
      <c r="C153" s="26"/>
      <c r="D153" s="26"/>
      <c r="E153" s="26"/>
      <c r="F153" s="27"/>
      <c r="G153" s="28"/>
      <c r="H153" s="28"/>
      <c r="I153" s="512"/>
      <c r="J153" s="512"/>
    </row>
    <row r="154" spans="1:10" ht="14.25" customHeight="1">
      <c r="A154" s="814" t="s">
        <v>138</v>
      </c>
      <c r="B154" s="814"/>
      <c r="C154" s="814"/>
      <c r="D154" s="814"/>
      <c r="E154" s="814"/>
      <c r="F154" s="814"/>
      <c r="G154" s="814"/>
      <c r="H154" s="814"/>
      <c r="I154" s="814"/>
      <c r="J154" s="516"/>
    </row>
    <row r="155" spans="1:10" ht="4.1500000000000004" customHeight="1">
      <c r="A155" s="513"/>
      <c r="B155" s="514"/>
      <c r="C155" s="26"/>
      <c r="D155" s="26"/>
      <c r="E155" s="26"/>
      <c r="F155" s="27"/>
      <c r="G155" s="28"/>
      <c r="H155" s="28"/>
      <c r="I155" s="512"/>
      <c r="J155" s="512"/>
    </row>
    <row r="156" spans="1:10" ht="25.5" customHeight="1">
      <c r="A156" s="815" t="s">
        <v>139</v>
      </c>
      <c r="B156" s="815"/>
      <c r="C156" s="815"/>
      <c r="D156" s="815"/>
      <c r="E156" s="815"/>
      <c r="F156" s="815"/>
      <c r="G156" s="815"/>
      <c r="H156" s="815"/>
      <c r="I156" s="815"/>
      <c r="J156" s="516"/>
    </row>
    <row r="157" spans="1:10" ht="3" customHeight="1">
      <c r="A157" s="509"/>
      <c r="B157" s="510"/>
      <c r="C157" s="23"/>
      <c r="D157" s="23"/>
      <c r="E157" s="23"/>
      <c r="F157" s="21"/>
      <c r="G157" s="21"/>
      <c r="H157" s="21"/>
      <c r="I157" s="511"/>
    </row>
    <row r="158" spans="1:10">
      <c r="A158" s="509"/>
      <c r="B158" s="510"/>
      <c r="C158" s="23"/>
      <c r="D158" s="23"/>
      <c r="E158" s="23"/>
      <c r="F158" s="21"/>
      <c r="G158" s="21"/>
      <c r="H158" s="21"/>
      <c r="I158" s="511"/>
    </row>
    <row r="159" spans="1:10">
      <c r="A159" s="509"/>
      <c r="B159" s="510"/>
      <c r="C159" s="23"/>
      <c r="D159" s="23"/>
      <c r="E159" s="23"/>
      <c r="F159" s="21"/>
      <c r="G159" s="21"/>
      <c r="H159" s="21"/>
      <c r="I159" s="511"/>
    </row>
    <row r="160" spans="1:10">
      <c r="A160" s="509"/>
      <c r="B160" s="510"/>
      <c r="C160" s="23"/>
      <c r="D160" s="23"/>
      <c r="E160" s="23"/>
      <c r="F160" s="21"/>
      <c r="G160" s="21"/>
      <c r="H160" s="21"/>
      <c r="I160" s="511"/>
    </row>
    <row r="161" spans="1:9">
      <c r="A161" s="509"/>
      <c r="B161" s="510"/>
      <c r="C161" s="23"/>
      <c r="D161" s="23"/>
      <c r="E161" s="23"/>
      <c r="F161" s="21"/>
      <c r="G161" s="21"/>
      <c r="H161" s="21"/>
      <c r="I161" s="511"/>
    </row>
    <row r="162" spans="1:9">
      <c r="A162" s="509"/>
      <c r="B162" s="510"/>
      <c r="C162" s="23"/>
      <c r="D162" s="23"/>
      <c r="E162" s="23"/>
      <c r="F162" s="21"/>
      <c r="G162" s="21"/>
      <c r="H162" s="21"/>
      <c r="I162" s="511"/>
    </row>
    <row r="163" spans="1:9">
      <c r="A163" s="509"/>
      <c r="B163" s="510"/>
      <c r="C163" s="23"/>
      <c r="D163" s="23"/>
      <c r="E163" s="23"/>
      <c r="F163" s="21"/>
      <c r="G163" s="21"/>
      <c r="H163" s="21"/>
      <c r="I163" s="511"/>
    </row>
    <row r="164" spans="1:9">
      <c r="A164" s="509"/>
      <c r="B164" s="510"/>
      <c r="C164" s="23"/>
      <c r="D164" s="23"/>
      <c r="E164" s="23"/>
      <c r="F164" s="21"/>
      <c r="G164" s="21"/>
      <c r="H164" s="21"/>
      <c r="I164" s="511"/>
    </row>
    <row r="165" spans="1:9">
      <c r="A165" s="509"/>
      <c r="B165" s="510"/>
      <c r="C165" s="23"/>
      <c r="D165" s="23"/>
      <c r="E165" s="23"/>
      <c r="F165" s="21"/>
      <c r="G165" s="21"/>
      <c r="H165" s="21"/>
      <c r="I165" s="511"/>
    </row>
    <row r="166" spans="1:9">
      <c r="A166" s="509"/>
      <c r="B166" s="510"/>
      <c r="C166" s="23"/>
      <c r="D166" s="23"/>
      <c r="E166" s="23"/>
      <c r="F166" s="21"/>
      <c r="G166" s="21"/>
      <c r="H166" s="21"/>
      <c r="I166" s="511"/>
    </row>
    <row r="167" spans="1:9">
      <c r="A167" s="509"/>
      <c r="B167" s="510"/>
      <c r="C167" s="23"/>
      <c r="D167" s="23"/>
      <c r="E167" s="23"/>
      <c r="F167" s="21"/>
      <c r="G167" s="21"/>
      <c r="H167" s="21"/>
      <c r="I167" s="511"/>
    </row>
    <row r="168" spans="1:9">
      <c r="A168" s="509"/>
      <c r="B168" s="510"/>
      <c r="C168" s="23"/>
      <c r="D168" s="23"/>
      <c r="E168" s="23"/>
      <c r="F168" s="21"/>
      <c r="G168" s="21"/>
      <c r="H168" s="21"/>
      <c r="I168" s="511"/>
    </row>
    <row r="169" spans="1:9">
      <c r="A169" s="509"/>
      <c r="B169" s="510"/>
      <c r="C169" s="23"/>
      <c r="D169" s="23"/>
      <c r="E169" s="23"/>
      <c r="F169" s="21"/>
      <c r="G169" s="21"/>
      <c r="H169" s="21"/>
      <c r="I169" s="511"/>
    </row>
    <row r="170" spans="1:9">
      <c r="A170" s="509"/>
      <c r="B170" s="510"/>
      <c r="C170" s="23"/>
      <c r="D170" s="23"/>
      <c r="E170" s="23"/>
      <c r="F170" s="21"/>
      <c r="G170" s="21"/>
      <c r="H170" s="21"/>
      <c r="I170" s="511"/>
    </row>
    <row r="171" spans="1:9">
      <c r="A171" s="509"/>
      <c r="B171" s="510"/>
      <c r="C171" s="23"/>
      <c r="D171" s="23"/>
      <c r="E171" s="23"/>
      <c r="F171" s="21"/>
      <c r="G171" s="21"/>
      <c r="H171" s="21"/>
      <c r="I171" s="511"/>
    </row>
    <row r="172" spans="1:9">
      <c r="A172" s="509"/>
      <c r="B172" s="510"/>
      <c r="C172" s="23"/>
      <c r="D172" s="23"/>
      <c r="E172" s="23"/>
      <c r="F172" s="21"/>
      <c r="G172" s="21"/>
      <c r="H172" s="21"/>
      <c r="I172" s="511"/>
    </row>
    <row r="173" spans="1:9">
      <c r="A173" s="509"/>
      <c r="B173" s="510"/>
      <c r="C173" s="23"/>
      <c r="D173" s="23"/>
      <c r="E173" s="23"/>
      <c r="F173" s="21"/>
      <c r="G173" s="21"/>
      <c r="H173" s="21"/>
      <c r="I173" s="511"/>
    </row>
    <row r="174" spans="1:9">
      <c r="A174" s="509"/>
      <c r="B174" s="510"/>
      <c r="C174" s="23"/>
      <c r="D174" s="23"/>
      <c r="E174" s="23"/>
      <c r="F174" s="21"/>
      <c r="G174" s="21"/>
      <c r="H174" s="21"/>
      <c r="I174" s="511"/>
    </row>
    <row r="175" spans="1:9">
      <c r="A175" s="509"/>
      <c r="B175" s="510"/>
      <c r="C175" s="23"/>
      <c r="D175" s="23"/>
      <c r="E175" s="23"/>
      <c r="F175" s="21"/>
      <c r="G175" s="21"/>
      <c r="H175" s="21"/>
      <c r="I175" s="511"/>
    </row>
    <row r="176" spans="1:9">
      <c r="A176" s="509"/>
      <c r="B176" s="510"/>
      <c r="C176" s="23"/>
      <c r="D176" s="23"/>
      <c r="E176" s="23"/>
      <c r="F176" s="21"/>
      <c r="G176" s="21"/>
      <c r="H176" s="21"/>
      <c r="I176" s="511"/>
    </row>
    <row r="177" spans="1:9">
      <c r="A177" s="509"/>
      <c r="B177" s="510"/>
      <c r="C177" s="23"/>
      <c r="D177" s="23"/>
      <c r="E177" s="23"/>
      <c r="F177" s="21"/>
      <c r="G177" s="21"/>
      <c r="H177" s="21"/>
      <c r="I177" s="511"/>
    </row>
    <row r="178" spans="1:9">
      <c r="A178" s="509"/>
      <c r="B178" s="510"/>
      <c r="C178" s="23"/>
      <c r="D178" s="23"/>
      <c r="E178" s="23"/>
      <c r="F178" s="21"/>
      <c r="G178" s="21"/>
      <c r="H178" s="21"/>
      <c r="I178" s="511"/>
    </row>
    <row r="179" spans="1:9">
      <c r="A179" s="509"/>
      <c r="B179" s="510"/>
      <c r="C179" s="23"/>
      <c r="D179" s="23"/>
      <c r="E179" s="23"/>
      <c r="F179" s="21"/>
      <c r="G179" s="21"/>
      <c r="H179" s="21"/>
      <c r="I179" s="511"/>
    </row>
    <row r="180" spans="1:9">
      <c r="A180" s="509"/>
      <c r="B180" s="510"/>
      <c r="C180" s="23"/>
      <c r="D180" s="23"/>
      <c r="E180" s="23"/>
      <c r="F180" s="21"/>
      <c r="G180" s="21"/>
      <c r="H180" s="21"/>
      <c r="I180" s="511"/>
    </row>
    <row r="181" spans="1:9">
      <c r="A181" s="509"/>
      <c r="B181" s="510"/>
      <c r="C181" s="23"/>
      <c r="D181" s="23"/>
      <c r="E181" s="23"/>
      <c r="F181" s="21"/>
      <c r="G181" s="21"/>
      <c r="H181" s="21"/>
      <c r="I181" s="511"/>
    </row>
    <row r="182" spans="1:9">
      <c r="A182" s="509"/>
      <c r="B182" s="510"/>
      <c r="C182" s="23"/>
      <c r="D182" s="23"/>
      <c r="E182" s="23"/>
      <c r="F182" s="21"/>
      <c r="G182" s="21"/>
      <c r="H182" s="21"/>
      <c r="I182" s="511"/>
    </row>
    <row r="183" spans="1:9">
      <c r="A183" s="509"/>
      <c r="B183" s="510"/>
      <c r="C183" s="23"/>
      <c r="D183" s="23"/>
      <c r="E183" s="23"/>
      <c r="F183" s="21"/>
      <c r="G183" s="21"/>
      <c r="H183" s="21"/>
      <c r="I183" s="511"/>
    </row>
    <row r="184" spans="1:9">
      <c r="A184" s="509"/>
      <c r="B184" s="510"/>
      <c r="C184" s="23"/>
      <c r="D184" s="23"/>
      <c r="E184" s="23"/>
      <c r="F184" s="21"/>
      <c r="G184" s="21"/>
      <c r="H184" s="21"/>
      <c r="I184" s="511"/>
    </row>
    <row r="185" spans="1:9">
      <c r="A185" s="509"/>
      <c r="B185" s="510"/>
      <c r="C185" s="23"/>
      <c r="D185" s="23"/>
      <c r="E185" s="23"/>
      <c r="F185" s="21"/>
      <c r="G185" s="21"/>
      <c r="H185" s="21"/>
      <c r="I185" s="511"/>
    </row>
    <row r="186" spans="1:9">
      <c r="A186" s="509"/>
      <c r="B186" s="510"/>
      <c r="C186" s="23"/>
      <c r="D186" s="23"/>
      <c r="E186" s="23"/>
      <c r="F186" s="21"/>
      <c r="G186" s="21"/>
      <c r="H186" s="21"/>
      <c r="I186" s="511"/>
    </row>
    <row r="187" spans="1:9">
      <c r="A187" s="509"/>
      <c r="B187" s="510"/>
      <c r="C187" s="23"/>
      <c r="D187" s="23"/>
      <c r="E187" s="23"/>
      <c r="F187" s="21"/>
      <c r="G187" s="21"/>
      <c r="H187" s="21"/>
      <c r="I187" s="511"/>
    </row>
    <row r="188" spans="1:9">
      <c r="A188" s="509"/>
      <c r="B188" s="510"/>
      <c r="C188" s="23"/>
      <c r="D188" s="23"/>
      <c r="E188" s="23"/>
      <c r="F188" s="21"/>
      <c r="G188" s="21"/>
      <c r="H188" s="21"/>
      <c r="I188" s="511"/>
    </row>
    <row r="189" spans="1:9">
      <c r="A189" s="509"/>
      <c r="B189" s="510"/>
      <c r="C189" s="23"/>
      <c r="D189" s="23"/>
      <c r="E189" s="23"/>
      <c r="F189" s="21"/>
      <c r="G189" s="21"/>
      <c r="H189" s="21"/>
      <c r="I189" s="511"/>
    </row>
    <row r="190" spans="1:9">
      <c r="A190" s="509"/>
      <c r="B190" s="510"/>
      <c r="C190" s="23"/>
      <c r="D190" s="23"/>
      <c r="E190" s="23"/>
      <c r="F190" s="21"/>
      <c r="G190" s="21"/>
      <c r="H190" s="21"/>
      <c r="I190" s="511"/>
    </row>
    <row r="191" spans="1:9">
      <c r="A191" s="509"/>
      <c r="B191" s="510"/>
      <c r="C191" s="23"/>
      <c r="D191" s="23"/>
      <c r="E191" s="23"/>
      <c r="F191" s="21"/>
      <c r="G191" s="21"/>
      <c r="H191" s="21"/>
      <c r="I191" s="511"/>
    </row>
    <row r="192" spans="1:9">
      <c r="A192" s="509"/>
      <c r="B192" s="510"/>
      <c r="C192" s="23"/>
      <c r="D192" s="23"/>
      <c r="E192" s="23"/>
      <c r="F192" s="21"/>
      <c r="G192" s="21"/>
      <c r="H192" s="21"/>
      <c r="I192" s="511"/>
    </row>
    <row r="193" spans="1:9">
      <c r="A193" s="509"/>
      <c r="B193" s="510"/>
      <c r="C193" s="23"/>
      <c r="D193" s="23"/>
      <c r="E193" s="23"/>
      <c r="F193" s="21"/>
      <c r="G193" s="21"/>
      <c r="H193" s="21"/>
      <c r="I193" s="511"/>
    </row>
    <row r="194" spans="1:9">
      <c r="A194" s="509"/>
      <c r="B194" s="510"/>
      <c r="C194" s="23"/>
      <c r="D194" s="23"/>
      <c r="E194" s="23"/>
      <c r="F194" s="21"/>
      <c r="G194" s="21"/>
      <c r="H194" s="21"/>
      <c r="I194" s="511"/>
    </row>
    <row r="195" spans="1:9">
      <c r="A195" s="509"/>
      <c r="B195" s="510"/>
      <c r="C195" s="23"/>
      <c r="D195" s="23"/>
      <c r="E195" s="23"/>
      <c r="F195" s="21"/>
      <c r="G195" s="21"/>
      <c r="H195" s="21"/>
      <c r="I195" s="511"/>
    </row>
    <row r="196" spans="1:9">
      <c r="A196" s="509"/>
      <c r="B196" s="510"/>
      <c r="C196" s="23"/>
      <c r="D196" s="23"/>
      <c r="E196" s="23"/>
      <c r="F196" s="21"/>
      <c r="G196" s="21"/>
      <c r="H196" s="21"/>
      <c r="I196" s="511"/>
    </row>
    <row r="197" spans="1:9">
      <c r="A197" s="509"/>
      <c r="B197" s="510"/>
      <c r="C197" s="23"/>
      <c r="D197" s="23"/>
      <c r="E197" s="23"/>
      <c r="F197" s="21"/>
      <c r="G197" s="21"/>
      <c r="H197" s="21"/>
      <c r="I197" s="511"/>
    </row>
    <row r="198" spans="1:9">
      <c r="A198" s="509"/>
      <c r="B198" s="510"/>
      <c r="C198" s="23"/>
      <c r="D198" s="23"/>
      <c r="E198" s="23"/>
      <c r="F198" s="21"/>
      <c r="G198" s="21"/>
      <c r="H198" s="21"/>
      <c r="I198" s="511"/>
    </row>
    <row r="199" spans="1:9">
      <c r="A199" s="509"/>
      <c r="B199" s="510"/>
      <c r="C199" s="23"/>
      <c r="D199" s="23"/>
      <c r="E199" s="23"/>
      <c r="F199" s="21"/>
      <c r="G199" s="21"/>
      <c r="H199" s="21"/>
      <c r="I199" s="511"/>
    </row>
    <row r="200" spans="1:9">
      <c r="A200" s="509"/>
      <c r="B200" s="510"/>
      <c r="C200" s="23"/>
      <c r="D200" s="23"/>
      <c r="E200" s="23"/>
      <c r="F200" s="21"/>
      <c r="G200" s="21"/>
      <c r="H200" s="21"/>
      <c r="I200" s="511"/>
    </row>
    <row r="201" spans="1:9">
      <c r="A201" s="509"/>
      <c r="B201" s="510"/>
      <c r="C201" s="23"/>
      <c r="D201" s="23"/>
      <c r="E201" s="23"/>
      <c r="F201" s="21"/>
      <c r="G201" s="21"/>
      <c r="H201" s="21"/>
      <c r="I201" s="511"/>
    </row>
    <row r="202" spans="1:9">
      <c r="A202" s="509"/>
      <c r="B202" s="510"/>
      <c r="C202" s="23"/>
      <c r="D202" s="23"/>
      <c r="E202" s="23"/>
      <c r="F202" s="21"/>
      <c r="G202" s="21"/>
      <c r="H202" s="21"/>
      <c r="I202" s="511"/>
    </row>
    <row r="203" spans="1:9">
      <c r="A203" s="509"/>
      <c r="B203" s="510"/>
      <c r="C203" s="23"/>
      <c r="D203" s="23"/>
      <c r="E203" s="23"/>
      <c r="F203" s="21"/>
      <c r="G203" s="21"/>
      <c r="H203" s="21"/>
      <c r="I203" s="511"/>
    </row>
    <row r="204" spans="1:9">
      <c r="A204" s="509"/>
      <c r="B204" s="510"/>
      <c r="C204" s="23"/>
      <c r="D204" s="23"/>
      <c r="E204" s="23"/>
      <c r="F204" s="21"/>
      <c r="G204" s="21"/>
      <c r="H204" s="21"/>
      <c r="I204" s="511"/>
    </row>
    <row r="205" spans="1:9">
      <c r="A205" s="509"/>
      <c r="B205" s="510"/>
      <c r="C205" s="23"/>
      <c r="D205" s="23"/>
      <c r="E205" s="23"/>
      <c r="F205" s="21"/>
      <c r="G205" s="21"/>
      <c r="H205" s="21"/>
      <c r="I205" s="511"/>
    </row>
    <row r="206" spans="1:9">
      <c r="A206" s="509"/>
      <c r="B206" s="510"/>
      <c r="C206" s="23"/>
      <c r="D206" s="23"/>
      <c r="E206" s="23"/>
      <c r="F206" s="21"/>
      <c r="G206" s="21"/>
      <c r="H206" s="21"/>
      <c r="I206" s="511"/>
    </row>
    <row r="207" spans="1:9">
      <c r="A207" s="509"/>
      <c r="B207" s="510"/>
      <c r="C207" s="23"/>
      <c r="D207" s="23"/>
      <c r="E207" s="23"/>
      <c r="F207" s="21"/>
      <c r="G207" s="21"/>
      <c r="H207" s="21"/>
      <c r="I207" s="511"/>
    </row>
    <row r="208" spans="1:9">
      <c r="A208" s="509"/>
      <c r="B208" s="510"/>
      <c r="C208" s="23"/>
      <c r="D208" s="23"/>
      <c r="E208" s="23"/>
      <c r="F208" s="21"/>
      <c r="G208" s="21"/>
      <c r="H208" s="21"/>
      <c r="I208" s="511"/>
    </row>
    <row r="209" spans="1:9">
      <c r="A209" s="509"/>
      <c r="B209" s="510"/>
      <c r="C209" s="23"/>
      <c r="D209" s="23"/>
      <c r="E209" s="23"/>
      <c r="F209" s="21"/>
      <c r="G209" s="21"/>
      <c r="H209" s="21"/>
      <c r="I209" s="511"/>
    </row>
    <row r="210" spans="1:9">
      <c r="A210" s="509"/>
      <c r="B210" s="510"/>
      <c r="C210" s="23"/>
      <c r="D210" s="23"/>
      <c r="E210" s="23"/>
      <c r="F210" s="21"/>
      <c r="G210" s="21"/>
      <c r="H210" s="21"/>
      <c r="I210" s="511"/>
    </row>
    <row r="211" spans="1:9">
      <c r="A211" s="509"/>
      <c r="B211" s="510"/>
      <c r="C211" s="23"/>
      <c r="D211" s="23"/>
      <c r="E211" s="23"/>
      <c r="F211" s="21"/>
      <c r="G211" s="21"/>
      <c r="H211" s="21"/>
      <c r="I211" s="511"/>
    </row>
    <row r="212" spans="1:9">
      <c r="A212" s="509"/>
      <c r="B212" s="510"/>
      <c r="C212" s="23"/>
      <c r="D212" s="23"/>
      <c r="E212" s="23"/>
      <c r="F212" s="21"/>
      <c r="G212" s="21"/>
      <c r="H212" s="21"/>
      <c r="I212" s="511"/>
    </row>
    <row r="213" spans="1:9">
      <c r="A213" s="509"/>
      <c r="B213" s="510"/>
      <c r="C213" s="23"/>
      <c r="D213" s="23"/>
      <c r="E213" s="23"/>
      <c r="F213" s="21"/>
      <c r="G213" s="21"/>
      <c r="H213" s="21"/>
      <c r="I213" s="511"/>
    </row>
    <row r="214" spans="1:9">
      <c r="A214" s="509"/>
      <c r="B214" s="510"/>
      <c r="C214" s="23"/>
      <c r="D214" s="23"/>
      <c r="E214" s="23"/>
      <c r="F214" s="21"/>
      <c r="G214" s="21"/>
      <c r="H214" s="21"/>
      <c r="I214" s="511"/>
    </row>
    <row r="215" spans="1:9">
      <c r="A215" s="509"/>
      <c r="B215" s="510"/>
      <c r="C215" s="23"/>
      <c r="D215" s="23"/>
      <c r="E215" s="23"/>
      <c r="F215" s="21"/>
      <c r="G215" s="21"/>
      <c r="H215" s="21"/>
      <c r="I215" s="511"/>
    </row>
    <row r="216" spans="1:9">
      <c r="A216" s="509"/>
      <c r="B216" s="510"/>
      <c r="C216" s="23"/>
      <c r="D216" s="23"/>
      <c r="E216" s="23"/>
      <c r="F216" s="21"/>
      <c r="G216" s="21"/>
      <c r="H216" s="21"/>
      <c r="I216" s="511"/>
    </row>
    <row r="217" spans="1:9">
      <c r="A217" s="509"/>
      <c r="B217" s="510"/>
      <c r="C217" s="23"/>
      <c r="D217" s="23"/>
      <c r="E217" s="23"/>
      <c r="F217" s="21"/>
      <c r="G217" s="21"/>
      <c r="H217" s="21"/>
      <c r="I217" s="511"/>
    </row>
    <row r="218" spans="1:9">
      <c r="A218" s="509"/>
      <c r="B218" s="510"/>
      <c r="C218" s="23"/>
      <c r="D218" s="23"/>
      <c r="E218" s="23"/>
      <c r="F218" s="21"/>
      <c r="G218" s="21"/>
      <c r="H218" s="21"/>
      <c r="I218" s="511"/>
    </row>
    <row r="219" spans="1:9">
      <c r="A219" s="509"/>
      <c r="B219" s="510"/>
      <c r="C219" s="23"/>
      <c r="D219" s="23"/>
      <c r="E219" s="23"/>
      <c r="F219" s="21"/>
      <c r="G219" s="21"/>
      <c r="H219" s="21"/>
      <c r="I219" s="511"/>
    </row>
    <row r="220" spans="1:9">
      <c r="A220" s="509"/>
      <c r="B220" s="510"/>
      <c r="C220" s="23"/>
      <c r="D220" s="23"/>
      <c r="E220" s="23"/>
      <c r="F220" s="21"/>
      <c r="G220" s="21"/>
      <c r="H220" s="21"/>
      <c r="I220" s="511"/>
    </row>
    <row r="221" spans="1:9">
      <c r="A221" s="509"/>
      <c r="B221" s="510"/>
      <c r="C221" s="23"/>
      <c r="D221" s="23"/>
      <c r="E221" s="23"/>
      <c r="F221" s="21"/>
      <c r="G221" s="21"/>
      <c r="H221" s="21"/>
      <c r="I221" s="511"/>
    </row>
    <row r="222" spans="1:9">
      <c r="A222" s="509"/>
      <c r="B222" s="510"/>
      <c r="C222" s="23"/>
      <c r="D222" s="23"/>
      <c r="E222" s="23"/>
      <c r="F222" s="21"/>
      <c r="G222" s="21"/>
      <c r="H222" s="21"/>
      <c r="I222" s="511"/>
    </row>
    <row r="223" spans="1:9">
      <c r="A223" s="509"/>
      <c r="B223" s="510"/>
      <c r="C223" s="23"/>
      <c r="D223" s="23"/>
      <c r="E223" s="23"/>
      <c r="F223" s="21"/>
      <c r="G223" s="21"/>
      <c r="H223" s="21"/>
      <c r="I223" s="511"/>
    </row>
    <row r="224" spans="1:9">
      <c r="A224" s="509"/>
      <c r="B224" s="510"/>
      <c r="C224" s="23"/>
      <c r="D224" s="23"/>
      <c r="E224" s="23"/>
      <c r="F224" s="21"/>
      <c r="G224" s="21"/>
      <c r="H224" s="21"/>
      <c r="I224" s="511"/>
    </row>
    <row r="225" spans="1:9">
      <c r="A225" s="509"/>
      <c r="B225" s="510"/>
      <c r="C225" s="23"/>
      <c r="D225" s="23"/>
      <c r="E225" s="23"/>
      <c r="F225" s="21"/>
      <c r="G225" s="21"/>
      <c r="H225" s="21"/>
      <c r="I225" s="511"/>
    </row>
    <row r="226" spans="1:9">
      <c r="A226" s="509"/>
      <c r="B226" s="510"/>
      <c r="C226" s="23"/>
      <c r="D226" s="23"/>
      <c r="E226" s="23"/>
      <c r="F226" s="21"/>
      <c r="G226" s="21"/>
      <c r="H226" s="21"/>
      <c r="I226" s="511"/>
    </row>
    <row r="227" spans="1:9">
      <c r="A227" s="509"/>
      <c r="B227" s="510"/>
      <c r="C227" s="23"/>
      <c r="D227" s="23"/>
      <c r="E227" s="23"/>
      <c r="F227" s="21"/>
      <c r="G227" s="21"/>
      <c r="H227" s="21"/>
      <c r="I227" s="511"/>
    </row>
    <row r="228" spans="1:9">
      <c r="A228" s="509"/>
      <c r="B228" s="510"/>
      <c r="C228" s="23"/>
      <c r="D228" s="23"/>
      <c r="E228" s="23"/>
      <c r="F228" s="21"/>
      <c r="G228" s="21"/>
      <c r="H228" s="21"/>
      <c r="I228" s="511"/>
    </row>
    <row r="229" spans="1:9">
      <c r="A229" s="509"/>
      <c r="B229" s="510"/>
      <c r="C229" s="23"/>
      <c r="D229" s="23"/>
      <c r="E229" s="23"/>
      <c r="F229" s="21"/>
      <c r="G229" s="21"/>
      <c r="H229" s="21"/>
      <c r="I229" s="511"/>
    </row>
    <row r="230" spans="1:9">
      <c r="A230" s="509"/>
      <c r="B230" s="510"/>
      <c r="C230" s="23"/>
      <c r="D230" s="23"/>
      <c r="E230" s="23"/>
      <c r="F230" s="21"/>
      <c r="G230" s="21"/>
      <c r="H230" s="21"/>
      <c r="I230" s="511"/>
    </row>
    <row r="231" spans="1:9">
      <c r="A231" s="509"/>
      <c r="B231" s="510"/>
      <c r="C231" s="23"/>
      <c r="D231" s="23"/>
      <c r="E231" s="23"/>
      <c r="F231" s="21"/>
      <c r="G231" s="21"/>
      <c r="H231" s="21"/>
      <c r="I231" s="511"/>
    </row>
    <row r="232" spans="1:9">
      <c r="A232" s="509"/>
      <c r="B232" s="510"/>
      <c r="C232" s="23"/>
      <c r="D232" s="23"/>
      <c r="E232" s="23"/>
      <c r="F232" s="21"/>
      <c r="G232" s="21"/>
      <c r="H232" s="21"/>
      <c r="I232" s="511"/>
    </row>
    <row r="233" spans="1:9">
      <c r="A233" s="509"/>
      <c r="B233" s="510"/>
      <c r="C233" s="23"/>
      <c r="D233" s="23"/>
      <c r="E233" s="23"/>
      <c r="F233" s="21"/>
      <c r="G233" s="21"/>
      <c r="H233" s="21"/>
      <c r="I233" s="511"/>
    </row>
    <row r="234" spans="1:9">
      <c r="A234" s="509"/>
      <c r="B234" s="510"/>
      <c r="C234" s="23"/>
      <c r="D234" s="23"/>
      <c r="E234" s="23"/>
      <c r="F234" s="21"/>
      <c r="G234" s="21"/>
      <c r="H234" s="21"/>
      <c r="I234" s="511"/>
    </row>
    <row r="235" spans="1:9">
      <c r="A235" s="509"/>
      <c r="B235" s="510"/>
      <c r="C235" s="23"/>
      <c r="D235" s="23"/>
      <c r="E235" s="23"/>
      <c r="F235" s="21"/>
      <c r="G235" s="21"/>
      <c r="H235" s="21"/>
      <c r="I235" s="511"/>
    </row>
    <row r="236" spans="1:9">
      <c r="A236" s="509"/>
      <c r="B236" s="510"/>
      <c r="C236" s="23"/>
      <c r="D236" s="23"/>
      <c r="E236" s="23"/>
      <c r="F236" s="21"/>
      <c r="G236" s="21"/>
      <c r="H236" s="21"/>
      <c r="I236" s="511"/>
    </row>
    <row r="237" spans="1:9">
      <c r="A237" s="509"/>
      <c r="B237" s="510"/>
      <c r="C237" s="23"/>
      <c r="D237" s="23"/>
      <c r="E237" s="23"/>
      <c r="F237" s="21"/>
      <c r="G237" s="21"/>
      <c r="H237" s="21"/>
      <c r="I237" s="511"/>
    </row>
    <row r="238" spans="1:9">
      <c r="A238" s="509"/>
      <c r="B238" s="510"/>
      <c r="C238" s="23"/>
      <c r="D238" s="23"/>
      <c r="E238" s="23"/>
      <c r="F238" s="21"/>
      <c r="G238" s="21"/>
      <c r="H238" s="21"/>
      <c r="I238" s="511"/>
    </row>
    <row r="239" spans="1:9">
      <c r="A239" s="509"/>
      <c r="B239" s="510"/>
      <c r="C239" s="23"/>
      <c r="D239" s="23"/>
      <c r="E239" s="23"/>
      <c r="F239" s="21"/>
      <c r="G239" s="21"/>
      <c r="H239" s="21"/>
      <c r="I239" s="511"/>
    </row>
    <row r="240" spans="1:9">
      <c r="A240" s="509"/>
      <c r="B240" s="510"/>
      <c r="C240" s="23"/>
      <c r="D240" s="23"/>
      <c r="E240" s="23"/>
      <c r="F240" s="21"/>
      <c r="G240" s="21"/>
      <c r="H240" s="21"/>
      <c r="I240" s="511"/>
    </row>
    <row r="241" spans="1:9">
      <c r="A241" s="509"/>
      <c r="B241" s="510"/>
      <c r="C241" s="23"/>
      <c r="D241" s="23"/>
      <c r="E241" s="23"/>
      <c r="F241" s="21"/>
      <c r="G241" s="21"/>
      <c r="H241" s="21"/>
      <c r="I241" s="511"/>
    </row>
    <row r="242" spans="1:9">
      <c r="A242" s="509"/>
      <c r="B242" s="510"/>
      <c r="C242" s="23"/>
      <c r="D242" s="23"/>
      <c r="E242" s="23"/>
      <c r="F242" s="21"/>
      <c r="G242" s="21"/>
      <c r="H242" s="21"/>
      <c r="I242" s="511"/>
    </row>
    <row r="243" spans="1:9">
      <c r="A243" s="509"/>
      <c r="B243" s="510"/>
      <c r="C243" s="23"/>
      <c r="D243" s="23"/>
      <c r="E243" s="23"/>
      <c r="F243" s="21"/>
      <c r="G243" s="21"/>
      <c r="H243" s="21"/>
      <c r="I243" s="511"/>
    </row>
    <row r="244" spans="1:9">
      <c r="A244" s="509"/>
      <c r="B244" s="510"/>
      <c r="C244" s="23"/>
      <c r="D244" s="23"/>
      <c r="E244" s="23"/>
      <c r="F244" s="21"/>
      <c r="G244" s="21"/>
      <c r="H244" s="21"/>
      <c r="I244" s="511"/>
    </row>
    <row r="245" spans="1:9">
      <c r="A245" s="509"/>
      <c r="B245" s="510"/>
      <c r="C245" s="23"/>
      <c r="D245" s="23"/>
      <c r="E245" s="23"/>
      <c r="F245" s="21"/>
      <c r="G245" s="21"/>
      <c r="H245" s="21"/>
      <c r="I245" s="511"/>
    </row>
    <row r="246" spans="1:9">
      <c r="A246" s="509"/>
      <c r="B246" s="510"/>
      <c r="C246" s="23"/>
      <c r="D246" s="23"/>
      <c r="E246" s="23"/>
      <c r="F246" s="21"/>
      <c r="G246" s="21"/>
      <c r="H246" s="21"/>
      <c r="I246" s="511"/>
    </row>
    <row r="247" spans="1:9">
      <c r="A247" s="509"/>
      <c r="B247" s="510"/>
      <c r="C247" s="23"/>
      <c r="D247" s="23"/>
      <c r="E247" s="23"/>
      <c r="F247" s="21"/>
      <c r="G247" s="21"/>
      <c r="H247" s="21"/>
      <c r="I247" s="511"/>
    </row>
    <row r="248" spans="1:9">
      <c r="A248" s="509"/>
      <c r="B248" s="510"/>
      <c r="C248" s="23"/>
      <c r="D248" s="23"/>
      <c r="E248" s="23"/>
      <c r="F248" s="21"/>
      <c r="G248" s="21"/>
      <c r="H248" s="21"/>
      <c r="I248" s="511"/>
    </row>
    <row r="249" spans="1:9">
      <c r="A249" s="509"/>
      <c r="B249" s="510"/>
      <c r="C249" s="23"/>
      <c r="D249" s="23"/>
      <c r="E249" s="23"/>
      <c r="F249" s="21"/>
      <c r="G249" s="21"/>
      <c r="H249" s="21"/>
      <c r="I249" s="511"/>
    </row>
    <row r="250" spans="1:9">
      <c r="A250" s="509"/>
      <c r="B250" s="510"/>
      <c r="C250" s="23"/>
      <c r="D250" s="23"/>
      <c r="E250" s="23"/>
      <c r="F250" s="21"/>
      <c r="G250" s="21"/>
      <c r="H250" s="21"/>
      <c r="I250" s="511"/>
    </row>
    <row r="251" spans="1:9">
      <c r="A251" s="509"/>
      <c r="B251" s="510"/>
      <c r="C251" s="23"/>
      <c r="D251" s="23"/>
      <c r="E251" s="23"/>
      <c r="F251" s="21"/>
      <c r="G251" s="21"/>
      <c r="H251" s="21"/>
      <c r="I251" s="511"/>
    </row>
    <row r="252" spans="1:9">
      <c r="A252" s="509"/>
      <c r="B252" s="510"/>
      <c r="C252" s="23"/>
      <c r="D252" s="23"/>
      <c r="E252" s="23"/>
      <c r="F252" s="21"/>
      <c r="G252" s="21"/>
      <c r="H252" s="21"/>
      <c r="I252" s="511"/>
    </row>
    <row r="253" spans="1:9">
      <c r="A253" s="509"/>
      <c r="B253" s="510"/>
      <c r="C253" s="23"/>
      <c r="D253" s="23"/>
      <c r="E253" s="23"/>
      <c r="F253" s="21"/>
      <c r="G253" s="21"/>
      <c r="H253" s="21"/>
      <c r="I253" s="511"/>
    </row>
    <row r="254" spans="1:9">
      <c r="A254" s="509"/>
      <c r="B254" s="510"/>
      <c r="C254" s="23"/>
      <c r="D254" s="23"/>
      <c r="E254" s="23"/>
      <c r="F254" s="21"/>
      <c r="G254" s="21"/>
      <c r="H254" s="21"/>
      <c r="I254" s="511"/>
    </row>
    <row r="255" spans="1:9">
      <c r="A255" s="509"/>
      <c r="B255" s="510"/>
      <c r="C255" s="23"/>
      <c r="D255" s="23"/>
      <c r="E255" s="23"/>
      <c r="F255" s="21"/>
      <c r="G255" s="21"/>
      <c r="H255" s="21"/>
      <c r="I255" s="511"/>
    </row>
    <row r="256" spans="1:9">
      <c r="A256" s="509"/>
      <c r="B256" s="510"/>
      <c r="C256" s="23"/>
      <c r="D256" s="23"/>
      <c r="E256" s="23"/>
      <c r="F256" s="21"/>
      <c r="G256" s="21"/>
      <c r="H256" s="21"/>
      <c r="I256" s="511"/>
    </row>
    <row r="257" spans="1:9">
      <c r="A257" s="509"/>
      <c r="B257" s="510"/>
      <c r="C257" s="23"/>
      <c r="D257" s="23"/>
      <c r="E257" s="23"/>
      <c r="F257" s="21"/>
      <c r="G257" s="21"/>
      <c r="H257" s="21"/>
      <c r="I257" s="511"/>
    </row>
    <row r="258" spans="1:9">
      <c r="A258" s="509"/>
      <c r="B258" s="510"/>
      <c r="C258" s="23"/>
      <c r="D258" s="23"/>
      <c r="E258" s="23"/>
      <c r="F258" s="21"/>
      <c r="G258" s="21"/>
      <c r="H258" s="21"/>
      <c r="I258" s="511"/>
    </row>
    <row r="259" spans="1:9">
      <c r="A259" s="509"/>
      <c r="B259" s="510"/>
      <c r="C259" s="23"/>
      <c r="D259" s="23"/>
      <c r="E259" s="23"/>
      <c r="F259" s="21"/>
      <c r="G259" s="21"/>
      <c r="H259" s="21"/>
      <c r="I259" s="511"/>
    </row>
    <row r="260" spans="1:9">
      <c r="A260" s="509"/>
      <c r="B260" s="510"/>
      <c r="C260" s="23"/>
      <c r="D260" s="23"/>
      <c r="E260" s="23"/>
      <c r="F260" s="21"/>
      <c r="G260" s="21"/>
      <c r="H260" s="21"/>
      <c r="I260" s="511"/>
    </row>
    <row r="261" spans="1:9">
      <c r="A261" s="509"/>
      <c r="B261" s="510"/>
      <c r="C261" s="23"/>
      <c r="D261" s="23"/>
      <c r="E261" s="23"/>
      <c r="F261" s="21"/>
      <c r="G261" s="21"/>
      <c r="H261" s="21"/>
      <c r="I261" s="511"/>
    </row>
    <row r="262" spans="1:9">
      <c r="A262" s="509"/>
      <c r="B262" s="510"/>
      <c r="C262" s="23"/>
      <c r="D262" s="23"/>
      <c r="E262" s="23"/>
      <c r="F262" s="21"/>
      <c r="G262" s="21"/>
      <c r="H262" s="21"/>
      <c r="I262" s="511"/>
    </row>
    <row r="263" spans="1:9">
      <c r="A263" s="509"/>
      <c r="B263" s="510"/>
      <c r="C263" s="23"/>
      <c r="D263" s="23"/>
      <c r="E263" s="23"/>
      <c r="F263" s="21"/>
      <c r="G263" s="21"/>
      <c r="H263" s="21"/>
      <c r="I263" s="511"/>
    </row>
    <row r="264" spans="1:9">
      <c r="A264" s="509"/>
      <c r="B264" s="510"/>
      <c r="C264" s="23"/>
      <c r="D264" s="23"/>
      <c r="E264" s="23"/>
      <c r="F264" s="21"/>
      <c r="G264" s="21"/>
      <c r="H264" s="21"/>
      <c r="I264" s="511"/>
    </row>
    <row r="265" spans="1:9">
      <c r="A265" s="509"/>
      <c r="B265" s="510"/>
      <c r="C265" s="23"/>
      <c r="D265" s="23"/>
      <c r="E265" s="23"/>
      <c r="F265" s="21"/>
      <c r="G265" s="21"/>
      <c r="H265" s="21"/>
      <c r="I265" s="511"/>
    </row>
    <row r="266" spans="1:9">
      <c r="A266" s="509"/>
      <c r="B266" s="510"/>
      <c r="C266" s="23"/>
      <c r="D266" s="23"/>
      <c r="E266" s="23"/>
      <c r="F266" s="21"/>
      <c r="G266" s="21"/>
      <c r="H266" s="21"/>
      <c r="I266" s="511"/>
    </row>
    <row r="267" spans="1:9">
      <c r="A267" s="509"/>
      <c r="B267" s="510"/>
      <c r="C267" s="23"/>
      <c r="D267" s="23"/>
      <c r="E267" s="23"/>
      <c r="F267" s="21"/>
      <c r="G267" s="21"/>
      <c r="H267" s="21"/>
      <c r="I267" s="511"/>
    </row>
    <row r="268" spans="1:9">
      <c r="A268" s="509"/>
      <c r="B268" s="510"/>
      <c r="C268" s="23"/>
      <c r="D268" s="23"/>
      <c r="E268" s="23"/>
      <c r="F268" s="21"/>
      <c r="G268" s="21"/>
      <c r="H268" s="21"/>
      <c r="I268" s="511"/>
    </row>
    <row r="269" spans="1:9">
      <c r="A269" s="509"/>
      <c r="B269" s="510"/>
      <c r="C269" s="23"/>
      <c r="D269" s="23"/>
      <c r="E269" s="23"/>
      <c r="F269" s="21"/>
      <c r="G269" s="21"/>
      <c r="H269" s="21"/>
      <c r="I269" s="511"/>
    </row>
    <row r="270" spans="1:9">
      <c r="A270" s="509"/>
      <c r="B270" s="510"/>
      <c r="C270" s="23"/>
      <c r="D270" s="23"/>
      <c r="E270" s="23"/>
      <c r="F270" s="21"/>
      <c r="G270" s="21"/>
      <c r="H270" s="21"/>
      <c r="I270" s="511"/>
    </row>
    <row r="271" spans="1:9">
      <c r="A271" s="509"/>
      <c r="B271" s="510"/>
      <c r="C271" s="23"/>
      <c r="D271" s="23"/>
      <c r="E271" s="23"/>
      <c r="F271" s="21"/>
      <c r="G271" s="21"/>
      <c r="H271" s="21"/>
      <c r="I271" s="511"/>
    </row>
    <row r="272" spans="1:9">
      <c r="A272" s="509"/>
      <c r="B272" s="510"/>
      <c r="C272" s="23"/>
      <c r="D272" s="23"/>
      <c r="E272" s="23"/>
      <c r="F272" s="21"/>
      <c r="G272" s="21"/>
      <c r="H272" s="21"/>
      <c r="I272" s="511"/>
    </row>
    <row r="273" spans="1:9">
      <c r="A273" s="509"/>
      <c r="B273" s="510"/>
      <c r="C273" s="23"/>
      <c r="D273" s="23"/>
      <c r="E273" s="23"/>
      <c r="F273" s="21"/>
      <c r="G273" s="21"/>
      <c r="H273" s="21"/>
      <c r="I273" s="511"/>
    </row>
    <row r="274" spans="1:9">
      <c r="A274" s="509"/>
      <c r="B274" s="510"/>
      <c r="C274" s="23"/>
      <c r="D274" s="23"/>
      <c r="E274" s="23"/>
      <c r="F274" s="21"/>
      <c r="G274" s="21"/>
      <c r="H274" s="21"/>
      <c r="I274" s="511"/>
    </row>
    <row r="275" spans="1:9">
      <c r="A275" s="509"/>
      <c r="B275" s="510"/>
      <c r="C275" s="23"/>
      <c r="D275" s="23"/>
      <c r="E275" s="23"/>
      <c r="F275" s="21"/>
      <c r="G275" s="21"/>
      <c r="H275" s="21"/>
      <c r="I275" s="511"/>
    </row>
    <row r="276" spans="1:9">
      <c r="A276" s="509"/>
      <c r="B276" s="510"/>
      <c r="C276" s="23"/>
      <c r="D276" s="23"/>
      <c r="E276" s="23"/>
      <c r="F276" s="21"/>
      <c r="G276" s="21"/>
      <c r="H276" s="21"/>
      <c r="I276" s="511"/>
    </row>
    <row r="277" spans="1:9">
      <c r="A277" s="509"/>
      <c r="B277" s="510"/>
      <c r="C277" s="23"/>
      <c r="D277" s="23"/>
      <c r="E277" s="23"/>
      <c r="F277" s="21"/>
      <c r="G277" s="21"/>
      <c r="H277" s="21"/>
      <c r="I277" s="511"/>
    </row>
    <row r="278" spans="1:9">
      <c r="A278" s="509"/>
      <c r="B278" s="510"/>
      <c r="C278" s="23"/>
      <c r="D278" s="23"/>
      <c r="E278" s="23"/>
      <c r="F278" s="21"/>
      <c r="G278" s="21"/>
      <c r="H278" s="21"/>
      <c r="I278" s="511"/>
    </row>
    <row r="279" spans="1:9">
      <c r="A279" s="509"/>
      <c r="B279" s="510"/>
      <c r="C279" s="23"/>
      <c r="D279" s="23"/>
      <c r="E279" s="23"/>
      <c r="F279" s="21"/>
      <c r="G279" s="21"/>
      <c r="H279" s="21"/>
      <c r="I279" s="511"/>
    </row>
    <row r="280" spans="1:9">
      <c r="A280" s="509"/>
      <c r="B280" s="510"/>
      <c r="C280" s="23"/>
      <c r="D280" s="23"/>
      <c r="E280" s="23"/>
      <c r="F280" s="21"/>
      <c r="G280" s="21"/>
      <c r="H280" s="21"/>
      <c r="I280" s="511"/>
    </row>
    <row r="281" spans="1:9">
      <c r="A281" s="509"/>
      <c r="B281" s="510"/>
      <c r="C281" s="23"/>
      <c r="D281" s="23"/>
      <c r="E281" s="23"/>
      <c r="F281" s="21"/>
      <c r="G281" s="21"/>
      <c r="H281" s="21"/>
      <c r="I281" s="511"/>
    </row>
    <row r="282" spans="1:9">
      <c r="A282" s="509"/>
      <c r="B282" s="510"/>
      <c r="C282" s="23"/>
      <c r="D282" s="23"/>
      <c r="E282" s="23"/>
      <c r="F282" s="21"/>
      <c r="G282" s="21"/>
      <c r="H282" s="21"/>
      <c r="I282" s="511"/>
    </row>
    <row r="283" spans="1:9">
      <c r="A283" s="509"/>
      <c r="B283" s="510"/>
      <c r="C283" s="23"/>
      <c r="D283" s="23"/>
      <c r="E283" s="23"/>
      <c r="F283" s="21"/>
      <c r="G283" s="21"/>
      <c r="H283" s="21"/>
      <c r="I283" s="511"/>
    </row>
    <row r="284" spans="1:9">
      <c r="A284" s="509"/>
      <c r="B284" s="510"/>
      <c r="C284" s="23"/>
      <c r="D284" s="23"/>
      <c r="E284" s="23"/>
      <c r="F284" s="21"/>
      <c r="G284" s="21"/>
      <c r="H284" s="21"/>
      <c r="I284" s="511"/>
    </row>
    <row r="285" spans="1:9">
      <c r="A285" s="509"/>
      <c r="B285" s="510"/>
      <c r="C285" s="23"/>
      <c r="D285" s="23"/>
      <c r="E285" s="23"/>
      <c r="F285" s="21"/>
      <c r="G285" s="21"/>
      <c r="H285" s="21"/>
      <c r="I285" s="511"/>
    </row>
    <row r="286" spans="1:9">
      <c r="A286" s="509"/>
      <c r="B286" s="510"/>
      <c r="C286" s="23"/>
      <c r="D286" s="23"/>
      <c r="E286" s="23"/>
      <c r="F286" s="21"/>
      <c r="G286" s="21"/>
      <c r="H286" s="21"/>
      <c r="I286" s="511"/>
    </row>
    <row r="287" spans="1:9">
      <c r="A287" s="509"/>
      <c r="B287" s="510"/>
      <c r="C287" s="23"/>
      <c r="D287" s="23"/>
      <c r="E287" s="23"/>
      <c r="F287" s="21"/>
      <c r="G287" s="21"/>
      <c r="H287" s="21"/>
      <c r="I287" s="511"/>
    </row>
    <row r="288" spans="1:9">
      <c r="A288" s="509"/>
      <c r="B288" s="510"/>
      <c r="C288" s="23"/>
      <c r="D288" s="23"/>
      <c r="E288" s="23"/>
      <c r="F288" s="21"/>
      <c r="G288" s="21"/>
      <c r="H288" s="21"/>
      <c r="I288" s="511"/>
    </row>
    <row r="289" spans="1:9">
      <c r="A289" s="509"/>
      <c r="B289" s="510"/>
      <c r="C289" s="23"/>
      <c r="D289" s="23"/>
      <c r="E289" s="23"/>
      <c r="F289" s="21"/>
      <c r="G289" s="21"/>
      <c r="H289" s="21"/>
      <c r="I289" s="511"/>
    </row>
    <row r="290" spans="1:9">
      <c r="A290" s="509"/>
      <c r="B290" s="510"/>
      <c r="C290" s="23"/>
      <c r="D290" s="23"/>
      <c r="E290" s="23"/>
      <c r="F290" s="21"/>
      <c r="G290" s="21"/>
      <c r="H290" s="21"/>
      <c r="I290" s="511"/>
    </row>
    <row r="291" spans="1:9">
      <c r="A291" s="509"/>
      <c r="B291" s="510"/>
      <c r="C291" s="23"/>
      <c r="D291" s="23"/>
      <c r="E291" s="23"/>
      <c r="F291" s="21"/>
      <c r="G291" s="21"/>
      <c r="H291" s="21"/>
      <c r="I291" s="511"/>
    </row>
    <row r="292" spans="1:9">
      <c r="A292" s="509"/>
      <c r="B292" s="510"/>
      <c r="C292" s="23"/>
      <c r="D292" s="23"/>
      <c r="E292" s="23"/>
      <c r="F292" s="21"/>
      <c r="G292" s="21"/>
      <c r="H292" s="21"/>
      <c r="I292" s="511"/>
    </row>
    <row r="293" spans="1:9">
      <c r="A293" s="509"/>
      <c r="B293" s="510"/>
      <c r="C293" s="23"/>
      <c r="D293" s="23"/>
      <c r="E293" s="23"/>
      <c r="F293" s="21"/>
      <c r="G293" s="21"/>
      <c r="H293" s="21"/>
      <c r="I293" s="511"/>
    </row>
    <row r="294" spans="1:9">
      <c r="A294" s="509"/>
      <c r="B294" s="510"/>
      <c r="C294" s="23"/>
      <c r="D294" s="23"/>
      <c r="E294" s="23"/>
      <c r="F294" s="21"/>
      <c r="G294" s="21"/>
      <c r="H294" s="21"/>
      <c r="I294" s="511"/>
    </row>
    <row r="295" spans="1:9">
      <c r="A295" s="509"/>
      <c r="B295" s="510"/>
      <c r="C295" s="23"/>
      <c r="D295" s="23"/>
      <c r="E295" s="23"/>
      <c r="F295" s="21"/>
      <c r="G295" s="21"/>
      <c r="H295" s="21"/>
      <c r="I295" s="511"/>
    </row>
    <row r="296" spans="1:9">
      <c r="A296" s="509"/>
      <c r="B296" s="510"/>
      <c r="C296" s="23"/>
      <c r="D296" s="23"/>
      <c r="E296" s="23"/>
      <c r="F296" s="21"/>
      <c r="G296" s="21"/>
      <c r="H296" s="21"/>
      <c r="I296" s="511"/>
    </row>
    <row r="297" spans="1:9">
      <c r="A297" s="509"/>
      <c r="B297" s="510"/>
      <c r="C297" s="23"/>
      <c r="D297" s="23"/>
      <c r="E297" s="23"/>
      <c r="F297" s="21"/>
      <c r="G297" s="21"/>
      <c r="H297" s="21"/>
      <c r="I297" s="511"/>
    </row>
    <row r="298" spans="1:9">
      <c r="A298" s="509"/>
      <c r="B298" s="510"/>
      <c r="C298" s="23"/>
      <c r="D298" s="23"/>
      <c r="E298" s="23"/>
      <c r="F298" s="21"/>
      <c r="G298" s="21"/>
      <c r="H298" s="21"/>
      <c r="I298" s="511"/>
    </row>
    <row r="299" spans="1:9">
      <c r="A299" s="509"/>
      <c r="B299" s="510"/>
      <c r="C299" s="23"/>
      <c r="D299" s="23"/>
      <c r="E299" s="23"/>
      <c r="F299" s="21"/>
      <c r="G299" s="21"/>
      <c r="H299" s="21"/>
      <c r="I299" s="511"/>
    </row>
    <row r="300" spans="1:9">
      <c r="A300" s="509"/>
      <c r="B300" s="510"/>
      <c r="C300" s="23"/>
      <c r="D300" s="23"/>
      <c r="E300" s="23"/>
      <c r="F300" s="21"/>
      <c r="G300" s="21"/>
      <c r="H300" s="21"/>
      <c r="I300" s="511"/>
    </row>
    <row r="301" spans="1:9">
      <c r="A301" s="509"/>
      <c r="B301" s="510"/>
      <c r="C301" s="23"/>
      <c r="D301" s="23"/>
      <c r="E301" s="23"/>
      <c r="F301" s="21"/>
      <c r="G301" s="21"/>
      <c r="H301" s="21"/>
      <c r="I301" s="511"/>
    </row>
    <row r="302" spans="1:9">
      <c r="A302" s="509"/>
      <c r="B302" s="510"/>
      <c r="C302" s="23"/>
      <c r="D302" s="23"/>
      <c r="E302" s="23"/>
      <c r="F302" s="21"/>
      <c r="G302" s="21"/>
      <c r="H302" s="21"/>
      <c r="I302" s="511"/>
    </row>
    <row r="303" spans="1:9">
      <c r="A303" s="509"/>
      <c r="B303" s="510"/>
      <c r="C303" s="23"/>
      <c r="D303" s="23"/>
      <c r="E303" s="23"/>
      <c r="F303" s="21"/>
      <c r="G303" s="21"/>
      <c r="H303" s="21"/>
      <c r="I303" s="511"/>
    </row>
    <row r="304" spans="1:9">
      <c r="A304" s="509"/>
      <c r="B304" s="510"/>
      <c r="C304" s="23"/>
      <c r="D304" s="23"/>
      <c r="E304" s="23"/>
      <c r="F304" s="21"/>
      <c r="G304" s="21"/>
      <c r="H304" s="21"/>
      <c r="I304" s="511"/>
    </row>
    <row r="305" spans="1:9">
      <c r="A305" s="509"/>
      <c r="B305" s="510"/>
      <c r="C305" s="23"/>
      <c r="D305" s="23"/>
      <c r="E305" s="23"/>
      <c r="F305" s="21"/>
      <c r="G305" s="21"/>
      <c r="H305" s="21"/>
      <c r="I305" s="511"/>
    </row>
    <row r="306" spans="1:9">
      <c r="A306" s="509"/>
      <c r="B306" s="510"/>
      <c r="C306" s="23"/>
      <c r="D306" s="23"/>
      <c r="E306" s="23"/>
      <c r="F306" s="21"/>
      <c r="G306" s="21"/>
      <c r="H306" s="21"/>
      <c r="I306" s="511"/>
    </row>
    <row r="307" spans="1:9">
      <c r="A307" s="509"/>
      <c r="B307" s="510"/>
      <c r="C307" s="23"/>
      <c r="D307" s="23"/>
      <c r="E307" s="23"/>
      <c r="F307" s="21"/>
      <c r="G307" s="21"/>
      <c r="H307" s="21"/>
      <c r="I307" s="511"/>
    </row>
    <row r="308" spans="1:9">
      <c r="A308" s="509"/>
      <c r="B308" s="510"/>
      <c r="C308" s="23"/>
      <c r="D308" s="23"/>
      <c r="E308" s="23"/>
      <c r="F308" s="21"/>
      <c r="G308" s="21"/>
      <c r="H308" s="21"/>
      <c r="I308" s="511"/>
    </row>
    <row r="309" spans="1:9">
      <c r="A309" s="509"/>
      <c r="B309" s="510"/>
      <c r="C309" s="23"/>
      <c r="D309" s="23"/>
      <c r="E309" s="23"/>
      <c r="F309" s="21"/>
      <c r="G309" s="21"/>
      <c r="H309" s="21"/>
      <c r="I309" s="511"/>
    </row>
    <row r="310" spans="1:9">
      <c r="A310" s="509"/>
      <c r="B310" s="510"/>
      <c r="C310" s="23"/>
      <c r="D310" s="23"/>
      <c r="E310" s="23"/>
      <c r="F310" s="21"/>
      <c r="G310" s="21"/>
      <c r="H310" s="21"/>
      <c r="I310" s="511"/>
    </row>
    <row r="311" spans="1:9">
      <c r="A311" s="509"/>
      <c r="B311" s="510"/>
      <c r="C311" s="23"/>
      <c r="D311" s="23"/>
      <c r="E311" s="23"/>
      <c r="F311" s="21"/>
      <c r="G311" s="21"/>
      <c r="H311" s="21"/>
      <c r="I311" s="511"/>
    </row>
    <row r="312" spans="1:9">
      <c r="A312" s="509"/>
      <c r="B312" s="510"/>
      <c r="C312" s="23"/>
      <c r="D312" s="23"/>
      <c r="E312" s="23"/>
      <c r="F312" s="21"/>
      <c r="G312" s="21"/>
      <c r="H312" s="21"/>
      <c r="I312" s="511"/>
    </row>
    <row r="313" spans="1:9">
      <c r="A313" s="509"/>
      <c r="B313" s="510"/>
      <c r="C313" s="23"/>
      <c r="D313" s="23"/>
      <c r="E313" s="23"/>
      <c r="F313" s="21"/>
      <c r="G313" s="21"/>
      <c r="H313" s="21"/>
      <c r="I313" s="511"/>
    </row>
    <row r="314" spans="1:9">
      <c r="A314" s="509"/>
      <c r="B314" s="510"/>
      <c r="C314" s="23"/>
      <c r="D314" s="23"/>
      <c r="E314" s="23"/>
      <c r="F314" s="21"/>
      <c r="G314" s="21"/>
      <c r="H314" s="21"/>
      <c r="I314" s="511"/>
    </row>
    <row r="315" spans="1:9">
      <c r="A315" s="509"/>
      <c r="B315" s="510"/>
      <c r="C315" s="23"/>
      <c r="D315" s="23"/>
      <c r="E315" s="23"/>
      <c r="F315" s="21"/>
      <c r="G315" s="21"/>
      <c r="H315" s="21"/>
      <c r="I315" s="511"/>
    </row>
    <row r="316" spans="1:9">
      <c r="A316" s="509"/>
      <c r="B316" s="510"/>
      <c r="C316" s="23"/>
      <c r="D316" s="23"/>
      <c r="E316" s="23"/>
      <c r="F316" s="21"/>
      <c r="G316" s="21"/>
      <c r="H316" s="21"/>
      <c r="I316" s="511"/>
    </row>
    <row r="317" spans="1:9">
      <c r="A317" s="509"/>
      <c r="B317" s="510"/>
      <c r="C317" s="23"/>
      <c r="D317" s="23"/>
      <c r="E317" s="23"/>
      <c r="F317" s="21"/>
      <c r="G317" s="21"/>
      <c r="H317" s="21"/>
      <c r="I317" s="511"/>
    </row>
    <row r="318" spans="1:9">
      <c r="A318" s="509"/>
      <c r="B318" s="510"/>
      <c r="C318" s="23"/>
      <c r="D318" s="23"/>
      <c r="E318" s="23"/>
      <c r="F318" s="21"/>
      <c r="G318" s="21"/>
      <c r="H318" s="21"/>
      <c r="I318" s="511"/>
    </row>
    <row r="319" spans="1:9">
      <c r="A319" s="509"/>
      <c r="B319" s="510"/>
      <c r="C319" s="23"/>
      <c r="D319" s="23"/>
      <c r="E319" s="23"/>
      <c r="F319" s="21"/>
      <c r="G319" s="21"/>
      <c r="H319" s="21"/>
      <c r="I319" s="511"/>
    </row>
    <row r="320" spans="1:9">
      <c r="A320" s="509"/>
      <c r="B320" s="510"/>
      <c r="C320" s="23"/>
      <c r="D320" s="23"/>
      <c r="E320" s="23"/>
      <c r="F320" s="21"/>
      <c r="G320" s="21"/>
      <c r="H320" s="21"/>
      <c r="I320" s="511"/>
    </row>
    <row r="321" spans="1:9">
      <c r="A321" s="509"/>
      <c r="B321" s="510"/>
      <c r="C321" s="23"/>
      <c r="D321" s="23"/>
      <c r="E321" s="23"/>
      <c r="F321" s="21"/>
      <c r="G321" s="21"/>
      <c r="H321" s="21"/>
      <c r="I321" s="511"/>
    </row>
    <row r="322" spans="1:9">
      <c r="A322" s="509"/>
      <c r="B322" s="510"/>
      <c r="C322" s="23"/>
      <c r="D322" s="23"/>
      <c r="E322" s="23"/>
      <c r="F322" s="21"/>
      <c r="G322" s="21"/>
      <c r="H322" s="21"/>
      <c r="I322" s="511"/>
    </row>
    <row r="323" spans="1:9">
      <c r="A323" s="509"/>
      <c r="B323" s="510"/>
      <c r="C323" s="23"/>
      <c r="D323" s="23"/>
      <c r="E323" s="23"/>
      <c r="F323" s="21"/>
      <c r="G323" s="21"/>
      <c r="H323" s="21"/>
      <c r="I323" s="511"/>
    </row>
    <row r="324" spans="1:9">
      <c r="A324" s="509"/>
      <c r="B324" s="510"/>
      <c r="C324" s="23"/>
      <c r="D324" s="23"/>
      <c r="E324" s="23"/>
      <c r="F324" s="21"/>
      <c r="G324" s="21"/>
      <c r="H324" s="21"/>
      <c r="I324" s="511"/>
    </row>
    <row r="325" spans="1:9">
      <c r="A325" s="509"/>
      <c r="B325" s="510"/>
      <c r="C325" s="23"/>
      <c r="D325" s="23"/>
      <c r="E325" s="23"/>
      <c r="F325" s="21"/>
      <c r="G325" s="21"/>
      <c r="H325" s="21"/>
      <c r="I325" s="511"/>
    </row>
    <row r="326" spans="1:9">
      <c r="A326" s="509"/>
      <c r="B326" s="510"/>
      <c r="C326" s="23"/>
      <c r="D326" s="23"/>
      <c r="E326" s="23"/>
      <c r="F326" s="21"/>
      <c r="G326" s="21"/>
      <c r="H326" s="21"/>
      <c r="I326" s="511"/>
    </row>
    <row r="327" spans="1:9">
      <c r="A327" s="509"/>
      <c r="B327" s="510"/>
      <c r="C327" s="23"/>
      <c r="D327" s="23"/>
      <c r="E327" s="23"/>
      <c r="F327" s="21"/>
      <c r="G327" s="21"/>
      <c r="H327" s="21"/>
      <c r="I327" s="511"/>
    </row>
    <row r="328" spans="1:9">
      <c r="A328" s="509"/>
      <c r="B328" s="510"/>
      <c r="C328" s="23"/>
      <c r="D328" s="23"/>
      <c r="E328" s="23"/>
      <c r="F328" s="21"/>
      <c r="G328" s="21"/>
      <c r="H328" s="21"/>
      <c r="I328" s="511"/>
    </row>
    <row r="329" spans="1:9">
      <c r="A329" s="509"/>
      <c r="B329" s="510"/>
      <c r="C329" s="23"/>
      <c r="D329" s="23"/>
      <c r="E329" s="23"/>
      <c r="F329" s="21"/>
      <c r="G329" s="21"/>
      <c r="H329" s="21"/>
      <c r="I329" s="511"/>
    </row>
    <row r="330" spans="1:9">
      <c r="A330" s="509"/>
      <c r="B330" s="510"/>
      <c r="C330" s="23"/>
      <c r="D330" s="23"/>
      <c r="E330" s="23"/>
      <c r="F330" s="21"/>
      <c r="G330" s="21"/>
      <c r="H330" s="21"/>
      <c r="I330" s="511"/>
    </row>
    <row r="331" spans="1:9">
      <c r="A331" s="509"/>
      <c r="B331" s="510"/>
      <c r="C331" s="23"/>
      <c r="D331" s="23"/>
      <c r="E331" s="23"/>
      <c r="F331" s="21"/>
      <c r="G331" s="21"/>
      <c r="H331" s="21"/>
      <c r="I331" s="511"/>
    </row>
    <row r="332" spans="1:9">
      <c r="A332" s="509"/>
      <c r="B332" s="510"/>
      <c r="C332" s="23"/>
      <c r="D332" s="23"/>
      <c r="E332" s="23"/>
      <c r="F332" s="21"/>
      <c r="G332" s="21"/>
      <c r="H332" s="21"/>
      <c r="I332" s="511"/>
    </row>
    <row r="333" spans="1:9">
      <c r="A333" s="509"/>
      <c r="B333" s="510"/>
      <c r="C333" s="23"/>
      <c r="D333" s="23"/>
      <c r="E333" s="23"/>
      <c r="F333" s="21"/>
      <c r="G333" s="21"/>
      <c r="H333" s="21"/>
      <c r="I333" s="511"/>
    </row>
    <row r="334" spans="1:9">
      <c r="A334" s="509"/>
      <c r="B334" s="510"/>
      <c r="C334" s="23"/>
      <c r="D334" s="23"/>
      <c r="E334" s="23"/>
      <c r="F334" s="21"/>
      <c r="G334" s="21"/>
      <c r="H334" s="21"/>
      <c r="I334" s="511"/>
    </row>
    <row r="335" spans="1:9">
      <c r="A335" s="509"/>
      <c r="B335" s="510"/>
      <c r="C335" s="23"/>
      <c r="D335" s="23"/>
      <c r="E335" s="23"/>
      <c r="F335" s="21"/>
      <c r="G335" s="21"/>
      <c r="H335" s="21"/>
      <c r="I335" s="511"/>
    </row>
    <row r="336" spans="1:9">
      <c r="A336" s="509"/>
      <c r="B336" s="510"/>
      <c r="C336" s="23"/>
      <c r="D336" s="23"/>
      <c r="E336" s="23"/>
      <c r="F336" s="21"/>
      <c r="G336" s="21"/>
      <c r="H336" s="21"/>
      <c r="I336" s="511"/>
    </row>
    <row r="337" spans="1:9">
      <c r="A337" s="509"/>
      <c r="B337" s="510"/>
      <c r="C337" s="23"/>
      <c r="D337" s="23"/>
      <c r="E337" s="23"/>
      <c r="F337" s="21"/>
      <c r="G337" s="21"/>
      <c r="H337" s="21"/>
      <c r="I337" s="511"/>
    </row>
    <row r="338" spans="1:9">
      <c r="A338" s="509"/>
      <c r="B338" s="510"/>
      <c r="C338" s="23"/>
      <c r="D338" s="23"/>
      <c r="E338" s="23"/>
      <c r="F338" s="21"/>
      <c r="G338" s="21"/>
      <c r="H338" s="21"/>
      <c r="I338" s="511"/>
    </row>
    <row r="339" spans="1:9">
      <c r="A339" s="509"/>
      <c r="B339" s="510"/>
      <c r="C339" s="23"/>
      <c r="D339" s="23"/>
      <c r="E339" s="23"/>
      <c r="F339" s="21"/>
      <c r="G339" s="21"/>
      <c r="H339" s="21"/>
      <c r="I339" s="511"/>
    </row>
    <row r="340" spans="1:9">
      <c r="A340" s="509"/>
      <c r="B340" s="510"/>
      <c r="C340" s="23"/>
      <c r="D340" s="23"/>
      <c r="E340" s="23"/>
      <c r="F340" s="21"/>
      <c r="G340" s="21"/>
      <c r="H340" s="21"/>
      <c r="I340" s="511"/>
    </row>
    <row r="341" spans="1:9">
      <c r="A341" s="509"/>
      <c r="B341" s="510"/>
      <c r="C341" s="23"/>
      <c r="D341" s="23"/>
      <c r="E341" s="23"/>
      <c r="F341" s="21"/>
      <c r="G341" s="21"/>
      <c r="H341" s="21"/>
      <c r="I341" s="511"/>
    </row>
    <row r="342" spans="1:9">
      <c r="A342" s="509"/>
      <c r="B342" s="510"/>
      <c r="C342" s="23"/>
      <c r="D342" s="23"/>
      <c r="E342" s="23"/>
      <c r="F342" s="21"/>
      <c r="G342" s="21"/>
      <c r="H342" s="21"/>
      <c r="I342" s="511"/>
    </row>
    <row r="343" spans="1:9">
      <c r="A343" s="509"/>
      <c r="B343" s="510"/>
      <c r="C343" s="23"/>
      <c r="D343" s="23"/>
      <c r="E343" s="23"/>
      <c r="F343" s="21"/>
      <c r="G343" s="21"/>
      <c r="H343" s="21"/>
      <c r="I343" s="511"/>
    </row>
    <row r="344" spans="1:9">
      <c r="A344" s="509"/>
      <c r="B344" s="510"/>
      <c r="C344" s="23"/>
      <c r="D344" s="23"/>
      <c r="E344" s="23"/>
      <c r="F344" s="21"/>
      <c r="G344" s="21"/>
      <c r="H344" s="21"/>
      <c r="I344" s="511"/>
    </row>
    <row r="345" spans="1:9">
      <c r="A345" s="509"/>
      <c r="B345" s="510"/>
      <c r="C345" s="23"/>
      <c r="D345" s="23"/>
      <c r="E345" s="23"/>
      <c r="F345" s="21"/>
      <c r="G345" s="21"/>
      <c r="H345" s="21"/>
      <c r="I345" s="511"/>
    </row>
    <row r="346" spans="1:9">
      <c r="A346" s="509"/>
      <c r="B346" s="510"/>
      <c r="C346" s="23"/>
      <c r="D346" s="23"/>
      <c r="E346" s="23"/>
      <c r="F346" s="21"/>
      <c r="G346" s="21"/>
      <c r="H346" s="21"/>
      <c r="I346" s="511"/>
    </row>
    <row r="347" spans="1:9">
      <c r="A347" s="509"/>
      <c r="B347" s="510"/>
      <c r="C347" s="23"/>
      <c r="D347" s="23"/>
      <c r="E347" s="23"/>
      <c r="F347" s="21"/>
      <c r="G347" s="21"/>
      <c r="H347" s="21"/>
      <c r="I347" s="511"/>
    </row>
    <row r="348" spans="1:9">
      <c r="A348" s="509"/>
      <c r="B348" s="510"/>
      <c r="C348" s="23"/>
      <c r="D348" s="23"/>
      <c r="E348" s="23"/>
      <c r="F348" s="21"/>
      <c r="G348" s="21"/>
      <c r="H348" s="21"/>
      <c r="I348" s="511"/>
    </row>
    <row r="349" spans="1:9">
      <c r="A349" s="509"/>
      <c r="B349" s="510"/>
      <c r="C349" s="23"/>
      <c r="D349" s="23"/>
      <c r="E349" s="23"/>
      <c r="F349" s="21"/>
      <c r="G349" s="21"/>
      <c r="H349" s="21"/>
      <c r="I349" s="511"/>
    </row>
    <row r="350" spans="1:9">
      <c r="A350" s="509"/>
      <c r="B350" s="510"/>
      <c r="C350" s="23"/>
      <c r="D350" s="23"/>
      <c r="E350" s="23"/>
      <c r="F350" s="21"/>
      <c r="G350" s="21"/>
      <c r="H350" s="21"/>
      <c r="I350" s="511"/>
    </row>
    <row r="351" spans="1:9">
      <c r="A351" s="509"/>
      <c r="B351" s="510"/>
      <c r="C351" s="23"/>
      <c r="D351" s="23"/>
      <c r="E351" s="23"/>
      <c r="F351" s="21"/>
      <c r="G351" s="21"/>
      <c r="H351" s="21"/>
      <c r="I351" s="511"/>
    </row>
    <row r="352" spans="1:9">
      <c r="A352" s="509"/>
      <c r="B352" s="510"/>
      <c r="C352" s="23"/>
      <c r="D352" s="23"/>
      <c r="E352" s="23"/>
      <c r="F352" s="21"/>
      <c r="G352" s="21"/>
      <c r="H352" s="21"/>
      <c r="I352" s="511"/>
    </row>
    <row r="353" spans="1:9">
      <c r="A353" s="509"/>
      <c r="B353" s="510"/>
      <c r="C353" s="23"/>
      <c r="D353" s="23"/>
      <c r="E353" s="23"/>
      <c r="F353" s="21"/>
      <c r="G353" s="21"/>
      <c r="H353" s="21"/>
      <c r="I353" s="511"/>
    </row>
    <row r="354" spans="1:9">
      <c r="A354" s="509"/>
      <c r="B354" s="510"/>
      <c r="C354" s="23"/>
      <c r="D354" s="23"/>
      <c r="E354" s="23"/>
      <c r="F354" s="21"/>
      <c r="G354" s="21"/>
      <c r="H354" s="21"/>
      <c r="I354" s="511"/>
    </row>
    <row r="355" spans="1:9">
      <c r="A355" s="509"/>
      <c r="B355" s="510"/>
      <c r="C355" s="23"/>
      <c r="D355" s="23"/>
      <c r="E355" s="23"/>
      <c r="F355" s="21"/>
      <c r="G355" s="21"/>
      <c r="H355" s="21"/>
      <c r="I355" s="511"/>
    </row>
    <row r="356" spans="1:9">
      <c r="A356" s="509"/>
      <c r="B356" s="510"/>
      <c r="C356" s="23"/>
      <c r="D356" s="23"/>
      <c r="E356" s="23"/>
      <c r="F356" s="21"/>
      <c r="G356" s="21"/>
      <c r="H356" s="21"/>
      <c r="I356" s="511"/>
    </row>
    <row r="357" spans="1:9">
      <c r="A357" s="509"/>
      <c r="B357" s="510"/>
      <c r="C357" s="23"/>
      <c r="D357" s="23"/>
      <c r="E357" s="23"/>
      <c r="F357" s="21"/>
      <c r="G357" s="21"/>
      <c r="H357" s="21"/>
      <c r="I357" s="511"/>
    </row>
    <row r="358" spans="1:9">
      <c r="A358" s="509"/>
      <c r="B358" s="510"/>
      <c r="C358" s="23"/>
      <c r="D358" s="23"/>
      <c r="E358" s="23"/>
      <c r="F358" s="21"/>
      <c r="G358" s="21"/>
      <c r="H358" s="21"/>
      <c r="I358" s="511"/>
    </row>
    <row r="359" spans="1:9">
      <c r="A359" s="509"/>
      <c r="B359" s="510"/>
      <c r="C359" s="23"/>
      <c r="D359" s="23"/>
      <c r="E359" s="23"/>
      <c r="F359" s="21"/>
      <c r="G359" s="21"/>
      <c r="H359" s="21"/>
      <c r="I359" s="511"/>
    </row>
    <row r="360" spans="1:9">
      <c r="A360" s="509"/>
      <c r="B360" s="510"/>
      <c r="C360" s="23"/>
      <c r="D360" s="23"/>
      <c r="E360" s="23"/>
      <c r="F360" s="21"/>
      <c r="G360" s="21"/>
      <c r="H360" s="21"/>
      <c r="I360" s="511"/>
    </row>
    <row r="361" spans="1:9">
      <c r="A361" s="509"/>
      <c r="B361" s="510"/>
      <c r="C361" s="23"/>
      <c r="D361" s="23"/>
      <c r="E361" s="23"/>
      <c r="F361" s="21"/>
      <c r="G361" s="21"/>
      <c r="H361" s="21"/>
      <c r="I361" s="511"/>
    </row>
    <row r="362" spans="1:9">
      <c r="A362" s="509"/>
      <c r="B362" s="510"/>
      <c r="C362" s="23"/>
      <c r="D362" s="23"/>
      <c r="E362" s="23"/>
      <c r="F362" s="21"/>
      <c r="G362" s="21"/>
      <c r="H362" s="21"/>
      <c r="I362" s="511"/>
    </row>
    <row r="363" spans="1:9">
      <c r="A363" s="509"/>
      <c r="B363" s="510"/>
      <c r="C363" s="23"/>
      <c r="D363" s="23"/>
      <c r="E363" s="23"/>
      <c r="F363" s="21"/>
      <c r="G363" s="21"/>
      <c r="H363" s="21"/>
      <c r="I363" s="511"/>
    </row>
    <row r="364" spans="1:9">
      <c r="A364" s="509"/>
      <c r="B364" s="510"/>
      <c r="C364" s="23"/>
      <c r="D364" s="23"/>
      <c r="E364" s="23"/>
      <c r="F364" s="21"/>
      <c r="G364" s="21"/>
      <c r="H364" s="21"/>
      <c r="I364" s="511"/>
    </row>
    <row r="365" spans="1:9">
      <c r="A365" s="509"/>
      <c r="B365" s="510"/>
      <c r="C365" s="23"/>
      <c r="D365" s="23"/>
      <c r="E365" s="23"/>
      <c r="F365" s="21"/>
      <c r="G365" s="21"/>
      <c r="H365" s="21"/>
      <c r="I365" s="511"/>
    </row>
    <row r="366" spans="1:9">
      <c r="A366" s="509"/>
      <c r="B366" s="510"/>
      <c r="C366" s="23"/>
      <c r="D366" s="23"/>
      <c r="E366" s="23"/>
      <c r="F366" s="21"/>
      <c r="G366" s="21"/>
      <c r="H366" s="21"/>
      <c r="I366" s="511"/>
    </row>
    <row r="367" spans="1:9">
      <c r="A367" s="509"/>
      <c r="B367" s="510"/>
      <c r="C367" s="23"/>
      <c r="D367" s="23"/>
      <c r="E367" s="23"/>
      <c r="F367" s="21"/>
      <c r="G367" s="21"/>
      <c r="H367" s="21"/>
      <c r="I367" s="511"/>
    </row>
    <row r="368" spans="1:9">
      <c r="A368" s="509"/>
      <c r="B368" s="510"/>
      <c r="C368" s="23"/>
      <c r="D368" s="23"/>
      <c r="E368" s="23"/>
      <c r="F368" s="21"/>
      <c r="G368" s="21"/>
      <c r="H368" s="21"/>
      <c r="I368" s="511"/>
    </row>
    <row r="369" spans="1:9">
      <c r="A369" s="509"/>
      <c r="B369" s="510"/>
      <c r="C369" s="23"/>
      <c r="D369" s="23"/>
      <c r="E369" s="23"/>
      <c r="F369" s="21"/>
      <c r="G369" s="21"/>
      <c r="H369" s="21"/>
      <c r="I369" s="511"/>
    </row>
    <row r="370" spans="1:9">
      <c r="A370" s="509"/>
      <c r="B370" s="510"/>
      <c r="C370" s="23"/>
      <c r="D370" s="23"/>
      <c r="E370" s="23"/>
      <c r="F370" s="21"/>
      <c r="G370" s="21"/>
      <c r="H370" s="21"/>
      <c r="I370" s="511"/>
    </row>
    <row r="371" spans="1:9">
      <c r="A371" s="509"/>
      <c r="B371" s="510"/>
      <c r="C371" s="23"/>
      <c r="D371" s="23"/>
      <c r="E371" s="23"/>
      <c r="F371" s="21"/>
      <c r="G371" s="21"/>
      <c r="H371" s="21"/>
      <c r="I371" s="511"/>
    </row>
    <row r="372" spans="1:9">
      <c r="A372" s="509"/>
      <c r="B372" s="510"/>
      <c r="C372" s="23"/>
      <c r="D372" s="23"/>
      <c r="E372" s="23"/>
      <c r="F372" s="21"/>
      <c r="G372" s="21"/>
      <c r="H372" s="21"/>
      <c r="I372" s="511"/>
    </row>
    <row r="373" spans="1:9">
      <c r="A373" s="509"/>
      <c r="B373" s="510"/>
      <c r="C373" s="23"/>
      <c r="D373" s="23"/>
      <c r="E373" s="23"/>
      <c r="F373" s="21"/>
      <c r="G373" s="21"/>
      <c r="H373" s="21"/>
      <c r="I373" s="511"/>
    </row>
    <row r="374" spans="1:9">
      <c r="A374" s="509"/>
      <c r="B374" s="510"/>
      <c r="C374" s="23"/>
      <c r="D374" s="23"/>
      <c r="E374" s="23"/>
      <c r="F374" s="21"/>
      <c r="G374" s="21"/>
      <c r="H374" s="21"/>
      <c r="I374" s="511"/>
    </row>
    <row r="375" spans="1:9">
      <c r="A375" s="509"/>
      <c r="B375" s="510"/>
      <c r="C375" s="23"/>
      <c r="D375" s="23"/>
      <c r="E375" s="23"/>
      <c r="F375" s="21"/>
      <c r="G375" s="21"/>
      <c r="H375" s="21"/>
      <c r="I375" s="511"/>
    </row>
    <row r="376" spans="1:9">
      <c r="A376" s="509"/>
      <c r="B376" s="510"/>
      <c r="C376" s="23"/>
      <c r="D376" s="23"/>
      <c r="E376" s="23"/>
      <c r="F376" s="21"/>
      <c r="G376" s="21"/>
      <c r="H376" s="21"/>
      <c r="I376" s="511"/>
    </row>
    <row r="377" spans="1:9">
      <c r="A377" s="509"/>
      <c r="B377" s="510"/>
      <c r="C377" s="23"/>
      <c r="D377" s="23"/>
      <c r="E377" s="23"/>
      <c r="F377" s="21"/>
      <c r="G377" s="21"/>
      <c r="H377" s="21"/>
      <c r="I377" s="511"/>
    </row>
    <row r="378" spans="1:9">
      <c r="A378" s="509"/>
      <c r="B378" s="510"/>
      <c r="C378" s="23"/>
      <c r="D378" s="23"/>
      <c r="E378" s="23"/>
      <c r="F378" s="21"/>
      <c r="G378" s="21"/>
      <c r="H378" s="21"/>
      <c r="I378" s="511"/>
    </row>
    <row r="379" spans="1:9">
      <c r="A379" s="509"/>
      <c r="B379" s="510"/>
      <c r="C379" s="23"/>
      <c r="D379" s="23"/>
      <c r="E379" s="23"/>
      <c r="F379" s="21"/>
      <c r="G379" s="21"/>
      <c r="H379" s="21"/>
      <c r="I379" s="511"/>
    </row>
    <row r="380" spans="1:9">
      <c r="A380" s="509"/>
      <c r="B380" s="510"/>
      <c r="C380" s="23"/>
      <c r="D380" s="23"/>
      <c r="E380" s="23"/>
      <c r="F380" s="21"/>
      <c r="G380" s="21"/>
      <c r="H380" s="21"/>
      <c r="I380" s="511"/>
    </row>
    <row r="381" spans="1:9">
      <c r="A381" s="509"/>
      <c r="B381" s="510"/>
      <c r="C381" s="23"/>
      <c r="D381" s="23"/>
      <c r="E381" s="23"/>
      <c r="F381" s="21"/>
      <c r="G381" s="21"/>
      <c r="H381" s="21"/>
      <c r="I381" s="511"/>
    </row>
    <row r="382" spans="1:9">
      <c r="A382" s="509"/>
      <c r="B382" s="510"/>
      <c r="C382" s="23"/>
      <c r="D382" s="23"/>
      <c r="E382" s="23"/>
      <c r="F382" s="21"/>
      <c r="G382" s="21"/>
      <c r="H382" s="21"/>
      <c r="I382" s="511"/>
    </row>
    <row r="383" spans="1:9">
      <c r="A383" s="509"/>
      <c r="B383" s="510"/>
      <c r="C383" s="23"/>
      <c r="D383" s="23"/>
      <c r="E383" s="23"/>
      <c r="F383" s="21"/>
      <c r="G383" s="21"/>
      <c r="H383" s="21"/>
      <c r="I383" s="511"/>
    </row>
    <row r="384" spans="1:9">
      <c r="A384" s="509"/>
      <c r="B384" s="510"/>
      <c r="C384" s="23"/>
      <c r="D384" s="23"/>
      <c r="E384" s="23"/>
      <c r="F384" s="21"/>
      <c r="G384" s="21"/>
      <c r="H384" s="21"/>
      <c r="I384" s="511"/>
    </row>
    <row r="385" spans="1:9">
      <c r="A385" s="509"/>
      <c r="B385" s="510"/>
      <c r="C385" s="23"/>
      <c r="D385" s="23"/>
      <c r="E385" s="23"/>
      <c r="F385" s="21"/>
      <c r="G385" s="21"/>
      <c r="H385" s="21"/>
      <c r="I385" s="511"/>
    </row>
    <row r="386" spans="1:9">
      <c r="A386" s="509"/>
      <c r="B386" s="510"/>
      <c r="C386" s="23"/>
      <c r="D386" s="23"/>
      <c r="E386" s="23"/>
      <c r="F386" s="21"/>
      <c r="G386" s="21"/>
      <c r="H386" s="21"/>
      <c r="I386" s="511"/>
    </row>
    <row r="387" spans="1:9">
      <c r="A387" s="509"/>
      <c r="B387" s="510"/>
      <c r="C387" s="23"/>
      <c r="D387" s="23"/>
      <c r="E387" s="23"/>
      <c r="F387" s="21"/>
      <c r="G387" s="21"/>
      <c r="H387" s="21"/>
      <c r="I387" s="511"/>
    </row>
    <row r="388" spans="1:9">
      <c r="A388" s="509"/>
      <c r="B388" s="510"/>
      <c r="C388" s="23"/>
      <c r="D388" s="23"/>
      <c r="E388" s="23"/>
      <c r="F388" s="21"/>
      <c r="G388" s="21"/>
      <c r="H388" s="21"/>
      <c r="I388" s="511"/>
    </row>
    <row r="389" spans="1:9">
      <c r="A389" s="509"/>
      <c r="B389" s="510"/>
      <c r="C389" s="23"/>
      <c r="D389" s="23"/>
      <c r="E389" s="23"/>
      <c r="F389" s="21"/>
      <c r="G389" s="21"/>
      <c r="H389" s="21"/>
      <c r="I389" s="511"/>
    </row>
    <row r="390" spans="1:9">
      <c r="A390" s="509"/>
      <c r="B390" s="510"/>
      <c r="C390" s="23"/>
      <c r="D390" s="23"/>
      <c r="E390" s="23"/>
      <c r="F390" s="21"/>
      <c r="G390" s="21"/>
      <c r="H390" s="21"/>
      <c r="I390" s="511"/>
    </row>
    <row r="391" spans="1:9">
      <c r="A391" s="509"/>
      <c r="B391" s="510"/>
      <c r="C391" s="23"/>
      <c r="D391" s="23"/>
      <c r="E391" s="23"/>
      <c r="F391" s="21"/>
      <c r="G391" s="21"/>
      <c r="H391" s="21"/>
      <c r="I391" s="511"/>
    </row>
    <row r="392" spans="1:9">
      <c r="A392" s="509"/>
      <c r="B392" s="510"/>
      <c r="C392" s="23"/>
      <c r="D392" s="23"/>
      <c r="E392" s="23"/>
      <c r="F392" s="21"/>
      <c r="G392" s="21"/>
      <c r="H392" s="21"/>
      <c r="I392" s="511"/>
    </row>
    <row r="393" spans="1:9">
      <c r="A393" s="509"/>
      <c r="B393" s="510"/>
      <c r="C393" s="23"/>
      <c r="D393" s="23"/>
      <c r="E393" s="23"/>
      <c r="F393" s="21"/>
      <c r="G393" s="21"/>
      <c r="H393" s="21"/>
      <c r="I393" s="511"/>
    </row>
    <row r="394" spans="1:9">
      <c r="A394" s="509"/>
      <c r="B394" s="510"/>
      <c r="C394" s="23"/>
      <c r="D394" s="23"/>
      <c r="E394" s="23"/>
      <c r="F394" s="21"/>
      <c r="G394" s="21"/>
      <c r="H394" s="21"/>
      <c r="I394" s="511"/>
    </row>
    <row r="395" spans="1:9">
      <c r="A395" s="509"/>
      <c r="B395" s="510"/>
      <c r="C395" s="23"/>
      <c r="D395" s="23"/>
      <c r="E395" s="23"/>
      <c r="F395" s="21"/>
      <c r="G395" s="21"/>
      <c r="H395" s="21"/>
      <c r="I395" s="511"/>
    </row>
    <row r="396" spans="1:9">
      <c r="A396" s="509"/>
      <c r="B396" s="510"/>
      <c r="C396" s="23"/>
      <c r="D396" s="23"/>
      <c r="E396" s="23"/>
      <c r="F396" s="21"/>
      <c r="G396" s="21"/>
      <c r="H396" s="21"/>
      <c r="I396" s="511"/>
    </row>
    <row r="397" spans="1:9">
      <c r="A397" s="509"/>
      <c r="B397" s="510"/>
      <c r="C397" s="23"/>
      <c r="D397" s="23"/>
      <c r="E397" s="23"/>
      <c r="F397" s="21"/>
      <c r="G397" s="21"/>
      <c r="H397" s="21"/>
      <c r="I397" s="511"/>
    </row>
    <row r="398" spans="1:9">
      <c r="A398" s="509"/>
      <c r="B398" s="510"/>
      <c r="C398" s="23"/>
      <c r="D398" s="23"/>
      <c r="E398" s="23"/>
      <c r="F398" s="21"/>
      <c r="G398" s="21"/>
      <c r="H398" s="21"/>
      <c r="I398" s="511"/>
    </row>
    <row r="399" spans="1:9">
      <c r="A399" s="509"/>
      <c r="B399" s="510"/>
      <c r="C399" s="23"/>
      <c r="D399" s="23"/>
      <c r="E399" s="23"/>
      <c r="F399" s="21"/>
      <c r="G399" s="21"/>
      <c r="H399" s="21"/>
      <c r="I399" s="511"/>
    </row>
    <row r="400" spans="1:9">
      <c r="A400" s="509"/>
      <c r="B400" s="510"/>
      <c r="C400" s="23"/>
      <c r="D400" s="23"/>
      <c r="E400" s="23"/>
      <c r="F400" s="21"/>
      <c r="G400" s="21"/>
      <c r="H400" s="21"/>
      <c r="I400" s="511"/>
    </row>
    <row r="401" spans="1:9">
      <c r="A401" s="509"/>
      <c r="B401" s="510"/>
      <c r="C401" s="23"/>
      <c r="D401" s="23"/>
      <c r="E401" s="23"/>
      <c r="F401" s="21"/>
      <c r="G401" s="21"/>
      <c r="H401" s="21"/>
      <c r="I401" s="511"/>
    </row>
    <row r="402" spans="1:9">
      <c r="A402" s="509"/>
      <c r="B402" s="510"/>
      <c r="C402" s="23"/>
      <c r="D402" s="23"/>
      <c r="E402" s="23"/>
      <c r="F402" s="21"/>
      <c r="G402" s="21"/>
      <c r="H402" s="21"/>
      <c r="I402" s="511"/>
    </row>
    <row r="403" spans="1:9">
      <c r="A403" s="509"/>
      <c r="B403" s="510"/>
      <c r="C403" s="23"/>
      <c r="D403" s="23"/>
      <c r="E403" s="23"/>
      <c r="F403" s="21"/>
      <c r="G403" s="21"/>
      <c r="H403" s="21"/>
      <c r="I403" s="511"/>
    </row>
    <row r="404" spans="1:9">
      <c r="A404" s="509"/>
      <c r="B404" s="510"/>
      <c r="C404" s="23"/>
      <c r="D404" s="23"/>
      <c r="E404" s="23"/>
      <c r="F404" s="21"/>
      <c r="G404" s="21"/>
      <c r="H404" s="21"/>
      <c r="I404" s="511"/>
    </row>
    <row r="405" spans="1:9">
      <c r="A405" s="509"/>
      <c r="B405" s="510"/>
      <c r="C405" s="23"/>
      <c r="D405" s="23"/>
      <c r="E405" s="23"/>
      <c r="F405" s="21"/>
      <c r="G405" s="21"/>
      <c r="H405" s="21"/>
      <c r="I405" s="511"/>
    </row>
    <row r="406" spans="1:9">
      <c r="A406" s="509"/>
      <c r="B406" s="510"/>
      <c r="C406" s="23"/>
      <c r="D406" s="23"/>
      <c r="E406" s="23"/>
      <c r="F406" s="21"/>
      <c r="G406" s="21"/>
      <c r="H406" s="21"/>
      <c r="I406" s="511"/>
    </row>
    <row r="407" spans="1:9">
      <c r="A407" s="509"/>
      <c r="B407" s="510"/>
      <c r="C407" s="23"/>
      <c r="D407" s="23"/>
      <c r="E407" s="23"/>
      <c r="F407" s="21"/>
      <c r="G407" s="21"/>
      <c r="H407" s="21"/>
      <c r="I407" s="511"/>
    </row>
    <row r="408" spans="1:9">
      <c r="A408" s="509"/>
      <c r="B408" s="510"/>
      <c r="C408" s="23"/>
      <c r="D408" s="23"/>
      <c r="E408" s="23"/>
      <c r="F408" s="21"/>
      <c r="G408" s="21"/>
      <c r="H408" s="21"/>
      <c r="I408" s="511"/>
    </row>
    <row r="409" spans="1:9">
      <c r="A409" s="509"/>
      <c r="B409" s="510"/>
      <c r="C409" s="23"/>
      <c r="D409" s="23"/>
      <c r="E409" s="23"/>
      <c r="F409" s="21"/>
      <c r="G409" s="21"/>
      <c r="H409" s="21"/>
      <c r="I409" s="511"/>
    </row>
    <row r="410" spans="1:9">
      <c r="A410" s="509"/>
      <c r="B410" s="510"/>
      <c r="C410" s="23"/>
      <c r="D410" s="23"/>
      <c r="E410" s="23"/>
      <c r="F410" s="21"/>
      <c r="G410" s="21"/>
      <c r="H410" s="21"/>
      <c r="I410" s="511"/>
    </row>
    <row r="411" spans="1:9">
      <c r="A411" s="509"/>
      <c r="B411" s="510"/>
      <c r="C411" s="23"/>
      <c r="D411" s="23"/>
      <c r="E411" s="23"/>
      <c r="F411" s="21"/>
      <c r="G411" s="21"/>
      <c r="H411" s="21"/>
      <c r="I411" s="511"/>
    </row>
    <row r="412" spans="1:9">
      <c r="A412" s="509"/>
      <c r="B412" s="510"/>
      <c r="C412" s="23"/>
      <c r="D412" s="23"/>
      <c r="E412" s="23"/>
      <c r="F412" s="21"/>
      <c r="G412" s="21"/>
      <c r="H412" s="21"/>
      <c r="I412" s="511"/>
    </row>
    <row r="413" spans="1:9">
      <c r="A413" s="509"/>
      <c r="B413" s="510"/>
      <c r="C413" s="23"/>
      <c r="D413" s="23"/>
      <c r="E413" s="23"/>
      <c r="F413" s="21"/>
      <c r="G413" s="21"/>
      <c r="H413" s="21"/>
      <c r="I413" s="511"/>
    </row>
    <row r="414" spans="1:9">
      <c r="A414" s="509"/>
      <c r="B414" s="510"/>
      <c r="C414" s="23"/>
      <c r="D414" s="23"/>
      <c r="E414" s="23"/>
      <c r="F414" s="21"/>
      <c r="G414" s="21"/>
      <c r="H414" s="21"/>
      <c r="I414" s="511"/>
    </row>
    <row r="415" spans="1:9">
      <c r="A415" s="509"/>
      <c r="B415" s="510"/>
      <c r="C415" s="23"/>
      <c r="D415" s="23"/>
      <c r="E415" s="23"/>
      <c r="F415" s="21"/>
      <c r="G415" s="21"/>
      <c r="H415" s="21"/>
      <c r="I415" s="511"/>
    </row>
    <row r="416" spans="1:9">
      <c r="A416" s="509"/>
      <c r="B416" s="510"/>
      <c r="C416" s="23"/>
      <c r="D416" s="23"/>
      <c r="E416" s="23"/>
      <c r="F416" s="21"/>
      <c r="G416" s="21"/>
      <c r="H416" s="21"/>
      <c r="I416" s="511"/>
    </row>
    <row r="417" spans="1:9">
      <c r="A417" s="509"/>
      <c r="B417" s="510"/>
      <c r="C417" s="23"/>
      <c r="D417" s="23"/>
      <c r="E417" s="23"/>
      <c r="F417" s="21"/>
      <c r="G417" s="21"/>
      <c r="H417" s="21"/>
      <c r="I417" s="511"/>
    </row>
    <row r="418" spans="1:9">
      <c r="A418" s="509"/>
      <c r="B418" s="510"/>
      <c r="C418" s="23"/>
      <c r="D418" s="23"/>
      <c r="E418" s="23"/>
      <c r="F418" s="21"/>
      <c r="G418" s="21"/>
      <c r="H418" s="21"/>
      <c r="I418" s="511"/>
    </row>
    <row r="419" spans="1:9">
      <c r="A419" s="509"/>
      <c r="B419" s="510"/>
      <c r="C419" s="23"/>
      <c r="D419" s="23"/>
      <c r="E419" s="23"/>
      <c r="F419" s="21"/>
      <c r="G419" s="21"/>
      <c r="H419" s="21"/>
      <c r="I419" s="511"/>
    </row>
    <row r="420" spans="1:9">
      <c r="A420" s="509"/>
      <c r="B420" s="510"/>
      <c r="C420" s="23"/>
      <c r="D420" s="23"/>
      <c r="E420" s="23"/>
      <c r="F420" s="21"/>
      <c r="G420" s="21"/>
      <c r="H420" s="21"/>
      <c r="I420" s="511"/>
    </row>
    <row r="421" spans="1:9">
      <c r="A421" s="509"/>
      <c r="B421" s="510"/>
      <c r="C421" s="23"/>
      <c r="D421" s="23"/>
      <c r="E421" s="23"/>
      <c r="F421" s="21"/>
      <c r="G421" s="21"/>
      <c r="H421" s="21"/>
      <c r="I421" s="511"/>
    </row>
    <row r="422" spans="1:9">
      <c r="A422" s="509"/>
      <c r="B422" s="510"/>
      <c r="C422" s="23"/>
      <c r="D422" s="23"/>
      <c r="E422" s="23"/>
      <c r="F422" s="21"/>
      <c r="G422" s="21"/>
      <c r="H422" s="21"/>
      <c r="I422" s="511"/>
    </row>
    <row r="423" spans="1:9">
      <c r="A423" s="509"/>
      <c r="B423" s="510"/>
      <c r="C423" s="23"/>
      <c r="D423" s="23"/>
      <c r="E423" s="23"/>
      <c r="F423" s="21"/>
      <c r="G423" s="21"/>
      <c r="H423" s="21"/>
      <c r="I423" s="511"/>
    </row>
    <row r="424" spans="1:9">
      <c r="A424" s="509"/>
      <c r="B424" s="510"/>
      <c r="C424" s="23"/>
      <c r="D424" s="23"/>
      <c r="E424" s="23"/>
      <c r="F424" s="21"/>
      <c r="G424" s="21"/>
      <c r="H424" s="21"/>
      <c r="I424" s="511"/>
    </row>
    <row r="425" spans="1:9">
      <c r="A425" s="509"/>
      <c r="B425" s="510"/>
      <c r="C425" s="23"/>
      <c r="D425" s="23"/>
      <c r="E425" s="23"/>
      <c r="F425" s="21"/>
      <c r="G425" s="21"/>
      <c r="H425" s="21"/>
      <c r="I425" s="511"/>
    </row>
    <row r="426" spans="1:9">
      <c r="A426" s="509"/>
      <c r="B426" s="510"/>
      <c r="C426" s="23"/>
      <c r="D426" s="23"/>
      <c r="E426" s="23"/>
      <c r="F426" s="21"/>
      <c r="G426" s="21"/>
      <c r="H426" s="21"/>
      <c r="I426" s="511"/>
    </row>
    <row r="427" spans="1:9">
      <c r="A427" s="509"/>
      <c r="B427" s="510"/>
      <c r="C427" s="23"/>
      <c r="D427" s="23"/>
      <c r="E427" s="23"/>
      <c r="F427" s="21"/>
      <c r="G427" s="21"/>
      <c r="H427" s="21"/>
      <c r="I427" s="511"/>
    </row>
    <row r="428" spans="1:9">
      <c r="A428" s="509"/>
      <c r="B428" s="510"/>
      <c r="C428" s="23"/>
      <c r="D428" s="23"/>
      <c r="E428" s="23"/>
      <c r="F428" s="21"/>
      <c r="G428" s="21"/>
      <c r="H428" s="21"/>
      <c r="I428" s="511"/>
    </row>
    <row r="429" spans="1:9">
      <c r="A429" s="509"/>
      <c r="B429" s="510"/>
      <c r="C429" s="23"/>
      <c r="D429" s="23"/>
      <c r="E429" s="23"/>
      <c r="F429" s="21"/>
      <c r="G429" s="21"/>
      <c r="H429" s="21"/>
      <c r="I429" s="511"/>
    </row>
    <row r="430" spans="1:9">
      <c r="A430" s="509"/>
      <c r="B430" s="510"/>
      <c r="C430" s="23"/>
      <c r="D430" s="23"/>
      <c r="E430" s="23"/>
      <c r="F430" s="21"/>
      <c r="G430" s="21"/>
      <c r="H430" s="21"/>
      <c r="I430" s="511"/>
    </row>
    <row r="431" spans="1:9">
      <c r="A431" s="509"/>
      <c r="B431" s="510"/>
      <c r="C431" s="23"/>
      <c r="D431" s="23"/>
      <c r="E431" s="23"/>
      <c r="F431" s="21"/>
      <c r="G431" s="21"/>
      <c r="H431" s="21"/>
      <c r="I431" s="511"/>
    </row>
    <row r="432" spans="1:9">
      <c r="A432" s="509"/>
      <c r="B432" s="510"/>
      <c r="C432" s="23"/>
      <c r="D432" s="23"/>
      <c r="E432" s="23"/>
      <c r="F432" s="21"/>
      <c r="G432" s="21"/>
      <c r="H432" s="21"/>
      <c r="I432" s="511"/>
    </row>
    <row r="433" spans="1:9">
      <c r="A433" s="509"/>
      <c r="B433" s="510"/>
      <c r="C433" s="23"/>
      <c r="D433" s="23"/>
      <c r="E433" s="23"/>
      <c r="F433" s="21"/>
      <c r="G433" s="21"/>
      <c r="H433" s="21"/>
      <c r="I433" s="511"/>
    </row>
    <row r="434" spans="1:9">
      <c r="A434" s="509"/>
      <c r="B434" s="510"/>
      <c r="C434" s="23"/>
      <c r="D434" s="23"/>
      <c r="E434" s="23"/>
      <c r="F434" s="21"/>
      <c r="G434" s="21"/>
      <c r="H434" s="21"/>
      <c r="I434" s="511"/>
    </row>
    <row r="435" spans="1:9">
      <c r="A435" s="509"/>
      <c r="B435" s="510"/>
      <c r="C435" s="23"/>
      <c r="D435" s="23"/>
      <c r="E435" s="23"/>
      <c r="F435" s="21"/>
      <c r="G435" s="21"/>
      <c r="H435" s="21"/>
      <c r="I435" s="511"/>
    </row>
    <row r="436" spans="1:9">
      <c r="A436" s="509"/>
      <c r="B436" s="510"/>
      <c r="C436" s="23"/>
      <c r="D436" s="23"/>
      <c r="E436" s="23"/>
      <c r="F436" s="21"/>
      <c r="G436" s="21"/>
      <c r="H436" s="21"/>
      <c r="I436" s="511"/>
    </row>
    <row r="437" spans="1:9">
      <c r="A437" s="509"/>
      <c r="B437" s="510"/>
      <c r="C437" s="23"/>
      <c r="D437" s="23"/>
      <c r="E437" s="23"/>
      <c r="F437" s="21"/>
      <c r="G437" s="21"/>
      <c r="H437" s="21"/>
      <c r="I437" s="511"/>
    </row>
    <row r="438" spans="1:9">
      <c r="A438" s="509"/>
      <c r="B438" s="510"/>
      <c r="C438" s="23"/>
      <c r="D438" s="23"/>
      <c r="E438" s="23"/>
      <c r="F438" s="21"/>
      <c r="G438" s="21"/>
      <c r="H438" s="21"/>
      <c r="I438" s="511"/>
    </row>
    <row r="439" spans="1:9">
      <c r="A439" s="509"/>
      <c r="B439" s="510"/>
      <c r="C439" s="23"/>
      <c r="D439" s="23"/>
      <c r="E439" s="23"/>
      <c r="F439" s="21"/>
      <c r="G439" s="21"/>
      <c r="H439" s="21"/>
      <c r="I439" s="511"/>
    </row>
    <row r="440" spans="1:9">
      <c r="A440" s="509"/>
      <c r="B440" s="510"/>
      <c r="C440" s="23"/>
      <c r="D440" s="23"/>
      <c r="E440" s="23"/>
      <c r="F440" s="21"/>
      <c r="G440" s="21"/>
      <c r="H440" s="21"/>
      <c r="I440" s="511"/>
    </row>
    <row r="441" spans="1:9">
      <c r="A441" s="509"/>
      <c r="B441" s="510"/>
      <c r="C441" s="23"/>
      <c r="D441" s="23"/>
      <c r="E441" s="23"/>
      <c r="F441" s="21"/>
      <c r="G441" s="21"/>
      <c r="H441" s="21"/>
      <c r="I441" s="511"/>
    </row>
    <row r="442" spans="1:9">
      <c r="A442" s="509"/>
      <c r="B442" s="510"/>
      <c r="C442" s="23"/>
      <c r="D442" s="23"/>
      <c r="E442" s="23"/>
      <c r="F442" s="21"/>
      <c r="G442" s="21"/>
      <c r="H442" s="21"/>
      <c r="I442" s="511"/>
    </row>
    <row r="443" spans="1:9">
      <c r="A443" s="509"/>
      <c r="B443" s="510"/>
      <c r="C443" s="23"/>
      <c r="D443" s="23"/>
      <c r="E443" s="23"/>
      <c r="F443" s="21"/>
      <c r="G443" s="21"/>
      <c r="H443" s="21"/>
      <c r="I443" s="511"/>
    </row>
    <row r="444" spans="1:9">
      <c r="A444" s="509"/>
      <c r="B444" s="510"/>
      <c r="C444" s="23"/>
      <c r="D444" s="23"/>
      <c r="E444" s="23"/>
      <c r="F444" s="21"/>
      <c r="G444" s="21"/>
      <c r="H444" s="21"/>
      <c r="I444" s="511"/>
    </row>
    <row r="445" spans="1:9">
      <c r="A445" s="509"/>
      <c r="B445" s="510"/>
      <c r="C445" s="23"/>
      <c r="D445" s="23"/>
      <c r="E445" s="23"/>
      <c r="F445" s="21"/>
      <c r="G445" s="21"/>
      <c r="H445" s="21"/>
      <c r="I445" s="511"/>
    </row>
    <row r="446" spans="1:9">
      <c r="A446" s="509"/>
      <c r="B446" s="510"/>
      <c r="C446" s="23"/>
      <c r="D446" s="23"/>
      <c r="E446" s="23"/>
      <c r="F446" s="21"/>
      <c r="G446" s="21"/>
      <c r="H446" s="21"/>
      <c r="I446" s="511"/>
    </row>
    <row r="447" spans="1:9">
      <c r="A447" s="509"/>
      <c r="B447" s="510"/>
      <c r="C447" s="23"/>
      <c r="D447" s="23"/>
      <c r="E447" s="23"/>
      <c r="F447" s="21"/>
      <c r="G447" s="21"/>
      <c r="H447" s="21"/>
      <c r="I447" s="511"/>
    </row>
    <row r="448" spans="1:9">
      <c r="A448" s="509"/>
      <c r="B448" s="510"/>
      <c r="C448" s="23"/>
      <c r="D448" s="23"/>
      <c r="E448" s="23"/>
      <c r="F448" s="21"/>
      <c r="G448" s="21"/>
      <c r="H448" s="21"/>
      <c r="I448" s="511"/>
    </row>
    <row r="449" spans="1:9">
      <c r="A449" s="509"/>
      <c r="B449" s="510"/>
      <c r="C449" s="23"/>
      <c r="D449" s="23"/>
      <c r="E449" s="23"/>
      <c r="F449" s="21"/>
      <c r="G449" s="21"/>
      <c r="H449" s="21"/>
      <c r="I449" s="511"/>
    </row>
    <row r="450" spans="1:9">
      <c r="A450" s="509"/>
      <c r="B450" s="510"/>
      <c r="C450" s="23"/>
      <c r="D450" s="23"/>
      <c r="E450" s="23"/>
      <c r="F450" s="21"/>
      <c r="G450" s="21"/>
      <c r="H450" s="21"/>
      <c r="I450" s="511"/>
    </row>
    <row r="451" spans="1:9">
      <c r="A451" s="509"/>
      <c r="B451" s="510"/>
      <c r="C451" s="23"/>
      <c r="D451" s="23"/>
      <c r="E451" s="23"/>
      <c r="F451" s="21"/>
      <c r="G451" s="21"/>
      <c r="H451" s="21"/>
      <c r="I451" s="511"/>
    </row>
    <row r="452" spans="1:9">
      <c r="A452" s="509"/>
      <c r="B452" s="510"/>
      <c r="C452" s="23"/>
      <c r="D452" s="23"/>
      <c r="E452" s="23"/>
      <c r="F452" s="21"/>
      <c r="G452" s="21"/>
      <c r="H452" s="21"/>
      <c r="I452" s="511"/>
    </row>
    <row r="453" spans="1:9">
      <c r="A453" s="509"/>
      <c r="B453" s="510"/>
      <c r="C453" s="23"/>
      <c r="D453" s="23"/>
      <c r="E453" s="23"/>
      <c r="F453" s="21"/>
      <c r="G453" s="21"/>
      <c r="H453" s="21"/>
      <c r="I453" s="511"/>
    </row>
    <row r="454" spans="1:9">
      <c r="A454" s="509"/>
      <c r="B454" s="510"/>
      <c r="C454" s="23"/>
      <c r="D454" s="23"/>
      <c r="E454" s="23"/>
      <c r="F454" s="21"/>
      <c r="G454" s="21"/>
      <c r="H454" s="21"/>
      <c r="I454" s="511"/>
    </row>
    <row r="455" spans="1:9">
      <c r="A455" s="509"/>
      <c r="B455" s="510"/>
      <c r="C455" s="23"/>
      <c r="D455" s="23"/>
      <c r="E455" s="23"/>
      <c r="F455" s="21"/>
      <c r="G455" s="21"/>
      <c r="H455" s="21"/>
      <c r="I455" s="511"/>
    </row>
    <row r="456" spans="1:9">
      <c r="A456" s="509"/>
      <c r="B456" s="510"/>
      <c r="C456" s="23"/>
      <c r="D456" s="23"/>
      <c r="E456" s="23"/>
      <c r="F456" s="21"/>
      <c r="G456" s="21"/>
      <c r="H456" s="21"/>
      <c r="I456" s="511"/>
    </row>
    <row r="457" spans="1:9">
      <c r="A457" s="509"/>
      <c r="B457" s="510"/>
      <c r="C457" s="23"/>
      <c r="D457" s="23"/>
      <c r="E457" s="23"/>
      <c r="F457" s="21"/>
      <c r="G457" s="21"/>
      <c r="H457" s="21"/>
      <c r="I457" s="511"/>
    </row>
    <row r="458" spans="1:9">
      <c r="A458" s="509"/>
      <c r="B458" s="510"/>
      <c r="C458" s="23"/>
      <c r="D458" s="23"/>
      <c r="E458" s="23"/>
      <c r="F458" s="21"/>
      <c r="G458" s="21"/>
      <c r="H458" s="21"/>
      <c r="I458" s="511"/>
    </row>
    <row r="459" spans="1:9">
      <c r="A459" s="509"/>
      <c r="B459" s="510"/>
      <c r="C459" s="23"/>
      <c r="D459" s="23"/>
      <c r="E459" s="23"/>
      <c r="F459" s="21"/>
      <c r="G459" s="21"/>
      <c r="H459" s="21"/>
      <c r="I459" s="511"/>
    </row>
    <row r="460" spans="1:9">
      <c r="A460" s="509"/>
      <c r="B460" s="510"/>
      <c r="C460" s="23"/>
      <c r="D460" s="23"/>
      <c r="E460" s="23"/>
      <c r="F460" s="21"/>
      <c r="G460" s="21"/>
      <c r="H460" s="21"/>
      <c r="I460" s="511"/>
    </row>
    <row r="461" spans="1:9">
      <c r="A461" s="509"/>
      <c r="B461" s="510"/>
      <c r="C461" s="23"/>
      <c r="D461" s="23"/>
      <c r="E461" s="23"/>
      <c r="F461" s="21"/>
      <c r="G461" s="21"/>
      <c r="H461" s="21"/>
      <c r="I461" s="511"/>
    </row>
    <row r="462" spans="1:9">
      <c r="A462" s="509"/>
      <c r="B462" s="510"/>
      <c r="C462" s="23"/>
      <c r="D462" s="23"/>
      <c r="E462" s="23"/>
      <c r="F462" s="21"/>
      <c r="G462" s="21"/>
      <c r="H462" s="21"/>
      <c r="I462" s="511"/>
    </row>
    <row r="463" spans="1:9">
      <c r="A463" s="509"/>
      <c r="B463" s="510"/>
      <c r="C463" s="23"/>
      <c r="D463" s="23"/>
      <c r="E463" s="23"/>
      <c r="F463" s="21"/>
      <c r="G463" s="21"/>
      <c r="H463" s="21"/>
      <c r="I463" s="511"/>
    </row>
    <row r="464" spans="1:9">
      <c r="A464" s="509"/>
      <c r="B464" s="510"/>
      <c r="C464" s="23"/>
      <c r="D464" s="23"/>
      <c r="E464" s="23"/>
      <c r="F464" s="21"/>
      <c r="G464" s="21"/>
      <c r="H464" s="21"/>
      <c r="I464" s="511"/>
    </row>
    <row r="465" spans="1:9">
      <c r="A465" s="509"/>
      <c r="B465" s="510"/>
      <c r="C465" s="23"/>
      <c r="D465" s="23"/>
      <c r="E465" s="23"/>
      <c r="F465" s="21"/>
      <c r="G465" s="21"/>
      <c r="H465" s="21"/>
      <c r="I465" s="511"/>
    </row>
    <row r="466" spans="1:9">
      <c r="A466" s="509"/>
      <c r="B466" s="510"/>
      <c r="C466" s="23"/>
      <c r="D466" s="23"/>
      <c r="E466" s="23"/>
      <c r="F466" s="21"/>
      <c r="G466" s="21"/>
      <c r="H466" s="21"/>
      <c r="I466" s="511"/>
    </row>
    <row r="467" spans="1:9">
      <c r="A467" s="509"/>
      <c r="B467" s="510"/>
      <c r="C467" s="23"/>
      <c r="D467" s="23"/>
      <c r="E467" s="23"/>
      <c r="F467" s="21"/>
      <c r="G467" s="21"/>
      <c r="H467" s="21"/>
      <c r="I467" s="511"/>
    </row>
    <row r="468" spans="1:9">
      <c r="A468" s="509"/>
      <c r="B468" s="510"/>
      <c r="C468" s="23"/>
      <c r="D468" s="23"/>
      <c r="E468" s="23"/>
      <c r="F468" s="21"/>
      <c r="G468" s="21"/>
      <c r="H468" s="21"/>
      <c r="I468" s="511"/>
    </row>
    <row r="469" spans="1:9">
      <c r="A469" s="509"/>
      <c r="B469" s="510"/>
      <c r="C469" s="23"/>
      <c r="D469" s="23"/>
      <c r="E469" s="23"/>
      <c r="F469" s="21"/>
      <c r="G469" s="21"/>
      <c r="H469" s="21"/>
      <c r="I469" s="511"/>
    </row>
    <row r="470" spans="1:9">
      <c r="A470" s="509"/>
      <c r="B470" s="510"/>
      <c r="C470" s="23"/>
      <c r="D470" s="23"/>
      <c r="E470" s="23"/>
      <c r="F470" s="21"/>
      <c r="G470" s="21"/>
      <c r="H470" s="21"/>
      <c r="I470" s="511"/>
    </row>
    <row r="471" spans="1:9">
      <c r="A471" s="509"/>
      <c r="B471" s="510"/>
      <c r="C471" s="23"/>
      <c r="D471" s="23"/>
      <c r="E471" s="23"/>
      <c r="F471" s="21"/>
      <c r="G471" s="21"/>
      <c r="H471" s="21"/>
      <c r="I471" s="511"/>
    </row>
    <row r="472" spans="1:9">
      <c r="A472" s="509"/>
      <c r="B472" s="510"/>
      <c r="C472" s="23"/>
      <c r="D472" s="23"/>
      <c r="E472" s="23"/>
      <c r="F472" s="21"/>
      <c r="G472" s="21"/>
      <c r="H472" s="21"/>
      <c r="I472" s="511"/>
    </row>
    <row r="473" spans="1:9">
      <c r="A473" s="509"/>
      <c r="B473" s="510"/>
      <c r="C473" s="23"/>
      <c r="D473" s="23"/>
      <c r="E473" s="23"/>
      <c r="F473" s="21"/>
      <c r="G473" s="21"/>
      <c r="H473" s="21"/>
      <c r="I473" s="511"/>
    </row>
    <row r="474" spans="1:9">
      <c r="A474" s="509"/>
      <c r="B474" s="510"/>
      <c r="C474" s="23"/>
      <c r="D474" s="23"/>
      <c r="E474" s="23"/>
      <c r="F474" s="21"/>
      <c r="G474" s="21"/>
      <c r="H474" s="21"/>
      <c r="I474" s="511"/>
    </row>
    <row r="475" spans="1:9">
      <c r="A475" s="509"/>
      <c r="B475" s="510"/>
      <c r="C475" s="23"/>
      <c r="D475" s="23"/>
      <c r="E475" s="23"/>
      <c r="F475" s="21"/>
      <c r="G475" s="21"/>
      <c r="H475" s="21"/>
      <c r="I475" s="511"/>
    </row>
    <row r="476" spans="1:9">
      <c r="A476" s="509"/>
      <c r="B476" s="510"/>
      <c r="C476" s="23"/>
      <c r="D476" s="23"/>
      <c r="E476" s="23"/>
      <c r="F476" s="21"/>
      <c r="G476" s="21"/>
      <c r="H476" s="21"/>
      <c r="I476" s="511"/>
    </row>
    <row r="477" spans="1:9">
      <c r="A477" s="509"/>
      <c r="B477" s="510"/>
      <c r="C477" s="23"/>
      <c r="D477" s="23"/>
      <c r="E477" s="23"/>
      <c r="F477" s="21"/>
      <c r="G477" s="21"/>
      <c r="H477" s="21"/>
      <c r="I477" s="511"/>
    </row>
    <row r="478" spans="1:9">
      <c r="A478" s="509"/>
      <c r="B478" s="510"/>
      <c r="C478" s="23"/>
      <c r="D478" s="23"/>
      <c r="E478" s="23"/>
      <c r="F478" s="21"/>
      <c r="G478" s="21"/>
      <c r="H478" s="21"/>
      <c r="I478" s="511"/>
    </row>
    <row r="479" spans="1:9">
      <c r="A479" s="509"/>
      <c r="B479" s="510"/>
      <c r="C479" s="23"/>
      <c r="D479" s="23"/>
      <c r="E479" s="23"/>
      <c r="F479" s="21"/>
      <c r="G479" s="21"/>
      <c r="H479" s="21"/>
      <c r="I479" s="511"/>
    </row>
    <row r="480" spans="1:9">
      <c r="A480" s="509"/>
      <c r="B480" s="510"/>
      <c r="C480" s="23"/>
      <c r="D480" s="23"/>
      <c r="E480" s="23"/>
      <c r="F480" s="21"/>
      <c r="G480" s="21"/>
      <c r="H480" s="21"/>
      <c r="I480" s="511"/>
    </row>
    <row r="481" spans="1:9">
      <c r="A481" s="509"/>
      <c r="B481" s="510"/>
      <c r="C481" s="23"/>
      <c r="D481" s="23"/>
      <c r="E481" s="23"/>
      <c r="F481" s="21"/>
      <c r="G481" s="21"/>
      <c r="H481" s="21"/>
      <c r="I481" s="511"/>
    </row>
    <row r="482" spans="1:9">
      <c r="A482" s="509"/>
      <c r="B482" s="510"/>
      <c r="C482" s="23"/>
      <c r="D482" s="23"/>
      <c r="E482" s="23"/>
      <c r="F482" s="21"/>
      <c r="G482" s="21"/>
      <c r="H482" s="21"/>
      <c r="I482" s="511"/>
    </row>
    <row r="483" spans="1:9">
      <c r="A483" s="509"/>
      <c r="B483" s="510"/>
      <c r="C483" s="23"/>
      <c r="D483" s="23"/>
      <c r="E483" s="23"/>
      <c r="F483" s="21"/>
      <c r="G483" s="21"/>
      <c r="H483" s="21"/>
      <c r="I483" s="511"/>
    </row>
    <row r="484" spans="1:9">
      <c r="A484" s="509"/>
      <c r="B484" s="510"/>
      <c r="C484" s="23"/>
      <c r="D484" s="23"/>
      <c r="E484" s="23"/>
      <c r="F484" s="21"/>
      <c r="G484" s="21"/>
      <c r="H484" s="21"/>
      <c r="I484" s="511"/>
    </row>
    <row r="485" spans="1:9">
      <c r="A485" s="509"/>
      <c r="B485" s="510"/>
      <c r="C485" s="23"/>
      <c r="D485" s="23"/>
      <c r="E485" s="23"/>
      <c r="F485" s="21"/>
      <c r="G485" s="21"/>
      <c r="H485" s="21"/>
      <c r="I485" s="511"/>
    </row>
    <row r="486" spans="1:9">
      <c r="A486" s="509"/>
      <c r="B486" s="510"/>
      <c r="C486" s="23"/>
      <c r="D486" s="23"/>
      <c r="E486" s="23"/>
      <c r="F486" s="21"/>
      <c r="G486" s="21"/>
      <c r="H486" s="21"/>
      <c r="I486" s="511"/>
    </row>
    <row r="487" spans="1:9">
      <c r="A487" s="509"/>
      <c r="B487" s="510"/>
      <c r="C487" s="23"/>
      <c r="D487" s="23"/>
      <c r="E487" s="23"/>
      <c r="F487" s="21"/>
      <c r="G487" s="21"/>
      <c r="H487" s="21"/>
      <c r="I487" s="511"/>
    </row>
    <row r="488" spans="1:9">
      <c r="A488" s="509"/>
      <c r="B488" s="510"/>
      <c r="C488" s="23"/>
      <c r="D488" s="23"/>
      <c r="E488" s="23"/>
      <c r="F488" s="21"/>
      <c r="G488" s="21"/>
      <c r="H488" s="21"/>
      <c r="I488" s="511"/>
    </row>
    <row r="489" spans="1:9">
      <c r="A489" s="509"/>
      <c r="B489" s="510"/>
      <c r="C489" s="23"/>
      <c r="D489" s="23"/>
      <c r="E489" s="23"/>
      <c r="F489" s="21"/>
      <c r="G489" s="21"/>
      <c r="H489" s="21"/>
      <c r="I489" s="511"/>
    </row>
    <row r="490" spans="1:9">
      <c r="A490" s="509"/>
      <c r="B490" s="510"/>
      <c r="C490" s="23"/>
      <c r="D490" s="23"/>
      <c r="E490" s="23"/>
      <c r="F490" s="21"/>
      <c r="G490" s="21"/>
      <c r="H490" s="21"/>
      <c r="I490" s="511"/>
    </row>
    <row r="491" spans="1:9">
      <c r="A491" s="509"/>
      <c r="B491" s="510"/>
      <c r="C491" s="23"/>
      <c r="D491" s="23"/>
      <c r="E491" s="23"/>
      <c r="F491" s="21"/>
      <c r="G491" s="21"/>
      <c r="H491" s="21"/>
      <c r="I491" s="511"/>
    </row>
    <row r="492" spans="1:9">
      <c r="A492" s="509"/>
      <c r="B492" s="510"/>
      <c r="C492" s="23"/>
      <c r="D492" s="23"/>
      <c r="E492" s="23"/>
      <c r="F492" s="21"/>
      <c r="G492" s="21"/>
      <c r="H492" s="21"/>
      <c r="I492" s="511"/>
    </row>
    <row r="493" spans="1:9">
      <c r="A493" s="509"/>
      <c r="B493" s="510"/>
      <c r="C493" s="23"/>
      <c r="D493" s="23"/>
      <c r="E493" s="23"/>
      <c r="F493" s="21"/>
      <c r="G493" s="21"/>
      <c r="H493" s="21"/>
      <c r="I493" s="511"/>
    </row>
    <row r="494" spans="1:9">
      <c r="A494" s="509"/>
      <c r="B494" s="510"/>
      <c r="C494" s="23"/>
      <c r="D494" s="23"/>
      <c r="E494" s="23"/>
      <c r="F494" s="21"/>
      <c r="G494" s="21"/>
      <c r="H494" s="21"/>
      <c r="I494" s="511"/>
    </row>
    <row r="495" spans="1:9">
      <c r="A495" s="509"/>
      <c r="B495" s="510"/>
      <c r="C495" s="23"/>
      <c r="D495" s="23"/>
      <c r="E495" s="23"/>
      <c r="F495" s="21"/>
      <c r="G495" s="21"/>
      <c r="H495" s="21"/>
      <c r="I495" s="511"/>
    </row>
    <row r="496" spans="1:9">
      <c r="A496" s="509"/>
      <c r="B496" s="510"/>
      <c r="C496" s="23"/>
      <c r="D496" s="23"/>
      <c r="E496" s="23"/>
      <c r="F496" s="21"/>
      <c r="G496" s="21"/>
      <c r="H496" s="21"/>
      <c r="I496" s="511"/>
    </row>
    <row r="497" spans="1:9">
      <c r="A497" s="509"/>
      <c r="B497" s="510"/>
      <c r="C497" s="23"/>
      <c r="D497" s="23"/>
      <c r="E497" s="23"/>
      <c r="F497" s="21"/>
      <c r="G497" s="21"/>
      <c r="H497" s="21"/>
      <c r="I497" s="511"/>
    </row>
    <row r="498" spans="1:9">
      <c r="A498" s="509"/>
      <c r="B498" s="510"/>
      <c r="C498" s="23"/>
      <c r="D498" s="23"/>
      <c r="E498" s="23"/>
      <c r="F498" s="21"/>
      <c r="G498" s="21"/>
      <c r="H498" s="21"/>
      <c r="I498" s="511"/>
    </row>
    <row r="499" spans="1:9">
      <c r="A499" s="509"/>
      <c r="B499" s="510"/>
      <c r="C499" s="23"/>
      <c r="D499" s="23"/>
      <c r="E499" s="23"/>
      <c r="F499" s="21"/>
      <c r="G499" s="21"/>
      <c r="H499" s="21"/>
      <c r="I499" s="511"/>
    </row>
    <row r="500" spans="1:9">
      <c r="A500" s="509"/>
      <c r="B500" s="510"/>
      <c r="C500" s="23"/>
      <c r="D500" s="23"/>
      <c r="E500" s="23"/>
      <c r="F500" s="21"/>
      <c r="G500" s="21"/>
      <c r="H500" s="21"/>
      <c r="I500" s="511"/>
    </row>
    <row r="501" spans="1:9">
      <c r="A501" s="509"/>
      <c r="B501" s="510"/>
      <c r="C501" s="23"/>
      <c r="D501" s="23"/>
      <c r="E501" s="23"/>
      <c r="F501" s="21"/>
      <c r="G501" s="21"/>
      <c r="H501" s="21"/>
      <c r="I501" s="511"/>
    </row>
    <row r="502" spans="1:9">
      <c r="A502" s="509"/>
      <c r="B502" s="510"/>
      <c r="C502" s="23"/>
      <c r="D502" s="23"/>
      <c r="E502" s="23"/>
      <c r="F502" s="21"/>
      <c r="G502" s="21"/>
      <c r="H502" s="21"/>
      <c r="I502" s="511"/>
    </row>
    <row r="503" spans="1:9">
      <c r="A503" s="509"/>
      <c r="B503" s="510"/>
      <c r="C503" s="23"/>
      <c r="D503" s="23"/>
      <c r="E503" s="23"/>
      <c r="F503" s="21"/>
      <c r="G503" s="21"/>
      <c r="H503" s="21"/>
      <c r="I503" s="511"/>
    </row>
    <row r="504" spans="1:9">
      <c r="A504" s="509"/>
      <c r="B504" s="510"/>
      <c r="C504" s="23"/>
      <c r="D504" s="23"/>
      <c r="E504" s="23"/>
      <c r="F504" s="21"/>
      <c r="G504" s="21"/>
      <c r="H504" s="21"/>
      <c r="I504" s="511"/>
    </row>
    <row r="505" spans="1:9">
      <c r="A505" s="509"/>
      <c r="B505" s="510"/>
      <c r="C505" s="23"/>
      <c r="D505" s="23"/>
      <c r="E505" s="23"/>
      <c r="F505" s="21"/>
      <c r="G505" s="21"/>
      <c r="H505" s="21"/>
      <c r="I505" s="511"/>
    </row>
    <row r="506" spans="1:9">
      <c r="A506" s="509"/>
      <c r="B506" s="510"/>
      <c r="C506" s="23"/>
      <c r="D506" s="23"/>
      <c r="E506" s="23"/>
      <c r="F506" s="21"/>
      <c r="G506" s="21"/>
      <c r="H506" s="21"/>
      <c r="I506" s="511"/>
    </row>
    <row r="507" spans="1:9">
      <c r="A507" s="509"/>
      <c r="B507" s="510"/>
      <c r="C507" s="23"/>
      <c r="D507" s="23"/>
      <c r="E507" s="23"/>
      <c r="F507" s="21"/>
      <c r="G507" s="21"/>
      <c r="H507" s="21"/>
      <c r="I507" s="511"/>
    </row>
    <row r="508" spans="1:9">
      <c r="A508" s="509"/>
      <c r="B508" s="510"/>
      <c r="C508" s="23"/>
      <c r="D508" s="23"/>
      <c r="E508" s="23"/>
      <c r="F508" s="21"/>
      <c r="G508" s="21"/>
      <c r="H508" s="21"/>
      <c r="I508" s="511"/>
    </row>
    <row r="509" spans="1:9">
      <c r="A509" s="509"/>
      <c r="B509" s="510"/>
      <c r="C509" s="23"/>
      <c r="D509" s="23"/>
      <c r="E509" s="23"/>
      <c r="F509" s="21"/>
      <c r="G509" s="21"/>
      <c r="H509" s="21"/>
      <c r="I509" s="511"/>
    </row>
    <row r="510" spans="1:9">
      <c r="A510" s="509"/>
      <c r="B510" s="510"/>
      <c r="C510" s="23"/>
      <c r="D510" s="23"/>
      <c r="E510" s="23"/>
      <c r="F510" s="21"/>
      <c r="G510" s="21"/>
      <c r="H510" s="21"/>
      <c r="I510" s="511"/>
    </row>
    <row r="511" spans="1:9">
      <c r="A511" s="509"/>
      <c r="B511" s="510"/>
      <c r="C511" s="23"/>
      <c r="D511" s="23"/>
      <c r="E511" s="23"/>
      <c r="F511" s="21"/>
      <c r="G511" s="21"/>
      <c r="H511" s="21"/>
      <c r="I511" s="511"/>
    </row>
    <row r="512" spans="1:9">
      <c r="A512" s="509"/>
      <c r="B512" s="510"/>
      <c r="C512" s="23"/>
      <c r="D512" s="23"/>
      <c r="E512" s="23"/>
      <c r="F512" s="21"/>
      <c r="G512" s="21"/>
      <c r="H512" s="21"/>
      <c r="I512" s="511"/>
    </row>
    <row r="513" spans="1:9">
      <c r="A513" s="509"/>
      <c r="B513" s="510"/>
      <c r="C513" s="23"/>
      <c r="D513" s="23"/>
      <c r="E513" s="23"/>
      <c r="F513" s="21"/>
      <c r="G513" s="21"/>
      <c r="H513" s="21"/>
      <c r="I513" s="511"/>
    </row>
    <row r="514" spans="1:9">
      <c r="A514" s="509"/>
      <c r="B514" s="510"/>
      <c r="C514" s="23"/>
      <c r="D514" s="23"/>
      <c r="E514" s="23"/>
      <c r="F514" s="21"/>
      <c r="G514" s="21"/>
      <c r="H514" s="21"/>
      <c r="I514" s="511"/>
    </row>
    <row r="515" spans="1:9">
      <c r="A515" s="509"/>
      <c r="B515" s="510"/>
      <c r="C515" s="23"/>
      <c r="D515" s="23"/>
      <c r="E515" s="23"/>
      <c r="F515" s="21"/>
      <c r="G515" s="21"/>
      <c r="H515" s="21"/>
      <c r="I515" s="511"/>
    </row>
    <row r="516" spans="1:9">
      <c r="A516" s="509"/>
      <c r="B516" s="510"/>
      <c r="C516" s="23"/>
      <c r="D516" s="23"/>
      <c r="E516" s="23"/>
      <c r="F516" s="21"/>
      <c r="G516" s="21"/>
      <c r="H516" s="21"/>
      <c r="I516" s="511"/>
    </row>
    <row r="517" spans="1:9">
      <c r="A517" s="509"/>
      <c r="B517" s="510"/>
      <c r="C517" s="23"/>
      <c r="D517" s="23"/>
      <c r="E517" s="23"/>
      <c r="F517" s="21"/>
      <c r="G517" s="21"/>
      <c r="H517" s="21"/>
      <c r="I517" s="511"/>
    </row>
    <row r="518" spans="1:9">
      <c r="A518" s="509"/>
      <c r="B518" s="510"/>
      <c r="C518" s="23"/>
      <c r="D518" s="23"/>
      <c r="E518" s="23"/>
      <c r="F518" s="21"/>
      <c r="G518" s="21"/>
      <c r="H518" s="21"/>
      <c r="I518" s="511"/>
    </row>
    <row r="519" spans="1:9">
      <c r="A519" s="509"/>
      <c r="B519" s="510"/>
      <c r="C519" s="23"/>
      <c r="D519" s="23"/>
      <c r="E519" s="23"/>
      <c r="F519" s="21"/>
      <c r="G519" s="21"/>
      <c r="H519" s="21"/>
      <c r="I519" s="511"/>
    </row>
    <row r="520" spans="1:9">
      <c r="A520" s="509"/>
      <c r="B520" s="510"/>
      <c r="C520" s="23"/>
      <c r="D520" s="23"/>
      <c r="E520" s="23"/>
      <c r="F520" s="21"/>
      <c r="G520" s="21"/>
      <c r="H520" s="21"/>
      <c r="I520" s="511"/>
    </row>
    <row r="521" spans="1:9">
      <c r="A521" s="509"/>
      <c r="B521" s="510"/>
      <c r="C521" s="23"/>
      <c r="D521" s="23"/>
      <c r="E521" s="23"/>
      <c r="F521" s="21"/>
      <c r="G521" s="21"/>
      <c r="H521" s="21"/>
      <c r="I521" s="511"/>
    </row>
    <row r="522" spans="1:9">
      <c r="A522" s="509"/>
      <c r="B522" s="510"/>
      <c r="C522" s="23"/>
      <c r="D522" s="23"/>
      <c r="E522" s="23"/>
      <c r="F522" s="21"/>
      <c r="G522" s="21"/>
      <c r="H522" s="21"/>
      <c r="I522" s="511"/>
    </row>
    <row r="523" spans="1:9">
      <c r="A523" s="509"/>
      <c r="B523" s="510"/>
      <c r="C523" s="23"/>
      <c r="D523" s="23"/>
      <c r="E523" s="23"/>
      <c r="F523" s="21"/>
      <c r="G523" s="21"/>
      <c r="H523" s="21"/>
      <c r="I523" s="511"/>
    </row>
    <row r="524" spans="1:9">
      <c r="A524" s="509"/>
      <c r="B524" s="510"/>
      <c r="C524" s="23"/>
      <c r="D524" s="23"/>
      <c r="E524" s="23"/>
      <c r="F524" s="21"/>
      <c r="G524" s="21"/>
      <c r="H524" s="21"/>
      <c r="I524" s="511"/>
    </row>
    <row r="525" spans="1:9">
      <c r="A525" s="509"/>
      <c r="B525" s="510"/>
      <c r="C525" s="23"/>
      <c r="D525" s="23"/>
      <c r="E525" s="23"/>
      <c r="F525" s="21"/>
      <c r="G525" s="21"/>
      <c r="H525" s="21"/>
      <c r="I525" s="511"/>
    </row>
    <row r="526" spans="1:9">
      <c r="A526" s="509"/>
      <c r="B526" s="510"/>
      <c r="C526" s="23"/>
      <c r="D526" s="23"/>
      <c r="E526" s="23"/>
      <c r="F526" s="21"/>
      <c r="G526" s="21"/>
      <c r="H526" s="21"/>
      <c r="I526" s="511"/>
    </row>
    <row r="527" spans="1:9">
      <c r="A527" s="509"/>
      <c r="B527" s="510"/>
      <c r="C527" s="23"/>
      <c r="D527" s="23"/>
      <c r="E527" s="23"/>
      <c r="F527" s="21"/>
      <c r="G527" s="21"/>
      <c r="H527" s="21"/>
      <c r="I527" s="511"/>
    </row>
    <row r="528" spans="1:9">
      <c r="A528" s="509"/>
      <c r="B528" s="510"/>
      <c r="C528" s="23"/>
      <c r="D528" s="23"/>
      <c r="E528" s="23"/>
      <c r="F528" s="21"/>
      <c r="G528" s="21"/>
      <c r="H528" s="21"/>
      <c r="I528" s="511"/>
    </row>
    <row r="529" spans="1:9">
      <c r="A529" s="509"/>
      <c r="B529" s="510"/>
      <c r="C529" s="23"/>
      <c r="D529" s="23"/>
      <c r="E529" s="23"/>
      <c r="F529" s="21"/>
      <c r="G529" s="21"/>
      <c r="H529" s="21"/>
      <c r="I529" s="511"/>
    </row>
    <row r="530" spans="1:9">
      <c r="A530" s="509"/>
      <c r="B530" s="510"/>
      <c r="C530" s="23"/>
      <c r="D530" s="23"/>
      <c r="E530" s="23"/>
      <c r="F530" s="21"/>
      <c r="G530" s="21"/>
      <c r="H530" s="21"/>
      <c r="I530" s="511"/>
    </row>
    <row r="531" spans="1:9">
      <c r="A531" s="509"/>
      <c r="B531" s="510"/>
      <c r="C531" s="23"/>
      <c r="D531" s="23"/>
      <c r="E531" s="23"/>
      <c r="F531" s="21"/>
      <c r="G531" s="21"/>
      <c r="H531" s="21"/>
      <c r="I531" s="511"/>
    </row>
    <row r="532" spans="1:9">
      <c r="A532" s="509"/>
      <c r="B532" s="510"/>
      <c r="C532" s="23"/>
      <c r="D532" s="23"/>
      <c r="E532" s="23"/>
      <c r="F532" s="21"/>
      <c r="G532" s="21"/>
      <c r="H532" s="21"/>
      <c r="I532" s="511"/>
    </row>
    <row r="533" spans="1:9">
      <c r="A533" s="509"/>
      <c r="B533" s="510"/>
      <c r="C533" s="23"/>
      <c r="D533" s="23"/>
      <c r="E533" s="23"/>
      <c r="F533" s="21"/>
      <c r="G533" s="21"/>
      <c r="H533" s="21"/>
      <c r="I533" s="511"/>
    </row>
    <row r="534" spans="1:9">
      <c r="A534" s="509"/>
      <c r="B534" s="510"/>
      <c r="C534" s="23"/>
      <c r="D534" s="23"/>
      <c r="E534" s="23"/>
      <c r="F534" s="21"/>
      <c r="G534" s="21"/>
      <c r="H534" s="21"/>
      <c r="I534" s="511"/>
    </row>
    <row r="535" spans="1:9">
      <c r="A535" s="509"/>
      <c r="B535" s="510"/>
      <c r="C535" s="23"/>
      <c r="D535" s="23"/>
      <c r="E535" s="23"/>
      <c r="F535" s="21"/>
      <c r="G535" s="21"/>
      <c r="H535" s="21"/>
      <c r="I535" s="511"/>
    </row>
    <row r="536" spans="1:9">
      <c r="A536" s="509"/>
      <c r="B536" s="510"/>
      <c r="C536" s="23"/>
      <c r="D536" s="23"/>
      <c r="E536" s="23"/>
      <c r="F536" s="21"/>
      <c r="G536" s="21"/>
      <c r="H536" s="21"/>
      <c r="I536" s="511"/>
    </row>
    <row r="537" spans="1:9">
      <c r="A537" s="509"/>
      <c r="B537" s="510"/>
      <c r="C537" s="23"/>
      <c r="D537" s="23"/>
      <c r="E537" s="23"/>
      <c r="F537" s="21"/>
      <c r="G537" s="21"/>
      <c r="H537" s="21"/>
      <c r="I537" s="511"/>
    </row>
    <row r="538" spans="1:9">
      <c r="A538" s="509"/>
      <c r="B538" s="510"/>
      <c r="C538" s="23"/>
      <c r="D538" s="23"/>
      <c r="E538" s="23"/>
      <c r="F538" s="21"/>
      <c r="G538" s="21"/>
      <c r="H538" s="21"/>
      <c r="I538" s="511"/>
    </row>
    <row r="539" spans="1:9">
      <c r="A539" s="509"/>
      <c r="B539" s="510"/>
      <c r="C539" s="23"/>
      <c r="D539" s="23"/>
      <c r="E539" s="23"/>
      <c r="F539" s="21"/>
      <c r="G539" s="21"/>
      <c r="H539" s="21"/>
      <c r="I539" s="511"/>
    </row>
    <row r="540" spans="1:9">
      <c r="A540" s="509"/>
      <c r="B540" s="510"/>
      <c r="C540" s="23"/>
      <c r="D540" s="23"/>
      <c r="E540" s="23"/>
      <c r="F540" s="21"/>
      <c r="G540" s="21"/>
      <c r="H540" s="21"/>
      <c r="I540" s="511"/>
    </row>
    <row r="541" spans="1:9">
      <c r="A541" s="509"/>
      <c r="B541" s="510"/>
      <c r="C541" s="23"/>
      <c r="D541" s="23"/>
      <c r="E541" s="23"/>
      <c r="F541" s="21"/>
      <c r="G541" s="21"/>
      <c r="H541" s="21"/>
      <c r="I541" s="511"/>
    </row>
    <row r="542" spans="1:9">
      <c r="A542" s="509"/>
      <c r="B542" s="510"/>
      <c r="C542" s="23"/>
      <c r="D542" s="23"/>
      <c r="E542" s="23"/>
      <c r="F542" s="21"/>
      <c r="G542" s="21"/>
      <c r="H542" s="21"/>
      <c r="I542" s="511"/>
    </row>
    <row r="543" spans="1:9">
      <c r="A543" s="509"/>
      <c r="B543" s="510"/>
      <c r="C543" s="23"/>
      <c r="D543" s="23"/>
      <c r="E543" s="23"/>
      <c r="F543" s="21"/>
      <c r="G543" s="21"/>
      <c r="H543" s="21"/>
      <c r="I543" s="511"/>
    </row>
    <row r="544" spans="1:9">
      <c r="A544" s="509"/>
      <c r="B544" s="510"/>
      <c r="C544" s="23"/>
      <c r="D544" s="23"/>
      <c r="E544" s="23"/>
      <c r="F544" s="21"/>
      <c r="G544" s="21"/>
      <c r="H544" s="21"/>
      <c r="I544" s="511"/>
    </row>
    <row r="545" spans="1:9">
      <c r="A545" s="509"/>
      <c r="B545" s="510"/>
      <c r="C545" s="23"/>
      <c r="D545" s="23"/>
      <c r="E545" s="23"/>
      <c r="F545" s="21"/>
      <c r="G545" s="21"/>
      <c r="H545" s="21"/>
      <c r="I545" s="511"/>
    </row>
    <row r="546" spans="1:9">
      <c r="A546" s="509"/>
      <c r="B546" s="510"/>
      <c r="C546" s="23"/>
      <c r="D546" s="23"/>
      <c r="E546" s="23"/>
      <c r="F546" s="21"/>
      <c r="G546" s="21"/>
      <c r="H546" s="21"/>
      <c r="I546" s="511"/>
    </row>
    <row r="547" spans="1:9">
      <c r="A547" s="509"/>
      <c r="B547" s="510"/>
      <c r="C547" s="23"/>
      <c r="D547" s="23"/>
      <c r="E547" s="23"/>
      <c r="F547" s="21"/>
      <c r="G547" s="21"/>
      <c r="H547" s="21"/>
      <c r="I547" s="511"/>
    </row>
    <row r="548" spans="1:9">
      <c r="A548" s="509"/>
      <c r="B548" s="510"/>
      <c r="C548" s="23"/>
      <c r="D548" s="23"/>
      <c r="E548" s="23"/>
      <c r="F548" s="21"/>
      <c r="G548" s="21"/>
      <c r="H548" s="21"/>
      <c r="I548" s="511"/>
    </row>
    <row r="549" spans="1:9">
      <c r="A549" s="509"/>
      <c r="B549" s="510"/>
      <c r="C549" s="23"/>
      <c r="D549" s="23"/>
      <c r="E549" s="23"/>
      <c r="F549" s="21"/>
      <c r="G549" s="21"/>
      <c r="H549" s="21"/>
      <c r="I549" s="511"/>
    </row>
    <row r="550" spans="1:9">
      <c r="A550" s="509"/>
      <c r="B550" s="510"/>
      <c r="C550" s="23"/>
      <c r="D550" s="23"/>
      <c r="E550" s="23"/>
      <c r="F550" s="21"/>
      <c r="G550" s="21"/>
      <c r="H550" s="21"/>
      <c r="I550" s="511"/>
    </row>
    <row r="551" spans="1:9">
      <c r="A551" s="509"/>
      <c r="B551" s="510"/>
      <c r="C551" s="23"/>
      <c r="D551" s="23"/>
      <c r="E551" s="23"/>
      <c r="F551" s="21"/>
      <c r="G551" s="21"/>
      <c r="H551" s="21"/>
      <c r="I551" s="511"/>
    </row>
    <row r="552" spans="1:9">
      <c r="A552" s="509"/>
      <c r="B552" s="510"/>
      <c r="C552" s="23"/>
      <c r="D552" s="23"/>
      <c r="E552" s="23"/>
      <c r="F552" s="21"/>
      <c r="G552" s="21"/>
      <c r="H552" s="21"/>
      <c r="I552" s="511"/>
    </row>
    <row r="553" spans="1:9">
      <c r="A553" s="509"/>
      <c r="B553" s="510"/>
      <c r="C553" s="23"/>
      <c r="D553" s="23"/>
      <c r="E553" s="23"/>
      <c r="F553" s="21"/>
      <c r="G553" s="21"/>
      <c r="H553" s="21"/>
      <c r="I553" s="511"/>
    </row>
    <row r="554" spans="1:9">
      <c r="A554" s="509"/>
      <c r="B554" s="510"/>
      <c r="C554" s="23"/>
      <c r="D554" s="23"/>
      <c r="E554" s="23"/>
      <c r="F554" s="21"/>
      <c r="G554" s="21"/>
      <c r="H554" s="21"/>
      <c r="I554" s="511"/>
    </row>
    <row r="555" spans="1:9">
      <c r="A555" s="509"/>
      <c r="B555" s="510"/>
      <c r="C555" s="23"/>
      <c r="D555" s="23"/>
      <c r="E555" s="23"/>
      <c r="F555" s="21"/>
      <c r="G555" s="21"/>
      <c r="H555" s="21"/>
      <c r="I555" s="511"/>
    </row>
    <row r="556" spans="1:9">
      <c r="A556" s="509"/>
      <c r="B556" s="510"/>
      <c r="C556" s="23"/>
      <c r="D556" s="23"/>
      <c r="E556" s="23"/>
      <c r="F556" s="21"/>
      <c r="G556" s="21"/>
      <c r="H556" s="21"/>
      <c r="I556" s="511"/>
    </row>
    <row r="557" spans="1:9">
      <c r="A557" s="509"/>
      <c r="B557" s="510"/>
      <c r="C557" s="23"/>
      <c r="D557" s="23"/>
      <c r="E557" s="23"/>
      <c r="F557" s="21"/>
      <c r="G557" s="21"/>
      <c r="H557" s="21"/>
      <c r="I557" s="511"/>
    </row>
    <row r="558" spans="1:9">
      <c r="A558" s="509"/>
      <c r="B558" s="510"/>
      <c r="C558" s="23"/>
      <c r="D558" s="23"/>
      <c r="E558" s="23"/>
      <c r="F558" s="21"/>
      <c r="G558" s="21"/>
      <c r="H558" s="21"/>
      <c r="I558" s="511"/>
    </row>
    <row r="559" spans="1:9">
      <c r="A559" s="509"/>
      <c r="B559" s="510"/>
      <c r="C559" s="23"/>
      <c r="D559" s="23"/>
      <c r="E559" s="23"/>
      <c r="F559" s="21"/>
      <c r="G559" s="21"/>
      <c r="H559" s="21"/>
      <c r="I559" s="511"/>
    </row>
    <row r="560" spans="1:9">
      <c r="A560" s="509"/>
      <c r="B560" s="510"/>
      <c r="C560" s="23"/>
      <c r="D560" s="23"/>
      <c r="E560" s="23"/>
      <c r="F560" s="21"/>
      <c r="G560" s="21"/>
      <c r="H560" s="21"/>
      <c r="I560" s="511"/>
    </row>
    <row r="561" spans="1:9">
      <c r="A561" s="509"/>
      <c r="B561" s="510"/>
      <c r="C561" s="23"/>
      <c r="D561" s="23"/>
      <c r="E561" s="23"/>
      <c r="F561" s="21"/>
      <c r="G561" s="21"/>
      <c r="H561" s="21"/>
      <c r="I561" s="511"/>
    </row>
    <row r="562" spans="1:9">
      <c r="A562" s="509"/>
      <c r="B562" s="510"/>
      <c r="C562" s="23"/>
      <c r="D562" s="23"/>
      <c r="E562" s="23"/>
      <c r="F562" s="21"/>
      <c r="G562" s="21"/>
      <c r="H562" s="21"/>
      <c r="I562" s="511"/>
    </row>
    <row r="563" spans="1:9">
      <c r="A563" s="509"/>
      <c r="B563" s="510"/>
      <c r="C563" s="23"/>
      <c r="D563" s="23"/>
      <c r="E563" s="23"/>
      <c r="F563" s="21"/>
      <c r="G563" s="21"/>
      <c r="H563" s="21"/>
      <c r="I563" s="511"/>
    </row>
    <row r="564" spans="1:9">
      <c r="A564" s="509"/>
      <c r="B564" s="510"/>
      <c r="C564" s="23"/>
      <c r="D564" s="23"/>
      <c r="E564" s="23"/>
      <c r="F564" s="21"/>
      <c r="G564" s="21"/>
      <c r="H564" s="21"/>
      <c r="I564" s="511"/>
    </row>
    <row r="565" spans="1:9">
      <c r="A565" s="509"/>
      <c r="B565" s="510"/>
      <c r="C565" s="23"/>
      <c r="D565" s="23"/>
      <c r="E565" s="23"/>
      <c r="F565" s="21"/>
      <c r="G565" s="21"/>
      <c r="H565" s="21"/>
      <c r="I565" s="511"/>
    </row>
    <row r="566" spans="1:9">
      <c r="A566" s="509"/>
      <c r="B566" s="510"/>
      <c r="C566" s="23"/>
      <c r="D566" s="23"/>
      <c r="E566" s="23"/>
      <c r="F566" s="21"/>
      <c r="G566" s="21"/>
      <c r="H566" s="21"/>
      <c r="I566" s="511"/>
    </row>
    <row r="567" spans="1:9">
      <c r="A567" s="509"/>
      <c r="B567" s="510"/>
      <c r="C567" s="23"/>
      <c r="D567" s="23"/>
      <c r="E567" s="23"/>
      <c r="F567" s="21"/>
      <c r="G567" s="21"/>
      <c r="H567" s="21"/>
      <c r="I567" s="511"/>
    </row>
    <row r="568" spans="1:9">
      <c r="A568" s="509"/>
      <c r="B568" s="510"/>
      <c r="C568" s="23"/>
      <c r="D568" s="23"/>
      <c r="E568" s="23"/>
      <c r="F568" s="21"/>
      <c r="G568" s="21"/>
      <c r="H568" s="21"/>
      <c r="I568" s="511"/>
    </row>
    <row r="569" spans="1:9">
      <c r="A569" s="509"/>
      <c r="B569" s="510"/>
      <c r="C569" s="23"/>
      <c r="D569" s="23"/>
      <c r="E569" s="23"/>
      <c r="F569" s="21"/>
      <c r="G569" s="21"/>
      <c r="H569" s="21"/>
      <c r="I569" s="511"/>
    </row>
    <row r="570" spans="1:9">
      <c r="A570" s="509"/>
      <c r="B570" s="510"/>
      <c r="C570" s="23"/>
      <c r="D570" s="23"/>
      <c r="E570" s="23"/>
      <c r="F570" s="21"/>
      <c r="G570" s="21"/>
      <c r="H570" s="21"/>
      <c r="I570" s="511"/>
    </row>
    <row r="571" spans="1:9">
      <c r="A571" s="509"/>
      <c r="B571" s="510"/>
      <c r="C571" s="23"/>
      <c r="D571" s="23"/>
      <c r="E571" s="23"/>
      <c r="F571" s="21"/>
      <c r="G571" s="21"/>
      <c r="H571" s="21"/>
      <c r="I571" s="511"/>
    </row>
    <row r="572" spans="1:9">
      <c r="A572" s="509"/>
      <c r="B572" s="510"/>
      <c r="C572" s="23"/>
      <c r="D572" s="23"/>
      <c r="E572" s="23"/>
      <c r="F572" s="21"/>
      <c r="G572" s="21"/>
      <c r="H572" s="21"/>
      <c r="I572" s="511"/>
    </row>
    <row r="573" spans="1:9">
      <c r="A573" s="509"/>
      <c r="B573" s="510"/>
      <c r="C573" s="23"/>
      <c r="D573" s="23"/>
      <c r="E573" s="23"/>
      <c r="F573" s="21"/>
      <c r="G573" s="21"/>
      <c r="H573" s="21"/>
      <c r="I573" s="511"/>
    </row>
    <row r="574" spans="1:9">
      <c r="A574" s="509"/>
      <c r="B574" s="510"/>
      <c r="C574" s="23"/>
      <c r="D574" s="23"/>
      <c r="E574" s="23"/>
      <c r="F574" s="21"/>
      <c r="G574" s="21"/>
      <c r="H574" s="21"/>
      <c r="I574" s="511"/>
    </row>
    <row r="575" spans="1:9">
      <c r="A575" s="509"/>
      <c r="B575" s="510"/>
      <c r="C575" s="23"/>
      <c r="D575" s="23"/>
      <c r="E575" s="23"/>
      <c r="F575" s="21"/>
      <c r="G575" s="21"/>
      <c r="H575" s="21"/>
      <c r="I575" s="511"/>
    </row>
    <row r="576" spans="1:9">
      <c r="A576" s="509"/>
      <c r="B576" s="510"/>
      <c r="C576" s="23"/>
      <c r="D576" s="23"/>
      <c r="E576" s="23"/>
      <c r="F576" s="21"/>
      <c r="G576" s="21"/>
      <c r="H576" s="21"/>
      <c r="I576" s="511"/>
    </row>
    <row r="577" spans="1:9">
      <c r="A577" s="509"/>
      <c r="B577" s="510"/>
      <c r="C577" s="23"/>
      <c r="D577" s="23"/>
      <c r="E577" s="23"/>
      <c r="F577" s="21"/>
      <c r="G577" s="21"/>
      <c r="H577" s="21"/>
      <c r="I577" s="511"/>
    </row>
    <row r="578" spans="1:9">
      <c r="A578" s="509"/>
      <c r="B578" s="510"/>
      <c r="C578" s="23"/>
      <c r="D578" s="23"/>
      <c r="E578" s="23"/>
      <c r="F578" s="21"/>
      <c r="G578" s="21"/>
      <c r="H578" s="21"/>
      <c r="I578" s="511"/>
    </row>
    <row r="579" spans="1:9">
      <c r="A579" s="509"/>
      <c r="B579" s="510"/>
      <c r="C579" s="23"/>
      <c r="D579" s="23"/>
      <c r="E579" s="23"/>
      <c r="F579" s="21"/>
      <c r="G579" s="21"/>
      <c r="H579" s="21"/>
      <c r="I579" s="511"/>
    </row>
    <row r="580" spans="1:9">
      <c r="A580" s="509"/>
      <c r="B580" s="510"/>
      <c r="C580" s="23"/>
      <c r="D580" s="23"/>
      <c r="E580" s="23"/>
      <c r="F580" s="21"/>
      <c r="G580" s="21"/>
      <c r="H580" s="21"/>
      <c r="I580" s="511"/>
    </row>
    <row r="581" spans="1:9">
      <c r="A581" s="509"/>
      <c r="B581" s="510"/>
      <c r="C581" s="23"/>
      <c r="D581" s="23"/>
      <c r="E581" s="23"/>
      <c r="F581" s="21"/>
      <c r="G581" s="21"/>
      <c r="H581" s="21"/>
      <c r="I581" s="511"/>
    </row>
    <row r="582" spans="1:9">
      <c r="A582" s="509"/>
      <c r="B582" s="510"/>
      <c r="C582" s="23"/>
      <c r="D582" s="23"/>
      <c r="E582" s="23"/>
      <c r="F582" s="21"/>
      <c r="G582" s="21"/>
      <c r="H582" s="21"/>
      <c r="I582" s="511"/>
    </row>
    <row r="583" spans="1:9">
      <c r="A583" s="509"/>
      <c r="B583" s="510"/>
      <c r="C583" s="23"/>
      <c r="D583" s="23"/>
      <c r="E583" s="23"/>
      <c r="F583" s="21"/>
      <c r="G583" s="21"/>
      <c r="H583" s="21"/>
      <c r="I583" s="511"/>
    </row>
    <row r="584" spans="1:9">
      <c r="A584" s="509"/>
      <c r="B584" s="510"/>
      <c r="C584" s="23"/>
      <c r="D584" s="23"/>
      <c r="E584" s="23"/>
      <c r="F584" s="21"/>
      <c r="G584" s="21"/>
      <c r="H584" s="21"/>
      <c r="I584" s="511"/>
    </row>
    <row r="585" spans="1:9">
      <c r="A585" s="509"/>
      <c r="B585" s="510"/>
      <c r="C585" s="23"/>
      <c r="D585" s="23"/>
      <c r="E585" s="23"/>
      <c r="F585" s="21"/>
      <c r="G585" s="21"/>
      <c r="H585" s="21"/>
      <c r="I585" s="511"/>
    </row>
    <row r="586" spans="1:9">
      <c r="A586" s="509"/>
      <c r="B586" s="510"/>
      <c r="C586" s="23"/>
      <c r="D586" s="23"/>
      <c r="E586" s="23"/>
      <c r="F586" s="21"/>
      <c r="G586" s="21"/>
      <c r="H586" s="21"/>
      <c r="I586" s="511"/>
    </row>
    <row r="587" spans="1:9">
      <c r="A587" s="509"/>
      <c r="B587" s="510"/>
      <c r="C587" s="23"/>
      <c r="D587" s="23"/>
      <c r="E587" s="23"/>
      <c r="F587" s="21"/>
      <c r="G587" s="21"/>
      <c r="H587" s="21"/>
      <c r="I587" s="511"/>
    </row>
    <row r="588" spans="1:9">
      <c r="A588" s="509"/>
      <c r="B588" s="510"/>
      <c r="C588" s="23"/>
      <c r="D588" s="23"/>
      <c r="E588" s="23"/>
      <c r="F588" s="21"/>
      <c r="G588" s="21"/>
      <c r="H588" s="21"/>
      <c r="I588" s="511"/>
    </row>
    <row r="589" spans="1:9">
      <c r="A589" s="509"/>
      <c r="B589" s="510"/>
      <c r="C589" s="23"/>
      <c r="D589" s="23"/>
      <c r="E589" s="23"/>
      <c r="F589" s="21"/>
      <c r="G589" s="21"/>
      <c r="H589" s="21"/>
      <c r="I589" s="511"/>
    </row>
    <row r="590" spans="1:9">
      <c r="A590" s="509"/>
      <c r="B590" s="510"/>
      <c r="C590" s="23"/>
      <c r="D590" s="23"/>
      <c r="E590" s="23"/>
      <c r="F590" s="21"/>
      <c r="G590" s="21"/>
      <c r="H590" s="21"/>
      <c r="I590" s="511"/>
    </row>
    <row r="591" spans="1:9">
      <c r="A591" s="509"/>
      <c r="B591" s="510"/>
      <c r="C591" s="23"/>
      <c r="D591" s="23"/>
      <c r="E591" s="23"/>
      <c r="F591" s="21"/>
      <c r="G591" s="21"/>
      <c r="H591" s="21"/>
      <c r="I591" s="511"/>
    </row>
    <row r="592" spans="1:9">
      <c r="A592" s="509"/>
      <c r="B592" s="510"/>
      <c r="C592" s="23"/>
      <c r="D592" s="23"/>
      <c r="E592" s="23"/>
      <c r="F592" s="21"/>
      <c r="G592" s="21"/>
      <c r="H592" s="21"/>
      <c r="I592" s="511"/>
    </row>
    <row r="593" spans="1:9">
      <c r="A593" s="509"/>
      <c r="B593" s="510"/>
      <c r="C593" s="23"/>
      <c r="D593" s="23"/>
      <c r="E593" s="23"/>
      <c r="F593" s="21"/>
      <c r="G593" s="21"/>
      <c r="H593" s="21"/>
      <c r="I593" s="511"/>
    </row>
    <row r="594" spans="1:9">
      <c r="A594" s="509"/>
      <c r="B594" s="510"/>
      <c r="C594" s="23"/>
      <c r="D594" s="23"/>
      <c r="E594" s="23"/>
      <c r="F594" s="21"/>
      <c r="G594" s="21"/>
      <c r="H594" s="21"/>
      <c r="I594" s="511"/>
    </row>
    <row r="595" spans="1:9">
      <c r="A595" s="509"/>
      <c r="B595" s="510"/>
      <c r="C595" s="23"/>
      <c r="D595" s="23"/>
      <c r="E595" s="23"/>
      <c r="F595" s="21"/>
      <c r="G595" s="21"/>
      <c r="H595" s="21"/>
      <c r="I595" s="511"/>
    </row>
    <row r="596" spans="1:9">
      <c r="A596" s="509"/>
      <c r="B596" s="510"/>
      <c r="C596" s="23"/>
      <c r="D596" s="23"/>
      <c r="E596" s="23"/>
      <c r="F596" s="21"/>
      <c r="G596" s="21"/>
      <c r="H596" s="21"/>
      <c r="I596" s="511"/>
    </row>
    <row r="597" spans="1:9">
      <c r="A597" s="509"/>
      <c r="B597" s="510"/>
      <c r="C597" s="23"/>
      <c r="D597" s="23"/>
      <c r="E597" s="23"/>
      <c r="F597" s="21"/>
      <c r="G597" s="21"/>
      <c r="H597" s="21"/>
      <c r="I597" s="511"/>
    </row>
    <row r="598" spans="1:9">
      <c r="A598" s="509"/>
      <c r="B598" s="510"/>
      <c r="C598" s="23"/>
      <c r="D598" s="23"/>
      <c r="E598" s="23"/>
      <c r="F598" s="21"/>
      <c r="G598" s="21"/>
      <c r="H598" s="21"/>
      <c r="I598" s="511"/>
    </row>
    <row r="599" spans="1:9">
      <c r="A599" s="509"/>
      <c r="B599" s="510"/>
      <c r="C599" s="23"/>
      <c r="D599" s="23"/>
      <c r="E599" s="23"/>
      <c r="F599" s="21"/>
      <c r="G599" s="21"/>
      <c r="H599" s="21"/>
      <c r="I599" s="511"/>
    </row>
    <row r="600" spans="1:9">
      <c r="A600" s="509"/>
      <c r="B600" s="510"/>
      <c r="C600" s="23"/>
      <c r="D600" s="23"/>
      <c r="E600" s="23"/>
      <c r="F600" s="21"/>
      <c r="G600" s="21"/>
      <c r="H600" s="21"/>
      <c r="I600" s="511"/>
    </row>
    <row r="601" spans="1:9">
      <c r="A601" s="509"/>
      <c r="B601" s="510"/>
      <c r="C601" s="23"/>
      <c r="D601" s="23"/>
      <c r="E601" s="23"/>
      <c r="F601" s="21"/>
      <c r="G601" s="21"/>
      <c r="H601" s="21"/>
      <c r="I601" s="511"/>
    </row>
    <row r="602" spans="1:9">
      <c r="A602" s="509"/>
      <c r="B602" s="510"/>
      <c r="C602" s="23"/>
      <c r="D602" s="23"/>
      <c r="E602" s="23"/>
      <c r="F602" s="21"/>
      <c r="G602" s="21"/>
      <c r="H602" s="21"/>
      <c r="I602" s="511"/>
    </row>
    <row r="603" spans="1:9">
      <c r="A603" s="509"/>
      <c r="B603" s="510"/>
      <c r="C603" s="23"/>
      <c r="D603" s="23"/>
      <c r="E603" s="23"/>
      <c r="F603" s="21"/>
      <c r="G603" s="21"/>
      <c r="H603" s="21"/>
      <c r="I603" s="511"/>
    </row>
    <row r="604" spans="1:9">
      <c r="A604" s="509"/>
      <c r="B604" s="510"/>
      <c r="C604" s="23"/>
      <c r="D604" s="23"/>
      <c r="E604" s="23"/>
      <c r="F604" s="21"/>
      <c r="G604" s="21"/>
      <c r="H604" s="21"/>
      <c r="I604" s="511"/>
    </row>
    <row r="605" spans="1:9">
      <c r="A605" s="509"/>
      <c r="B605" s="510"/>
      <c r="C605" s="23"/>
      <c r="D605" s="23"/>
      <c r="E605" s="23"/>
      <c r="F605" s="21"/>
      <c r="G605" s="21"/>
      <c r="H605" s="21"/>
      <c r="I605" s="511"/>
    </row>
    <row r="606" spans="1:9">
      <c r="A606" s="509"/>
      <c r="B606" s="510"/>
      <c r="C606" s="23"/>
      <c r="D606" s="23"/>
      <c r="E606" s="23"/>
      <c r="F606" s="21"/>
      <c r="G606" s="21"/>
      <c r="H606" s="21"/>
      <c r="I606" s="511"/>
    </row>
    <row r="607" spans="1:9">
      <c r="A607" s="509"/>
      <c r="B607" s="510"/>
      <c r="C607" s="23"/>
      <c r="D607" s="23"/>
      <c r="E607" s="23"/>
      <c r="F607" s="21"/>
      <c r="G607" s="21"/>
      <c r="H607" s="21"/>
      <c r="I607" s="511"/>
    </row>
    <row r="608" spans="1:9">
      <c r="A608" s="509"/>
      <c r="B608" s="510"/>
      <c r="C608" s="23"/>
      <c r="D608" s="23"/>
      <c r="E608" s="23"/>
      <c r="F608" s="21"/>
      <c r="G608" s="21"/>
      <c r="H608" s="21"/>
      <c r="I608" s="511"/>
    </row>
    <row r="609" spans="1:9">
      <c r="A609" s="509"/>
      <c r="B609" s="510"/>
      <c r="C609" s="23"/>
      <c r="D609" s="23"/>
      <c r="E609" s="23"/>
      <c r="F609" s="21"/>
      <c r="G609" s="21"/>
      <c r="H609" s="21"/>
      <c r="I609" s="511"/>
    </row>
    <row r="610" spans="1:9">
      <c r="A610" s="509"/>
      <c r="B610" s="510"/>
      <c r="C610" s="23"/>
      <c r="D610" s="23"/>
      <c r="E610" s="23"/>
      <c r="F610" s="21"/>
      <c r="G610" s="21"/>
      <c r="H610" s="21"/>
      <c r="I610" s="511"/>
    </row>
    <row r="611" spans="1:9">
      <c r="A611" s="509"/>
      <c r="B611" s="510"/>
      <c r="C611" s="23"/>
      <c r="D611" s="23"/>
      <c r="E611" s="23"/>
      <c r="F611" s="21"/>
      <c r="G611" s="21"/>
      <c r="H611" s="21"/>
      <c r="I611" s="511"/>
    </row>
    <row r="612" spans="1:9">
      <c r="A612" s="509"/>
      <c r="B612" s="510"/>
      <c r="C612" s="23"/>
      <c r="D612" s="23"/>
      <c r="E612" s="23"/>
      <c r="F612" s="21"/>
      <c r="G612" s="21"/>
      <c r="H612" s="21"/>
      <c r="I612" s="511"/>
    </row>
    <row r="613" spans="1:9">
      <c r="A613" s="509"/>
      <c r="B613" s="510"/>
      <c r="C613" s="23"/>
      <c r="D613" s="23"/>
      <c r="E613" s="23"/>
      <c r="F613" s="21"/>
      <c r="G613" s="21"/>
      <c r="H613" s="21"/>
      <c r="I613" s="511"/>
    </row>
    <row r="614" spans="1:9">
      <c r="A614" s="509"/>
      <c r="B614" s="510"/>
      <c r="C614" s="23"/>
      <c r="D614" s="23"/>
      <c r="E614" s="23"/>
      <c r="F614" s="21"/>
      <c r="G614" s="21"/>
      <c r="H614" s="21"/>
      <c r="I614" s="511"/>
    </row>
    <row r="615" spans="1:9">
      <c r="A615" s="509"/>
      <c r="B615" s="510"/>
      <c r="C615" s="23"/>
      <c r="D615" s="23"/>
      <c r="E615" s="23"/>
      <c r="F615" s="21"/>
      <c r="G615" s="21"/>
      <c r="H615" s="21"/>
      <c r="I615" s="511"/>
    </row>
    <row r="616" spans="1:9">
      <c r="A616" s="509"/>
      <c r="B616" s="510"/>
      <c r="C616" s="23"/>
      <c r="D616" s="23"/>
      <c r="E616" s="23"/>
      <c r="F616" s="21"/>
      <c r="G616" s="21"/>
      <c r="H616" s="21"/>
      <c r="I616" s="511"/>
    </row>
    <row r="617" spans="1:9">
      <c r="A617" s="509"/>
      <c r="B617" s="510"/>
      <c r="C617" s="23"/>
      <c r="D617" s="23"/>
      <c r="E617" s="23"/>
      <c r="F617" s="21"/>
      <c r="G617" s="21"/>
      <c r="H617" s="21"/>
      <c r="I617" s="511"/>
    </row>
    <row r="618" spans="1:9">
      <c r="A618" s="509"/>
      <c r="B618" s="510"/>
      <c r="C618" s="23"/>
      <c r="D618" s="23"/>
      <c r="E618" s="23"/>
      <c r="F618" s="21"/>
      <c r="G618" s="21"/>
      <c r="H618" s="21"/>
      <c r="I618" s="511"/>
    </row>
    <row r="619" spans="1:9">
      <c r="A619" s="509"/>
      <c r="B619" s="510"/>
      <c r="C619" s="23"/>
      <c r="D619" s="23"/>
      <c r="E619" s="23"/>
      <c r="F619" s="21"/>
      <c r="G619" s="21"/>
      <c r="H619" s="21"/>
      <c r="I619" s="511"/>
    </row>
    <row r="620" spans="1:9">
      <c r="A620" s="509"/>
      <c r="B620" s="510"/>
      <c r="C620" s="23"/>
      <c r="D620" s="23"/>
      <c r="E620" s="23"/>
      <c r="F620" s="21"/>
      <c r="G620" s="21"/>
      <c r="H620" s="21"/>
      <c r="I620" s="511"/>
    </row>
    <row r="621" spans="1:9">
      <c r="A621" s="509"/>
      <c r="B621" s="510"/>
      <c r="C621" s="23"/>
      <c r="D621" s="23"/>
      <c r="E621" s="23"/>
      <c r="F621" s="21"/>
      <c r="G621" s="21"/>
      <c r="H621" s="21"/>
      <c r="I621" s="511"/>
    </row>
    <row r="622" spans="1:9">
      <c r="A622" s="509"/>
      <c r="B622" s="510"/>
      <c r="C622" s="23"/>
      <c r="D622" s="23"/>
      <c r="E622" s="23"/>
      <c r="F622" s="21"/>
      <c r="G622" s="21"/>
      <c r="H622" s="21"/>
      <c r="I622" s="511"/>
    </row>
    <row r="623" spans="1:9">
      <c r="A623" s="509"/>
      <c r="B623" s="510"/>
      <c r="C623" s="23"/>
      <c r="D623" s="23"/>
      <c r="E623" s="23"/>
      <c r="F623" s="21"/>
      <c r="G623" s="21"/>
      <c r="H623" s="21"/>
      <c r="I623" s="511"/>
    </row>
    <row r="624" spans="1:9">
      <c r="A624" s="509"/>
      <c r="B624" s="510"/>
      <c r="C624" s="23"/>
      <c r="D624" s="23"/>
      <c r="E624" s="23"/>
      <c r="F624" s="21"/>
      <c r="G624" s="21"/>
      <c r="H624" s="21"/>
      <c r="I624" s="511"/>
    </row>
    <row r="625" spans="1:9">
      <c r="A625" s="509"/>
      <c r="B625" s="510"/>
      <c r="C625" s="23"/>
      <c r="D625" s="23"/>
      <c r="E625" s="23"/>
      <c r="F625" s="21"/>
      <c r="G625" s="21"/>
      <c r="H625" s="21"/>
      <c r="I625" s="511"/>
    </row>
    <row r="626" spans="1:9">
      <c r="A626" s="509"/>
      <c r="B626" s="510"/>
      <c r="C626" s="23"/>
      <c r="D626" s="23"/>
      <c r="E626" s="23"/>
      <c r="F626" s="21"/>
      <c r="G626" s="21"/>
      <c r="H626" s="21"/>
      <c r="I626" s="511"/>
    </row>
    <row r="627" spans="1:9">
      <c r="A627" s="509"/>
      <c r="B627" s="510"/>
      <c r="C627" s="23"/>
      <c r="D627" s="23"/>
      <c r="E627" s="23"/>
      <c r="F627" s="21"/>
      <c r="G627" s="21"/>
      <c r="H627" s="21"/>
      <c r="I627" s="511"/>
    </row>
    <row r="628" spans="1:9">
      <c r="A628" s="509"/>
      <c r="B628" s="510"/>
      <c r="C628" s="23"/>
      <c r="D628" s="23"/>
      <c r="E628" s="23"/>
      <c r="F628" s="21"/>
      <c r="G628" s="21"/>
      <c r="H628" s="21"/>
      <c r="I628" s="511"/>
    </row>
    <row r="629" spans="1:9">
      <c r="A629" s="509"/>
      <c r="B629" s="510"/>
      <c r="C629" s="23"/>
      <c r="D629" s="23"/>
      <c r="E629" s="23"/>
      <c r="F629" s="21"/>
      <c r="G629" s="21"/>
      <c r="H629" s="21"/>
      <c r="I629" s="511"/>
    </row>
    <row r="630" spans="1:9">
      <c r="A630" s="509"/>
      <c r="B630" s="510"/>
      <c r="C630" s="23"/>
      <c r="D630" s="23"/>
      <c r="E630" s="23"/>
      <c r="F630" s="21"/>
      <c r="G630" s="21"/>
      <c r="H630" s="21"/>
      <c r="I630" s="511"/>
    </row>
    <row r="631" spans="1:9">
      <c r="A631" s="509"/>
      <c r="B631" s="510"/>
      <c r="C631" s="23"/>
      <c r="D631" s="23"/>
      <c r="E631" s="23"/>
      <c r="F631" s="21"/>
      <c r="G631" s="21"/>
      <c r="H631" s="21"/>
      <c r="I631" s="511"/>
    </row>
    <row r="632" spans="1:9">
      <c r="A632" s="509"/>
      <c r="B632" s="510"/>
      <c r="C632" s="23"/>
      <c r="D632" s="23"/>
      <c r="E632" s="23"/>
      <c r="F632" s="21"/>
      <c r="G632" s="21"/>
      <c r="H632" s="21"/>
      <c r="I632" s="511"/>
    </row>
    <row r="633" spans="1:9">
      <c r="A633" s="509"/>
      <c r="B633" s="510"/>
      <c r="C633" s="23"/>
      <c r="D633" s="23"/>
      <c r="E633" s="23"/>
      <c r="F633" s="21"/>
      <c r="G633" s="21"/>
      <c r="H633" s="21"/>
      <c r="I633" s="511"/>
    </row>
    <row r="634" spans="1:9">
      <c r="A634" s="509"/>
      <c r="B634" s="510"/>
      <c r="C634" s="23"/>
      <c r="D634" s="23"/>
      <c r="E634" s="23"/>
      <c r="F634" s="21"/>
      <c r="G634" s="21"/>
      <c r="H634" s="21"/>
      <c r="I634" s="511"/>
    </row>
    <row r="635" spans="1:9">
      <c r="A635" s="509"/>
      <c r="B635" s="510"/>
      <c r="C635" s="23"/>
      <c r="D635" s="23"/>
      <c r="E635" s="23"/>
      <c r="F635" s="21"/>
      <c r="G635" s="21"/>
      <c r="H635" s="21"/>
      <c r="I635" s="511"/>
    </row>
    <row r="636" spans="1:9">
      <c r="A636" s="509"/>
      <c r="B636" s="510"/>
      <c r="C636" s="23"/>
      <c r="D636" s="23"/>
      <c r="E636" s="23"/>
      <c r="F636" s="21"/>
      <c r="G636" s="21"/>
      <c r="H636" s="21"/>
      <c r="I636" s="511"/>
    </row>
    <row r="637" spans="1:9">
      <c r="A637" s="509"/>
      <c r="B637" s="510"/>
      <c r="C637" s="23"/>
      <c r="D637" s="23"/>
      <c r="E637" s="23"/>
      <c r="F637" s="21"/>
      <c r="G637" s="21"/>
      <c r="H637" s="21"/>
      <c r="I637" s="511"/>
    </row>
    <row r="638" spans="1:9">
      <c r="A638" s="509"/>
      <c r="B638" s="510"/>
      <c r="C638" s="23"/>
      <c r="D638" s="23"/>
      <c r="E638" s="23"/>
      <c r="F638" s="21"/>
      <c r="G638" s="21"/>
      <c r="H638" s="21"/>
      <c r="I638" s="511"/>
    </row>
    <row r="639" spans="1:9">
      <c r="A639" s="509"/>
      <c r="B639" s="510"/>
      <c r="C639" s="23"/>
      <c r="D639" s="23"/>
      <c r="E639" s="23"/>
      <c r="F639" s="21"/>
      <c r="G639" s="21"/>
      <c r="H639" s="21"/>
      <c r="I639" s="511"/>
    </row>
    <row r="640" spans="1:9">
      <c r="A640" s="509"/>
      <c r="B640" s="510"/>
      <c r="C640" s="23"/>
      <c r="D640" s="23"/>
      <c r="E640" s="23"/>
      <c r="F640" s="21"/>
      <c r="G640" s="21"/>
      <c r="H640" s="21"/>
      <c r="I640" s="511"/>
    </row>
    <row r="641" spans="1:9">
      <c r="A641" s="509"/>
      <c r="B641" s="510"/>
      <c r="C641" s="23"/>
      <c r="D641" s="23"/>
      <c r="E641" s="23"/>
      <c r="F641" s="21"/>
      <c r="G641" s="21"/>
      <c r="H641" s="21"/>
      <c r="I641" s="511"/>
    </row>
    <row r="642" spans="1:9">
      <c r="A642" s="509"/>
      <c r="B642" s="510"/>
      <c r="C642" s="23"/>
      <c r="D642" s="23"/>
      <c r="E642" s="23"/>
      <c r="F642" s="21"/>
      <c r="G642" s="21"/>
      <c r="H642" s="21"/>
      <c r="I642" s="511"/>
    </row>
    <row r="643" spans="1:9">
      <c r="A643" s="509"/>
      <c r="B643" s="510"/>
      <c r="C643" s="23"/>
      <c r="D643" s="23"/>
      <c r="E643" s="23"/>
      <c r="F643" s="21"/>
      <c r="G643" s="21"/>
      <c r="H643" s="21"/>
      <c r="I643" s="511"/>
    </row>
    <row r="644" spans="1:9">
      <c r="A644" s="509"/>
      <c r="B644" s="510"/>
      <c r="C644" s="23"/>
      <c r="D644" s="23"/>
      <c r="E644" s="23"/>
      <c r="F644" s="21"/>
      <c r="G644" s="21"/>
      <c r="H644" s="21"/>
      <c r="I644" s="511"/>
    </row>
    <row r="645" spans="1:9">
      <c r="A645" s="509"/>
      <c r="B645" s="510"/>
      <c r="C645" s="23"/>
      <c r="D645" s="23"/>
      <c r="E645" s="23"/>
      <c r="F645" s="21"/>
      <c r="G645" s="21"/>
      <c r="H645" s="21"/>
      <c r="I645" s="511"/>
    </row>
    <row r="646" spans="1:9">
      <c r="A646" s="509"/>
      <c r="B646" s="510"/>
      <c r="C646" s="23"/>
      <c r="D646" s="23"/>
      <c r="E646" s="23"/>
      <c r="F646" s="21"/>
      <c r="G646" s="21"/>
      <c r="H646" s="21"/>
      <c r="I646" s="511"/>
    </row>
    <row r="647" spans="1:9">
      <c r="A647" s="509"/>
      <c r="B647" s="510"/>
      <c r="C647" s="23"/>
      <c r="D647" s="23"/>
      <c r="E647" s="23"/>
      <c r="F647" s="21"/>
      <c r="G647" s="21"/>
      <c r="H647" s="21"/>
      <c r="I647" s="511"/>
    </row>
    <row r="648" spans="1:9">
      <c r="A648" s="509"/>
      <c r="B648" s="510"/>
      <c r="C648" s="23"/>
      <c r="D648" s="23"/>
      <c r="E648" s="23"/>
      <c r="F648" s="21"/>
      <c r="G648" s="21"/>
      <c r="H648" s="21"/>
      <c r="I648" s="511"/>
    </row>
    <row r="649" spans="1:9">
      <c r="A649" s="509"/>
      <c r="B649" s="510"/>
      <c r="C649" s="23"/>
      <c r="D649" s="23"/>
      <c r="E649" s="23"/>
      <c r="F649" s="21"/>
      <c r="G649" s="21"/>
      <c r="H649" s="21"/>
      <c r="I649" s="511"/>
    </row>
    <row r="650" spans="1:9">
      <c r="A650" s="509"/>
      <c r="B650" s="510"/>
      <c r="C650" s="23"/>
      <c r="D650" s="23"/>
      <c r="E650" s="23"/>
      <c r="F650" s="21"/>
      <c r="G650" s="21"/>
      <c r="H650" s="21"/>
      <c r="I650" s="511"/>
    </row>
    <row r="651" spans="1:9">
      <c r="A651" s="509"/>
      <c r="B651" s="510"/>
      <c r="C651" s="23"/>
      <c r="D651" s="23"/>
      <c r="E651" s="23"/>
      <c r="F651" s="21"/>
      <c r="G651" s="21"/>
      <c r="H651" s="21"/>
      <c r="I651" s="511"/>
    </row>
    <row r="652" spans="1:9">
      <c r="A652" s="509"/>
      <c r="B652" s="510"/>
      <c r="C652" s="23"/>
      <c r="D652" s="23"/>
      <c r="E652" s="23"/>
      <c r="F652" s="21"/>
      <c r="G652" s="21"/>
      <c r="H652" s="21"/>
      <c r="I652" s="511"/>
    </row>
    <row r="653" spans="1:9">
      <c r="A653" s="509"/>
      <c r="B653" s="510"/>
      <c r="C653" s="23"/>
      <c r="D653" s="23"/>
      <c r="E653" s="23"/>
      <c r="F653" s="21"/>
      <c r="G653" s="21"/>
      <c r="H653" s="21"/>
      <c r="I653" s="511"/>
    </row>
    <row r="654" spans="1:9">
      <c r="A654" s="509"/>
      <c r="B654" s="510"/>
      <c r="C654" s="23"/>
      <c r="D654" s="23"/>
      <c r="E654" s="23"/>
      <c r="F654" s="21"/>
      <c r="G654" s="21"/>
      <c r="H654" s="21"/>
      <c r="I654" s="511"/>
    </row>
    <row r="655" spans="1:9">
      <c r="A655" s="509"/>
      <c r="B655" s="510"/>
      <c r="C655" s="23"/>
      <c r="D655" s="23"/>
      <c r="E655" s="23"/>
      <c r="F655" s="21"/>
      <c r="G655" s="21"/>
      <c r="H655" s="21"/>
      <c r="I655" s="511"/>
    </row>
    <row r="656" spans="1:9">
      <c r="A656" s="509"/>
      <c r="B656" s="510"/>
      <c r="C656" s="23"/>
      <c r="D656" s="23"/>
      <c r="E656" s="23"/>
      <c r="F656" s="21"/>
      <c r="G656" s="21"/>
      <c r="H656" s="21"/>
      <c r="I656" s="511"/>
    </row>
    <row r="657" spans="1:9">
      <c r="A657" s="509"/>
      <c r="B657" s="510"/>
      <c r="C657" s="23"/>
      <c r="D657" s="23"/>
      <c r="E657" s="23"/>
      <c r="F657" s="21"/>
      <c r="G657" s="21"/>
      <c r="H657" s="21"/>
      <c r="I657" s="511"/>
    </row>
    <row r="658" spans="1:9">
      <c r="A658" s="509"/>
      <c r="B658" s="510"/>
      <c r="C658" s="23"/>
      <c r="D658" s="23"/>
      <c r="E658" s="23"/>
      <c r="F658" s="21"/>
      <c r="G658" s="21"/>
      <c r="H658" s="21"/>
      <c r="I658" s="511"/>
    </row>
    <row r="659" spans="1:9">
      <c r="A659" s="509"/>
      <c r="B659" s="510"/>
      <c r="C659" s="23"/>
      <c r="D659" s="23"/>
      <c r="E659" s="23"/>
      <c r="F659" s="21"/>
      <c r="G659" s="21"/>
      <c r="H659" s="21"/>
      <c r="I659" s="511"/>
    </row>
    <row r="660" spans="1:9">
      <c r="A660" s="509"/>
      <c r="B660" s="510"/>
      <c r="C660" s="23"/>
      <c r="D660" s="23"/>
      <c r="E660" s="23"/>
      <c r="F660" s="21"/>
      <c r="G660" s="21"/>
      <c r="H660" s="21"/>
      <c r="I660" s="511"/>
    </row>
    <row r="661" spans="1:9">
      <c r="A661" s="509"/>
      <c r="B661" s="510"/>
      <c r="C661" s="23"/>
      <c r="D661" s="23"/>
      <c r="E661" s="23"/>
      <c r="F661" s="21"/>
      <c r="G661" s="21"/>
      <c r="H661" s="21"/>
      <c r="I661" s="511"/>
    </row>
    <row r="662" spans="1:9">
      <c r="A662" s="509"/>
      <c r="B662" s="510"/>
      <c r="C662" s="23"/>
      <c r="D662" s="23"/>
      <c r="E662" s="23"/>
      <c r="F662" s="21"/>
      <c r="G662" s="21"/>
      <c r="H662" s="21"/>
      <c r="I662" s="511"/>
    </row>
    <row r="663" spans="1:9">
      <c r="A663" s="509"/>
      <c r="B663" s="510"/>
      <c r="C663" s="23"/>
      <c r="D663" s="23"/>
      <c r="E663" s="23"/>
      <c r="F663" s="21"/>
      <c r="G663" s="21"/>
      <c r="H663" s="21"/>
      <c r="I663" s="511"/>
    </row>
    <row r="664" spans="1:9">
      <c r="A664" s="509"/>
      <c r="B664" s="510"/>
      <c r="C664" s="23"/>
      <c r="D664" s="23"/>
      <c r="E664" s="23"/>
      <c r="F664" s="21"/>
      <c r="G664" s="21"/>
      <c r="H664" s="21"/>
      <c r="I664" s="511"/>
    </row>
    <row r="665" spans="1:9">
      <c r="A665" s="509"/>
      <c r="B665" s="510"/>
      <c r="C665" s="23"/>
      <c r="D665" s="23"/>
      <c r="E665" s="23"/>
      <c r="F665" s="21"/>
      <c r="G665" s="21"/>
      <c r="H665" s="21"/>
      <c r="I665" s="511"/>
    </row>
    <row r="666" spans="1:9">
      <c r="A666" s="509"/>
      <c r="B666" s="510"/>
      <c r="C666" s="23"/>
      <c r="D666" s="23"/>
      <c r="E666" s="23"/>
      <c r="F666" s="21"/>
      <c r="G666" s="21"/>
      <c r="H666" s="21"/>
      <c r="I666" s="511"/>
    </row>
    <row r="667" spans="1:9">
      <c r="A667" s="509"/>
      <c r="B667" s="510"/>
      <c r="C667" s="23"/>
      <c r="D667" s="23"/>
      <c r="E667" s="23"/>
      <c r="F667" s="21"/>
      <c r="G667" s="21"/>
      <c r="H667" s="21"/>
      <c r="I667" s="511"/>
    </row>
    <row r="668" spans="1:9">
      <c r="A668" s="509"/>
      <c r="B668" s="510"/>
      <c r="C668" s="23"/>
      <c r="D668" s="23"/>
      <c r="E668" s="23"/>
      <c r="F668" s="21"/>
      <c r="G668" s="21"/>
      <c r="H668" s="21"/>
      <c r="I668" s="511"/>
    </row>
    <row r="669" spans="1:9">
      <c r="A669" s="509"/>
      <c r="B669" s="510"/>
      <c r="C669" s="23"/>
      <c r="D669" s="23"/>
      <c r="E669" s="23"/>
      <c r="F669" s="21"/>
      <c r="G669" s="21"/>
      <c r="H669" s="21"/>
      <c r="I669" s="511"/>
    </row>
    <row r="670" spans="1:9">
      <c r="A670" s="509"/>
      <c r="B670" s="510"/>
      <c r="C670" s="23"/>
      <c r="D670" s="23"/>
      <c r="E670" s="23"/>
      <c r="F670" s="21"/>
      <c r="G670" s="21"/>
      <c r="H670" s="21"/>
      <c r="I670" s="511"/>
    </row>
    <row r="671" spans="1:9">
      <c r="A671" s="509"/>
      <c r="B671" s="510"/>
      <c r="C671" s="23"/>
      <c r="D671" s="23"/>
      <c r="E671" s="23"/>
      <c r="F671" s="21"/>
      <c r="G671" s="21"/>
      <c r="H671" s="21"/>
      <c r="I671" s="511"/>
    </row>
    <row r="672" spans="1:9">
      <c r="A672" s="509"/>
      <c r="B672" s="510"/>
      <c r="C672" s="23"/>
      <c r="D672" s="23"/>
      <c r="E672" s="23"/>
      <c r="F672" s="21"/>
      <c r="G672" s="21"/>
      <c r="H672" s="21"/>
      <c r="I672" s="511"/>
    </row>
    <row r="673" spans="1:9">
      <c r="A673" s="509"/>
      <c r="B673" s="510"/>
      <c r="C673" s="23"/>
      <c r="D673" s="23"/>
      <c r="E673" s="23"/>
      <c r="F673" s="21"/>
      <c r="G673" s="21"/>
      <c r="H673" s="21"/>
      <c r="I673" s="511"/>
    </row>
    <row r="674" spans="1:9">
      <c r="A674" s="509"/>
      <c r="B674" s="510"/>
      <c r="C674" s="23"/>
      <c r="D674" s="23"/>
      <c r="E674" s="23"/>
      <c r="F674" s="21"/>
      <c r="G674" s="21"/>
      <c r="H674" s="21"/>
      <c r="I674" s="511"/>
    </row>
    <row r="675" spans="1:9">
      <c r="A675" s="509"/>
      <c r="B675" s="510"/>
      <c r="C675" s="23"/>
      <c r="D675" s="23"/>
      <c r="E675" s="23"/>
      <c r="F675" s="21"/>
      <c r="G675" s="21"/>
      <c r="H675" s="21"/>
      <c r="I675" s="511"/>
    </row>
    <row r="676" spans="1:9">
      <c r="A676" s="509"/>
      <c r="B676" s="510"/>
      <c r="C676" s="23"/>
      <c r="D676" s="23"/>
      <c r="E676" s="23"/>
      <c r="F676" s="21"/>
      <c r="G676" s="21"/>
      <c r="H676" s="21"/>
      <c r="I676" s="511"/>
    </row>
    <row r="677" spans="1:9">
      <c r="A677" s="509"/>
      <c r="B677" s="510"/>
      <c r="C677" s="23"/>
      <c r="D677" s="23"/>
      <c r="E677" s="23"/>
      <c r="F677" s="21"/>
      <c r="G677" s="21"/>
      <c r="H677" s="21"/>
      <c r="I677" s="511"/>
    </row>
    <row r="678" spans="1:9">
      <c r="A678" s="509"/>
      <c r="B678" s="510"/>
      <c r="C678" s="23"/>
      <c r="D678" s="23"/>
      <c r="E678" s="23"/>
      <c r="F678" s="21"/>
      <c r="G678" s="21"/>
      <c r="H678" s="21"/>
      <c r="I678" s="511"/>
    </row>
    <row r="679" spans="1:9">
      <c r="A679" s="509"/>
      <c r="B679" s="510"/>
      <c r="C679" s="23"/>
      <c r="D679" s="23"/>
      <c r="E679" s="23"/>
      <c r="F679" s="21"/>
      <c r="G679" s="21"/>
      <c r="H679" s="21"/>
      <c r="I679" s="511"/>
    </row>
    <row r="680" spans="1:9">
      <c r="A680" s="509"/>
      <c r="B680" s="510"/>
      <c r="C680" s="23"/>
      <c r="D680" s="23"/>
      <c r="E680" s="23"/>
      <c r="F680" s="21"/>
      <c r="G680" s="21"/>
      <c r="H680" s="21"/>
      <c r="I680" s="511"/>
    </row>
    <row r="681" spans="1:9">
      <c r="A681" s="509"/>
      <c r="B681" s="510"/>
      <c r="C681" s="23"/>
      <c r="D681" s="23"/>
      <c r="E681" s="23"/>
      <c r="F681" s="21"/>
      <c r="G681" s="21"/>
      <c r="H681" s="21"/>
      <c r="I681" s="511"/>
    </row>
    <row r="682" spans="1:9">
      <c r="A682" s="509"/>
      <c r="B682" s="510"/>
      <c r="C682" s="23"/>
      <c r="D682" s="23"/>
      <c r="E682" s="23"/>
      <c r="F682" s="21"/>
      <c r="G682" s="21"/>
      <c r="H682" s="21"/>
      <c r="I682" s="511"/>
    </row>
    <row r="683" spans="1:9">
      <c r="A683" s="509"/>
      <c r="B683" s="510"/>
      <c r="C683" s="23"/>
      <c r="D683" s="23"/>
      <c r="E683" s="23"/>
      <c r="F683" s="21"/>
      <c r="G683" s="21"/>
      <c r="H683" s="21"/>
      <c r="I683" s="511"/>
    </row>
    <row r="684" spans="1:9">
      <c r="A684" s="509"/>
      <c r="B684" s="510"/>
      <c r="C684" s="23"/>
      <c r="D684" s="23"/>
      <c r="E684" s="23"/>
      <c r="F684" s="21"/>
      <c r="G684" s="21"/>
      <c r="H684" s="21"/>
      <c r="I684" s="511"/>
    </row>
    <row r="685" spans="1:9">
      <c r="A685" s="509"/>
      <c r="B685" s="510"/>
      <c r="C685" s="23"/>
      <c r="D685" s="23"/>
      <c r="E685" s="23"/>
      <c r="F685" s="21"/>
      <c r="G685" s="21"/>
      <c r="H685" s="21"/>
      <c r="I685" s="511"/>
    </row>
    <row r="686" spans="1:9">
      <c r="A686" s="509"/>
      <c r="B686" s="510"/>
      <c r="C686" s="23"/>
      <c r="D686" s="23"/>
      <c r="E686" s="23"/>
      <c r="F686" s="21"/>
      <c r="G686" s="21"/>
      <c r="H686" s="21"/>
      <c r="I686" s="511"/>
    </row>
    <row r="687" spans="1:9">
      <c r="A687" s="509"/>
      <c r="B687" s="510"/>
      <c r="C687" s="23"/>
      <c r="D687" s="23"/>
      <c r="E687" s="23"/>
      <c r="F687" s="21"/>
      <c r="G687" s="21"/>
      <c r="H687" s="21"/>
      <c r="I687" s="511"/>
    </row>
    <row r="688" spans="1:9">
      <c r="A688" s="509"/>
      <c r="B688" s="510"/>
      <c r="C688" s="23"/>
      <c r="D688" s="23"/>
      <c r="E688" s="23"/>
      <c r="F688" s="21"/>
      <c r="G688" s="21"/>
      <c r="H688" s="21"/>
      <c r="I688" s="511"/>
    </row>
    <row r="689" spans="1:9">
      <c r="A689" s="509"/>
      <c r="B689" s="510"/>
      <c r="C689" s="23"/>
      <c r="D689" s="23"/>
      <c r="E689" s="23"/>
      <c r="F689" s="21"/>
      <c r="G689" s="21"/>
      <c r="H689" s="21"/>
      <c r="I689" s="511"/>
    </row>
    <row r="690" spans="1:9">
      <c r="A690" s="509"/>
      <c r="B690" s="510"/>
      <c r="C690" s="23"/>
      <c r="D690" s="23"/>
      <c r="E690" s="23"/>
      <c r="F690" s="21"/>
      <c r="G690" s="21"/>
      <c r="H690" s="21"/>
      <c r="I690" s="511"/>
    </row>
    <row r="691" spans="1:9">
      <c r="A691" s="509"/>
      <c r="B691" s="510"/>
      <c r="C691" s="23"/>
      <c r="D691" s="23"/>
      <c r="E691" s="23"/>
      <c r="F691" s="21"/>
      <c r="G691" s="21"/>
      <c r="H691" s="21"/>
      <c r="I691" s="511"/>
    </row>
    <row r="692" spans="1:9">
      <c r="A692" s="509"/>
      <c r="B692" s="510"/>
      <c r="C692" s="23"/>
      <c r="D692" s="23"/>
      <c r="E692" s="23"/>
      <c r="F692" s="21"/>
      <c r="G692" s="21"/>
      <c r="H692" s="21"/>
      <c r="I692" s="511"/>
    </row>
    <row r="693" spans="1:9">
      <c r="A693" s="509"/>
      <c r="B693" s="510"/>
      <c r="C693" s="23"/>
      <c r="D693" s="23"/>
      <c r="E693" s="23"/>
      <c r="F693" s="21"/>
      <c r="G693" s="21"/>
      <c r="H693" s="21"/>
      <c r="I693" s="511"/>
    </row>
    <row r="694" spans="1:9">
      <c r="A694" s="509"/>
      <c r="B694" s="510"/>
      <c r="C694" s="23"/>
      <c r="D694" s="23"/>
      <c r="E694" s="23"/>
      <c r="F694" s="21"/>
      <c r="G694" s="21"/>
      <c r="H694" s="21"/>
      <c r="I694" s="511"/>
    </row>
    <row r="695" spans="1:9">
      <c r="A695" s="509"/>
      <c r="B695" s="510"/>
      <c r="C695" s="23"/>
      <c r="D695" s="23"/>
      <c r="E695" s="23"/>
      <c r="F695" s="21"/>
      <c r="G695" s="21"/>
      <c r="H695" s="21"/>
      <c r="I695" s="511"/>
    </row>
    <row r="696" spans="1:9">
      <c r="A696" s="509"/>
      <c r="B696" s="510"/>
      <c r="C696" s="23"/>
      <c r="D696" s="23"/>
      <c r="E696" s="23"/>
      <c r="F696" s="21"/>
      <c r="G696" s="21"/>
      <c r="H696" s="21"/>
      <c r="I696" s="511"/>
    </row>
    <row r="697" spans="1:9">
      <c r="A697" s="509"/>
      <c r="B697" s="510"/>
      <c r="C697" s="23"/>
      <c r="D697" s="23"/>
      <c r="E697" s="23"/>
      <c r="F697" s="21"/>
      <c r="G697" s="21"/>
      <c r="H697" s="21"/>
      <c r="I697" s="511"/>
    </row>
    <row r="698" spans="1:9">
      <c r="A698" s="509"/>
      <c r="B698" s="510"/>
      <c r="C698" s="23"/>
      <c r="D698" s="23"/>
      <c r="E698" s="23"/>
      <c r="F698" s="21"/>
      <c r="G698" s="21"/>
      <c r="H698" s="21"/>
      <c r="I698" s="511"/>
    </row>
    <row r="699" spans="1:9">
      <c r="A699" s="509"/>
      <c r="B699" s="510"/>
      <c r="C699" s="23"/>
      <c r="D699" s="23"/>
      <c r="E699" s="23"/>
      <c r="F699" s="21"/>
      <c r="G699" s="21"/>
      <c r="H699" s="21"/>
      <c r="I699" s="511"/>
    </row>
    <row r="700" spans="1:9">
      <c r="A700" s="509"/>
      <c r="B700" s="510"/>
      <c r="C700" s="23"/>
      <c r="D700" s="23"/>
      <c r="E700" s="23"/>
      <c r="F700" s="21"/>
      <c r="G700" s="21"/>
      <c r="H700" s="21"/>
      <c r="I700" s="511"/>
    </row>
    <row r="701" spans="1:9">
      <c r="A701" s="509"/>
      <c r="B701" s="510"/>
      <c r="C701" s="23"/>
      <c r="D701" s="23"/>
      <c r="E701" s="23"/>
      <c r="F701" s="21"/>
      <c r="G701" s="21"/>
      <c r="H701" s="21"/>
      <c r="I701" s="511"/>
    </row>
    <row r="702" spans="1:9">
      <c r="A702" s="509"/>
      <c r="B702" s="510"/>
      <c r="C702" s="23"/>
      <c r="D702" s="23"/>
      <c r="E702" s="23"/>
      <c r="F702" s="21"/>
      <c r="G702" s="21"/>
      <c r="H702" s="21"/>
      <c r="I702" s="511"/>
    </row>
    <row r="703" spans="1:9">
      <c r="A703" s="509"/>
      <c r="B703" s="510"/>
      <c r="C703" s="23"/>
      <c r="D703" s="23"/>
      <c r="E703" s="23"/>
      <c r="F703" s="21"/>
      <c r="G703" s="21"/>
      <c r="H703" s="21"/>
      <c r="I703" s="511"/>
    </row>
    <row r="704" spans="1:9">
      <c r="A704" s="509"/>
      <c r="B704" s="510"/>
      <c r="C704" s="23"/>
      <c r="D704" s="23"/>
      <c r="E704" s="23"/>
      <c r="F704" s="21"/>
      <c r="G704" s="21"/>
      <c r="H704" s="21"/>
      <c r="I704" s="511"/>
    </row>
    <row r="705" spans="1:9">
      <c r="A705" s="509"/>
      <c r="B705" s="510"/>
      <c r="C705" s="23"/>
      <c r="D705" s="23"/>
      <c r="E705" s="23"/>
      <c r="F705" s="21"/>
      <c r="G705" s="21"/>
      <c r="H705" s="21"/>
      <c r="I705" s="511"/>
    </row>
    <row r="706" spans="1:9">
      <c r="A706" s="509"/>
      <c r="B706" s="510"/>
      <c r="C706" s="23"/>
      <c r="D706" s="23"/>
      <c r="E706" s="23"/>
      <c r="F706" s="21"/>
      <c r="G706" s="21"/>
      <c r="H706" s="21"/>
      <c r="I706" s="511"/>
    </row>
    <row r="707" spans="1:9">
      <c r="A707" s="509"/>
      <c r="B707" s="510"/>
      <c r="C707" s="23"/>
      <c r="D707" s="23"/>
      <c r="E707" s="23"/>
      <c r="F707" s="21"/>
      <c r="G707" s="21"/>
      <c r="H707" s="21"/>
      <c r="I707" s="511"/>
    </row>
    <row r="708" spans="1:9">
      <c r="A708" s="509"/>
      <c r="B708" s="510"/>
      <c r="C708" s="23"/>
      <c r="D708" s="23"/>
      <c r="E708" s="23"/>
      <c r="F708" s="21"/>
      <c r="G708" s="21"/>
      <c r="H708" s="21"/>
      <c r="I708" s="511"/>
    </row>
    <row r="709" spans="1:9">
      <c r="A709" s="509"/>
      <c r="B709" s="510"/>
      <c r="C709" s="23"/>
      <c r="D709" s="23"/>
      <c r="E709" s="23"/>
      <c r="F709" s="21"/>
      <c r="G709" s="21"/>
      <c r="H709" s="21"/>
      <c r="I709" s="511"/>
    </row>
    <row r="710" spans="1:9">
      <c r="A710" s="509"/>
      <c r="B710" s="510"/>
      <c r="C710" s="23"/>
      <c r="D710" s="23"/>
      <c r="E710" s="23"/>
      <c r="F710" s="21"/>
      <c r="G710" s="21"/>
      <c r="H710" s="21"/>
      <c r="I710" s="511"/>
    </row>
    <row r="711" spans="1:9">
      <c r="A711" s="509"/>
      <c r="B711" s="510"/>
      <c r="C711" s="23"/>
      <c r="D711" s="23"/>
      <c r="E711" s="23"/>
      <c r="F711" s="21"/>
      <c r="G711" s="21"/>
      <c r="H711" s="21"/>
      <c r="I711" s="511"/>
    </row>
    <row r="712" spans="1:9">
      <c r="A712" s="509"/>
      <c r="B712" s="510"/>
      <c r="C712" s="23"/>
      <c r="D712" s="23"/>
      <c r="E712" s="23"/>
      <c r="F712" s="21"/>
      <c r="G712" s="21"/>
      <c r="H712" s="21"/>
      <c r="I712" s="511"/>
    </row>
    <row r="713" spans="1:9">
      <c r="A713" s="509"/>
      <c r="B713" s="510"/>
      <c r="C713" s="23"/>
      <c r="D713" s="23"/>
      <c r="E713" s="23"/>
      <c r="F713" s="21"/>
      <c r="G713" s="21"/>
      <c r="H713" s="21"/>
      <c r="I713" s="511"/>
    </row>
    <row r="714" spans="1:9">
      <c r="A714" s="509"/>
      <c r="B714" s="510"/>
      <c r="C714" s="23"/>
      <c r="D714" s="23"/>
      <c r="E714" s="23"/>
      <c r="F714" s="21"/>
      <c r="G714" s="21"/>
      <c r="H714" s="21"/>
      <c r="I714" s="511"/>
    </row>
    <row r="715" spans="1:9">
      <c r="A715" s="509"/>
      <c r="B715" s="510"/>
      <c r="C715" s="23"/>
      <c r="D715" s="23"/>
      <c r="E715" s="23"/>
      <c r="F715" s="21"/>
      <c r="G715" s="21"/>
      <c r="H715" s="21"/>
      <c r="I715" s="511"/>
    </row>
    <row r="716" spans="1:9">
      <c r="A716" s="509"/>
      <c r="B716" s="510"/>
      <c r="C716" s="23"/>
      <c r="D716" s="23"/>
      <c r="E716" s="23"/>
      <c r="F716" s="21"/>
      <c r="G716" s="21"/>
      <c r="H716" s="21"/>
      <c r="I716" s="511"/>
    </row>
    <row r="717" spans="1:9">
      <c r="A717" s="509"/>
      <c r="B717" s="510"/>
      <c r="C717" s="23"/>
      <c r="D717" s="23"/>
      <c r="E717" s="23"/>
      <c r="F717" s="21"/>
      <c r="G717" s="21"/>
      <c r="H717" s="21"/>
      <c r="I717" s="511"/>
    </row>
    <row r="718" spans="1:9">
      <c r="A718" s="509"/>
      <c r="B718" s="510"/>
      <c r="C718" s="23"/>
      <c r="D718" s="23"/>
      <c r="E718" s="23"/>
      <c r="F718" s="21"/>
      <c r="G718" s="21"/>
      <c r="H718" s="21"/>
      <c r="I718" s="511"/>
    </row>
    <row r="719" spans="1:9">
      <c r="A719" s="509"/>
      <c r="B719" s="510"/>
      <c r="C719" s="23"/>
      <c r="D719" s="23"/>
      <c r="E719" s="23"/>
      <c r="F719" s="21"/>
      <c r="G719" s="21"/>
      <c r="H719" s="21"/>
      <c r="I719" s="511"/>
    </row>
    <row r="720" spans="1:9">
      <c r="A720" s="509"/>
      <c r="B720" s="510"/>
      <c r="C720" s="23"/>
      <c r="D720" s="23"/>
      <c r="E720" s="23"/>
      <c r="F720" s="21"/>
      <c r="G720" s="21"/>
      <c r="H720" s="21"/>
      <c r="I720" s="511"/>
    </row>
    <row r="721" spans="1:9">
      <c r="A721" s="509"/>
      <c r="B721" s="510"/>
      <c r="C721" s="23"/>
      <c r="D721" s="23"/>
      <c r="E721" s="23"/>
      <c r="F721" s="21"/>
      <c r="G721" s="21"/>
      <c r="H721" s="21"/>
      <c r="I721" s="511"/>
    </row>
    <row r="722" spans="1:9">
      <c r="A722" s="509"/>
      <c r="B722" s="510"/>
      <c r="C722" s="23"/>
      <c r="D722" s="23"/>
      <c r="E722" s="23"/>
      <c r="F722" s="21"/>
      <c r="G722" s="21"/>
      <c r="H722" s="21"/>
      <c r="I722" s="511"/>
    </row>
    <row r="723" spans="1:9">
      <c r="A723" s="509"/>
      <c r="B723" s="510"/>
      <c r="C723" s="23"/>
      <c r="D723" s="23"/>
      <c r="E723" s="23"/>
      <c r="F723" s="21"/>
      <c r="G723" s="21"/>
      <c r="H723" s="21"/>
      <c r="I723" s="511"/>
    </row>
    <row r="724" spans="1:9">
      <c r="A724" s="509"/>
      <c r="B724" s="510"/>
      <c r="C724" s="23"/>
      <c r="D724" s="23"/>
      <c r="E724" s="23"/>
      <c r="F724" s="21"/>
      <c r="G724" s="21"/>
      <c r="H724" s="21"/>
      <c r="I724" s="511"/>
    </row>
    <row r="725" spans="1:9">
      <c r="A725" s="509"/>
      <c r="B725" s="510"/>
      <c r="C725" s="23"/>
      <c r="D725" s="23"/>
      <c r="E725" s="23"/>
      <c r="F725" s="21"/>
      <c r="G725" s="21"/>
      <c r="H725" s="21"/>
      <c r="I725" s="511"/>
    </row>
    <row r="726" spans="1:9">
      <c r="A726" s="509"/>
      <c r="B726" s="510"/>
      <c r="C726" s="23"/>
      <c r="D726" s="23"/>
      <c r="E726" s="23"/>
      <c r="F726" s="21"/>
      <c r="G726" s="21"/>
      <c r="H726" s="21"/>
      <c r="I726" s="511"/>
    </row>
    <row r="727" spans="1:9">
      <c r="A727" s="509"/>
      <c r="B727" s="510"/>
      <c r="C727" s="23"/>
      <c r="D727" s="23"/>
      <c r="E727" s="23"/>
      <c r="F727" s="21"/>
      <c r="G727" s="21"/>
      <c r="H727" s="21"/>
      <c r="I727" s="511"/>
    </row>
    <row r="728" spans="1:9">
      <c r="A728" s="509"/>
      <c r="B728" s="510"/>
      <c r="C728" s="23"/>
      <c r="D728" s="23"/>
      <c r="E728" s="23"/>
      <c r="F728" s="21"/>
      <c r="G728" s="21"/>
      <c r="H728" s="21"/>
      <c r="I728" s="511"/>
    </row>
    <row r="729" spans="1:9">
      <c r="A729" s="509"/>
      <c r="B729" s="510"/>
      <c r="C729" s="23"/>
      <c r="D729" s="23"/>
      <c r="E729" s="23"/>
      <c r="F729" s="21"/>
      <c r="G729" s="21"/>
      <c r="H729" s="21"/>
      <c r="I729" s="511"/>
    </row>
    <row r="730" spans="1:9">
      <c r="A730" s="509"/>
      <c r="B730" s="510"/>
      <c r="C730" s="23"/>
      <c r="D730" s="23"/>
      <c r="E730" s="23"/>
      <c r="F730" s="21"/>
      <c r="G730" s="21"/>
      <c r="H730" s="21"/>
      <c r="I730" s="511"/>
    </row>
    <row r="731" spans="1:9">
      <c r="A731" s="509"/>
      <c r="B731" s="510"/>
      <c r="C731" s="23"/>
      <c r="D731" s="23"/>
      <c r="E731" s="23"/>
      <c r="F731" s="21"/>
      <c r="G731" s="21"/>
      <c r="H731" s="21"/>
      <c r="I731" s="511"/>
    </row>
    <row r="732" spans="1:9">
      <c r="A732" s="509"/>
      <c r="B732" s="510"/>
      <c r="C732" s="23"/>
      <c r="D732" s="23"/>
      <c r="E732" s="23"/>
      <c r="F732" s="21"/>
      <c r="G732" s="21"/>
      <c r="H732" s="21"/>
      <c r="I732" s="511"/>
    </row>
    <row r="733" spans="1:9">
      <c r="A733" s="509"/>
      <c r="B733" s="510"/>
      <c r="C733" s="23"/>
      <c r="D733" s="23"/>
      <c r="E733" s="23"/>
      <c r="F733" s="21"/>
      <c r="G733" s="21"/>
      <c r="H733" s="21"/>
      <c r="I733" s="511"/>
    </row>
    <row r="734" spans="1:9">
      <c r="A734" s="509"/>
      <c r="B734" s="510"/>
      <c r="C734" s="23"/>
      <c r="D734" s="23"/>
      <c r="E734" s="23"/>
      <c r="F734" s="21"/>
      <c r="G734" s="21"/>
      <c r="H734" s="21"/>
      <c r="I734" s="511"/>
    </row>
    <row r="735" spans="1:9">
      <c r="A735" s="509"/>
      <c r="B735" s="510"/>
      <c r="C735" s="23"/>
      <c r="D735" s="23"/>
      <c r="E735" s="23"/>
      <c r="F735" s="21"/>
      <c r="G735" s="21"/>
      <c r="H735" s="21"/>
      <c r="I735" s="511"/>
    </row>
    <row r="736" spans="1:9">
      <c r="A736" s="509"/>
      <c r="B736" s="510"/>
      <c r="C736" s="23"/>
      <c r="D736" s="23"/>
      <c r="E736" s="23"/>
      <c r="F736" s="21"/>
      <c r="G736" s="21"/>
      <c r="H736" s="21"/>
      <c r="I736" s="511"/>
    </row>
    <row r="737" spans="1:9">
      <c r="A737" s="509"/>
      <c r="B737" s="510"/>
      <c r="C737" s="23"/>
      <c r="D737" s="23"/>
      <c r="E737" s="23"/>
      <c r="F737" s="21"/>
      <c r="G737" s="21"/>
      <c r="H737" s="21"/>
      <c r="I737" s="511"/>
    </row>
    <row r="738" spans="1:9">
      <c r="A738" s="509"/>
      <c r="B738" s="510"/>
      <c r="C738" s="23"/>
      <c r="D738" s="23"/>
      <c r="E738" s="23"/>
      <c r="F738" s="21"/>
      <c r="G738" s="21"/>
      <c r="H738" s="21"/>
      <c r="I738" s="511"/>
    </row>
    <row r="739" spans="1:9">
      <c r="A739" s="509"/>
      <c r="B739" s="510"/>
      <c r="C739" s="23"/>
      <c r="D739" s="23"/>
      <c r="E739" s="23"/>
      <c r="F739" s="21"/>
      <c r="G739" s="21"/>
      <c r="H739" s="21"/>
      <c r="I739" s="511"/>
    </row>
    <row r="740" spans="1:9">
      <c r="A740" s="509"/>
      <c r="B740" s="510"/>
      <c r="C740" s="23"/>
      <c r="D740" s="23"/>
      <c r="E740" s="23"/>
      <c r="F740" s="21"/>
      <c r="G740" s="21"/>
      <c r="H740" s="21"/>
      <c r="I740" s="511"/>
    </row>
    <row r="741" spans="1:9">
      <c r="A741" s="509"/>
      <c r="B741" s="510"/>
      <c r="C741" s="23"/>
      <c r="D741" s="23"/>
      <c r="E741" s="23"/>
      <c r="F741" s="21"/>
      <c r="G741" s="21"/>
      <c r="H741" s="21"/>
      <c r="I741" s="511"/>
    </row>
    <row r="742" spans="1:9">
      <c r="A742" s="509"/>
      <c r="B742" s="510"/>
      <c r="C742" s="23"/>
      <c r="D742" s="23"/>
      <c r="E742" s="23"/>
      <c r="F742" s="21"/>
      <c r="G742" s="21"/>
      <c r="H742" s="21"/>
      <c r="I742" s="511"/>
    </row>
    <row r="743" spans="1:9">
      <c r="A743" s="509"/>
      <c r="B743" s="510"/>
      <c r="C743" s="23"/>
      <c r="D743" s="23"/>
      <c r="E743" s="23"/>
      <c r="F743" s="21"/>
      <c r="G743" s="21"/>
      <c r="H743" s="21"/>
      <c r="I743" s="511"/>
    </row>
    <row r="744" spans="1:9">
      <c r="A744" s="509"/>
      <c r="B744" s="510"/>
      <c r="C744" s="23"/>
      <c r="D744" s="23"/>
      <c r="E744" s="23"/>
      <c r="F744" s="21"/>
      <c r="G744" s="21"/>
      <c r="H744" s="21"/>
      <c r="I744" s="511"/>
    </row>
    <row r="745" spans="1:9">
      <c r="A745" s="509"/>
      <c r="B745" s="510"/>
      <c r="C745" s="23"/>
      <c r="D745" s="23"/>
      <c r="E745" s="23"/>
      <c r="F745" s="21"/>
      <c r="G745" s="21"/>
      <c r="H745" s="21"/>
      <c r="I745" s="511"/>
    </row>
    <row r="746" spans="1:9">
      <c r="A746" s="509"/>
      <c r="B746" s="510"/>
      <c r="C746" s="23"/>
      <c r="D746" s="23"/>
      <c r="E746" s="23"/>
      <c r="F746" s="21"/>
      <c r="G746" s="21"/>
      <c r="H746" s="21"/>
      <c r="I746" s="511"/>
    </row>
    <row r="747" spans="1:9">
      <c r="A747" s="509"/>
      <c r="B747" s="510"/>
      <c r="C747" s="23"/>
      <c r="D747" s="23"/>
      <c r="E747" s="23"/>
      <c r="F747" s="21"/>
      <c r="G747" s="21"/>
      <c r="H747" s="21"/>
      <c r="I747" s="511"/>
    </row>
    <row r="748" spans="1:9">
      <c r="A748" s="509"/>
      <c r="B748" s="510"/>
      <c r="C748" s="23"/>
      <c r="D748" s="23"/>
      <c r="E748" s="23"/>
      <c r="F748" s="21"/>
      <c r="G748" s="21"/>
      <c r="H748" s="21"/>
      <c r="I748" s="511"/>
    </row>
    <row r="749" spans="1:9">
      <c r="A749" s="509"/>
      <c r="B749" s="510"/>
      <c r="C749" s="23"/>
      <c r="D749" s="23"/>
      <c r="E749" s="23"/>
      <c r="F749" s="21"/>
      <c r="G749" s="21"/>
      <c r="H749" s="21"/>
      <c r="I749" s="511"/>
    </row>
    <row r="750" spans="1:9">
      <c r="A750" s="509"/>
      <c r="B750" s="510"/>
      <c r="C750" s="23"/>
      <c r="D750" s="23"/>
      <c r="E750" s="23"/>
      <c r="F750" s="21"/>
      <c r="G750" s="21"/>
      <c r="H750" s="21"/>
      <c r="I750" s="511"/>
    </row>
    <row r="751" spans="1:9">
      <c r="A751" s="509"/>
      <c r="B751" s="510"/>
      <c r="C751" s="23"/>
      <c r="D751" s="23"/>
      <c r="E751" s="23"/>
      <c r="F751" s="21"/>
      <c r="G751" s="21"/>
      <c r="H751" s="21"/>
      <c r="I751" s="511"/>
    </row>
    <row r="752" spans="1:9">
      <c r="A752" s="509"/>
      <c r="B752" s="510"/>
      <c r="C752" s="23"/>
      <c r="D752" s="23"/>
      <c r="E752" s="23"/>
      <c r="F752" s="21"/>
      <c r="G752" s="21"/>
      <c r="H752" s="21"/>
      <c r="I752" s="511"/>
    </row>
    <row r="753" spans="1:9">
      <c r="A753" s="509"/>
      <c r="B753" s="510"/>
      <c r="C753" s="23"/>
      <c r="D753" s="23"/>
      <c r="E753" s="23"/>
      <c r="F753" s="21"/>
      <c r="G753" s="21"/>
      <c r="H753" s="21"/>
      <c r="I753" s="511"/>
    </row>
    <row r="754" spans="1:9">
      <c r="A754" s="509"/>
      <c r="B754" s="510"/>
      <c r="C754" s="23"/>
      <c r="D754" s="23"/>
      <c r="E754" s="23"/>
      <c r="F754" s="21"/>
      <c r="G754" s="21"/>
      <c r="H754" s="21"/>
      <c r="I754" s="511"/>
    </row>
    <row r="755" spans="1:9">
      <c r="A755" s="509"/>
      <c r="B755" s="510"/>
      <c r="C755" s="23"/>
      <c r="D755" s="23"/>
      <c r="E755" s="23"/>
      <c r="F755" s="21"/>
      <c r="G755" s="21"/>
      <c r="H755" s="21"/>
      <c r="I755" s="511"/>
    </row>
    <row r="756" spans="1:9">
      <c r="A756" s="509"/>
      <c r="B756" s="510"/>
      <c r="C756" s="23"/>
      <c r="D756" s="23"/>
      <c r="E756" s="23"/>
      <c r="F756" s="21"/>
      <c r="G756" s="21"/>
      <c r="H756" s="21"/>
      <c r="I756" s="511"/>
    </row>
    <row r="757" spans="1:9">
      <c r="A757" s="509"/>
      <c r="B757" s="510"/>
      <c r="C757" s="23"/>
      <c r="D757" s="23"/>
      <c r="E757" s="23"/>
      <c r="F757" s="21"/>
      <c r="G757" s="21"/>
      <c r="H757" s="21"/>
      <c r="I757" s="511"/>
    </row>
    <row r="758" spans="1:9">
      <c r="A758" s="509"/>
      <c r="B758" s="510"/>
      <c r="C758" s="23"/>
      <c r="D758" s="23"/>
      <c r="E758" s="23"/>
      <c r="F758" s="21"/>
      <c r="G758" s="21"/>
      <c r="H758" s="21"/>
      <c r="I758" s="511"/>
    </row>
    <row r="759" spans="1:9">
      <c r="A759" s="509"/>
      <c r="B759" s="510"/>
      <c r="C759" s="23"/>
      <c r="D759" s="23"/>
      <c r="E759" s="23"/>
      <c r="F759" s="21"/>
      <c r="G759" s="21"/>
      <c r="H759" s="21"/>
      <c r="I759" s="511"/>
    </row>
    <row r="760" spans="1:9">
      <c r="A760" s="509"/>
      <c r="B760" s="510"/>
      <c r="C760" s="23"/>
      <c r="D760" s="23"/>
      <c r="E760" s="23"/>
      <c r="F760" s="21"/>
      <c r="G760" s="21"/>
      <c r="H760" s="21"/>
      <c r="I760" s="511"/>
    </row>
    <row r="761" spans="1:9">
      <c r="A761" s="509"/>
      <c r="B761" s="510"/>
      <c r="C761" s="23"/>
      <c r="D761" s="23"/>
      <c r="E761" s="23"/>
      <c r="F761" s="21"/>
      <c r="G761" s="21"/>
      <c r="H761" s="21"/>
      <c r="I761" s="511"/>
    </row>
    <row r="762" spans="1:9">
      <c r="A762" s="509"/>
      <c r="B762" s="510"/>
      <c r="C762" s="23"/>
      <c r="D762" s="23"/>
      <c r="E762" s="23"/>
      <c r="F762" s="21"/>
      <c r="G762" s="21"/>
      <c r="H762" s="21"/>
      <c r="I762" s="511"/>
    </row>
    <row r="763" spans="1:9">
      <c r="A763" s="509"/>
      <c r="B763" s="510"/>
      <c r="C763" s="23"/>
      <c r="D763" s="23"/>
      <c r="E763" s="23"/>
      <c r="F763" s="21"/>
      <c r="G763" s="21"/>
      <c r="H763" s="21"/>
      <c r="I763" s="511"/>
    </row>
    <row r="764" spans="1:9">
      <c r="A764" s="509"/>
      <c r="B764" s="510"/>
      <c r="C764" s="23"/>
      <c r="D764" s="23"/>
      <c r="E764" s="23"/>
      <c r="F764" s="21"/>
      <c r="G764" s="21"/>
      <c r="H764" s="21"/>
      <c r="I764" s="511"/>
    </row>
    <row r="765" spans="1:9">
      <c r="A765" s="509"/>
      <c r="B765" s="510"/>
      <c r="C765" s="23"/>
      <c r="D765" s="23"/>
      <c r="E765" s="23"/>
      <c r="F765" s="21"/>
      <c r="G765" s="21"/>
      <c r="H765" s="21"/>
      <c r="I765" s="511"/>
    </row>
    <row r="766" spans="1:9">
      <c r="A766" s="509"/>
      <c r="B766" s="510"/>
      <c r="C766" s="23"/>
      <c r="D766" s="23"/>
      <c r="E766" s="23"/>
      <c r="F766" s="21"/>
      <c r="G766" s="21"/>
      <c r="H766" s="21"/>
      <c r="I766" s="511"/>
    </row>
    <row r="767" spans="1:9">
      <c r="A767" s="509"/>
      <c r="B767" s="510"/>
      <c r="C767" s="23"/>
      <c r="D767" s="23"/>
      <c r="E767" s="23"/>
      <c r="F767" s="21"/>
      <c r="G767" s="21"/>
      <c r="H767" s="21"/>
      <c r="I767" s="511"/>
    </row>
    <row r="768" spans="1:9">
      <c r="A768" s="509"/>
      <c r="B768" s="510"/>
      <c r="C768" s="23"/>
      <c r="D768" s="23"/>
      <c r="E768" s="23"/>
      <c r="F768" s="21"/>
      <c r="G768" s="21"/>
      <c r="H768" s="21"/>
      <c r="I768" s="511"/>
    </row>
    <row r="769" spans="1:9">
      <c r="A769" s="509"/>
      <c r="B769" s="510"/>
      <c r="C769" s="23"/>
      <c r="D769" s="23"/>
      <c r="E769" s="23"/>
      <c r="F769" s="21"/>
      <c r="G769" s="21"/>
      <c r="H769" s="21"/>
      <c r="I769" s="511"/>
    </row>
    <row r="770" spans="1:9">
      <c r="A770" s="509"/>
      <c r="B770" s="510"/>
      <c r="C770" s="23"/>
      <c r="D770" s="23"/>
      <c r="E770" s="23"/>
      <c r="F770" s="21"/>
      <c r="G770" s="21"/>
      <c r="H770" s="21"/>
      <c r="I770" s="511"/>
    </row>
    <row r="771" spans="1:9">
      <c r="A771" s="509"/>
      <c r="B771" s="510"/>
      <c r="C771" s="23"/>
      <c r="D771" s="23"/>
      <c r="E771" s="23"/>
      <c r="F771" s="21"/>
      <c r="G771" s="21"/>
      <c r="H771" s="21"/>
      <c r="I771" s="511"/>
    </row>
    <row r="772" spans="1:9">
      <c r="A772" s="509"/>
      <c r="B772" s="510"/>
      <c r="C772" s="23"/>
      <c r="D772" s="23"/>
      <c r="E772" s="23"/>
      <c r="F772" s="21"/>
      <c r="G772" s="21"/>
      <c r="H772" s="21"/>
      <c r="I772" s="511"/>
    </row>
    <row r="773" spans="1:9">
      <c r="A773" s="509"/>
      <c r="B773" s="510"/>
      <c r="C773" s="23"/>
      <c r="D773" s="23"/>
      <c r="E773" s="23"/>
      <c r="F773" s="21"/>
      <c r="G773" s="21"/>
      <c r="H773" s="21"/>
      <c r="I773" s="511"/>
    </row>
    <row r="774" spans="1:9">
      <c r="A774" s="509"/>
      <c r="B774" s="510"/>
      <c r="C774" s="23"/>
      <c r="D774" s="23"/>
      <c r="E774" s="23"/>
      <c r="F774" s="21"/>
      <c r="G774" s="21"/>
      <c r="H774" s="21"/>
      <c r="I774" s="511"/>
    </row>
    <row r="775" spans="1:9">
      <c r="A775" s="509"/>
      <c r="B775" s="510"/>
      <c r="C775" s="23"/>
      <c r="D775" s="23"/>
      <c r="E775" s="23"/>
      <c r="F775" s="21"/>
      <c r="G775" s="21"/>
      <c r="H775" s="21"/>
      <c r="I775" s="511"/>
    </row>
    <row r="776" spans="1:9">
      <c r="A776" s="509"/>
      <c r="B776" s="510"/>
      <c r="C776" s="23"/>
      <c r="D776" s="23"/>
      <c r="E776" s="23"/>
      <c r="F776" s="21"/>
      <c r="G776" s="21"/>
      <c r="H776" s="21"/>
      <c r="I776" s="511"/>
    </row>
    <row r="777" spans="1:9">
      <c r="A777" s="509"/>
      <c r="B777" s="510"/>
      <c r="C777" s="23"/>
      <c r="D777" s="23"/>
      <c r="E777" s="23"/>
      <c r="F777" s="21"/>
      <c r="G777" s="21"/>
      <c r="H777" s="21"/>
      <c r="I777" s="511"/>
    </row>
    <row r="778" spans="1:9">
      <c r="A778" s="509"/>
      <c r="B778" s="510"/>
      <c r="C778" s="23"/>
      <c r="D778" s="23"/>
      <c r="E778" s="23"/>
      <c r="F778" s="21"/>
      <c r="G778" s="21"/>
      <c r="H778" s="21"/>
      <c r="I778" s="511"/>
    </row>
    <row r="779" spans="1:9">
      <c r="A779" s="509"/>
      <c r="B779" s="510"/>
      <c r="C779" s="23"/>
      <c r="D779" s="23"/>
      <c r="E779" s="23"/>
      <c r="F779" s="21"/>
      <c r="G779" s="21"/>
      <c r="H779" s="21"/>
      <c r="I779" s="511"/>
    </row>
    <row r="780" spans="1:9">
      <c r="A780" s="509"/>
      <c r="B780" s="510"/>
      <c r="C780" s="23"/>
      <c r="D780" s="23"/>
      <c r="E780" s="23"/>
      <c r="F780" s="21"/>
      <c r="G780" s="21"/>
      <c r="H780" s="21"/>
      <c r="I780" s="511"/>
    </row>
    <row r="781" spans="1:9">
      <c r="A781" s="509"/>
      <c r="B781" s="510"/>
      <c r="C781" s="23"/>
      <c r="D781" s="23"/>
      <c r="E781" s="23"/>
      <c r="F781" s="21"/>
      <c r="G781" s="21"/>
      <c r="H781" s="21"/>
      <c r="I781" s="511"/>
    </row>
    <row r="782" spans="1:9">
      <c r="A782" s="509"/>
      <c r="B782" s="510"/>
      <c r="C782" s="23"/>
      <c r="D782" s="23"/>
      <c r="E782" s="23"/>
      <c r="F782" s="21"/>
      <c r="G782" s="21"/>
      <c r="H782" s="21"/>
      <c r="I782" s="511"/>
    </row>
    <row r="783" spans="1:9">
      <c r="A783" s="509"/>
      <c r="B783" s="510"/>
      <c r="C783" s="23"/>
      <c r="D783" s="23"/>
      <c r="E783" s="23"/>
      <c r="F783" s="21"/>
      <c r="G783" s="21"/>
      <c r="H783" s="21"/>
      <c r="I783" s="511"/>
    </row>
    <row r="784" spans="1:9">
      <c r="A784" s="509"/>
      <c r="B784" s="510"/>
      <c r="C784" s="23"/>
      <c r="D784" s="23"/>
      <c r="E784" s="23"/>
      <c r="F784" s="21"/>
      <c r="G784" s="21"/>
      <c r="H784" s="21"/>
      <c r="I784" s="511"/>
    </row>
    <row r="785" spans="1:9">
      <c r="A785" s="509"/>
      <c r="B785" s="510"/>
      <c r="C785" s="23"/>
      <c r="D785" s="23"/>
      <c r="E785" s="23"/>
      <c r="F785" s="21"/>
      <c r="G785" s="21"/>
      <c r="H785" s="21"/>
      <c r="I785" s="511"/>
    </row>
    <row r="786" spans="1:9">
      <c r="A786" s="509"/>
      <c r="B786" s="510"/>
      <c r="C786" s="23"/>
      <c r="D786" s="23"/>
      <c r="E786" s="23"/>
      <c r="F786" s="21"/>
      <c r="G786" s="21"/>
      <c r="H786" s="21"/>
      <c r="I786" s="511"/>
    </row>
    <row r="787" spans="1:9">
      <c r="A787" s="509"/>
      <c r="B787" s="510"/>
      <c r="C787" s="23"/>
      <c r="D787" s="23"/>
      <c r="E787" s="23"/>
      <c r="F787" s="21"/>
      <c r="G787" s="21"/>
      <c r="H787" s="21"/>
      <c r="I787" s="511"/>
    </row>
    <row r="788" spans="1:9">
      <c r="A788" s="509"/>
      <c r="B788" s="510"/>
      <c r="C788" s="23"/>
      <c r="D788" s="23"/>
      <c r="E788" s="23"/>
      <c r="F788" s="21"/>
      <c r="G788" s="21"/>
      <c r="H788" s="21"/>
      <c r="I788" s="511"/>
    </row>
    <row r="789" spans="1:9">
      <c r="A789" s="509"/>
      <c r="B789" s="510"/>
      <c r="C789" s="23"/>
      <c r="D789" s="23"/>
      <c r="E789" s="23"/>
      <c r="F789" s="21"/>
      <c r="G789" s="21"/>
      <c r="H789" s="21"/>
      <c r="I789" s="511"/>
    </row>
    <row r="790" spans="1:9">
      <c r="A790" s="509"/>
      <c r="B790" s="510"/>
      <c r="C790" s="23"/>
      <c r="D790" s="23"/>
      <c r="E790" s="23"/>
      <c r="F790" s="21"/>
      <c r="G790" s="21"/>
      <c r="H790" s="21"/>
      <c r="I790" s="511"/>
    </row>
    <row r="791" spans="1:9">
      <c r="A791" s="509"/>
      <c r="B791" s="510"/>
      <c r="C791" s="23"/>
      <c r="D791" s="23"/>
      <c r="E791" s="23"/>
      <c r="F791" s="21"/>
      <c r="G791" s="21"/>
      <c r="H791" s="21"/>
      <c r="I791" s="511"/>
    </row>
    <row r="792" spans="1:9">
      <c r="A792" s="509"/>
      <c r="B792" s="510"/>
      <c r="C792" s="23"/>
      <c r="D792" s="23"/>
      <c r="E792" s="23"/>
      <c r="F792" s="21"/>
      <c r="G792" s="21"/>
      <c r="H792" s="21"/>
      <c r="I792" s="511"/>
    </row>
    <row r="793" spans="1:9">
      <c r="A793" s="509"/>
      <c r="B793" s="510"/>
      <c r="C793" s="23"/>
      <c r="D793" s="23"/>
      <c r="E793" s="23"/>
      <c r="F793" s="21"/>
      <c r="G793" s="21"/>
      <c r="H793" s="21"/>
      <c r="I793" s="511"/>
    </row>
    <row r="794" spans="1:9">
      <c r="A794" s="509"/>
      <c r="B794" s="510"/>
      <c r="C794" s="23"/>
      <c r="D794" s="23"/>
      <c r="E794" s="23"/>
      <c r="F794" s="21"/>
      <c r="G794" s="21"/>
      <c r="H794" s="21"/>
      <c r="I794" s="511"/>
    </row>
    <row r="795" spans="1:9">
      <c r="A795" s="509"/>
      <c r="B795" s="510"/>
      <c r="C795" s="23"/>
      <c r="D795" s="23"/>
      <c r="E795" s="23"/>
      <c r="F795" s="21"/>
      <c r="G795" s="21"/>
      <c r="H795" s="21"/>
      <c r="I795" s="511"/>
    </row>
    <row r="796" spans="1:9">
      <c r="A796" s="509"/>
      <c r="B796" s="510"/>
      <c r="C796" s="23"/>
      <c r="D796" s="23"/>
      <c r="E796" s="23"/>
      <c r="F796" s="21"/>
      <c r="G796" s="21"/>
      <c r="H796" s="21"/>
      <c r="I796" s="511"/>
    </row>
    <row r="797" spans="1:9">
      <c r="A797" s="509"/>
      <c r="B797" s="510"/>
      <c r="C797" s="23"/>
      <c r="D797" s="23"/>
      <c r="E797" s="23"/>
      <c r="F797" s="21"/>
      <c r="G797" s="21"/>
      <c r="H797" s="21"/>
      <c r="I797" s="511"/>
    </row>
    <row r="798" spans="1:9">
      <c r="A798" s="509"/>
      <c r="B798" s="510"/>
      <c r="C798" s="23"/>
      <c r="D798" s="23"/>
      <c r="E798" s="23"/>
      <c r="F798" s="21"/>
      <c r="G798" s="21"/>
      <c r="H798" s="21"/>
      <c r="I798" s="511"/>
    </row>
    <row r="799" spans="1:9">
      <c r="A799" s="509"/>
      <c r="B799" s="510"/>
      <c r="C799" s="23"/>
      <c r="D799" s="23"/>
      <c r="E799" s="23"/>
      <c r="F799" s="21"/>
      <c r="G799" s="21"/>
      <c r="H799" s="21"/>
      <c r="I799" s="511"/>
    </row>
    <row r="800" spans="1:9">
      <c r="A800" s="509"/>
      <c r="B800" s="510"/>
      <c r="C800" s="23"/>
      <c r="D800" s="23"/>
      <c r="E800" s="23"/>
      <c r="F800" s="21"/>
      <c r="G800" s="21"/>
      <c r="H800" s="21"/>
      <c r="I800" s="511"/>
    </row>
    <row r="801" spans="1:9">
      <c r="A801" s="509"/>
      <c r="B801" s="510"/>
      <c r="C801" s="23"/>
      <c r="D801" s="23"/>
      <c r="E801" s="23"/>
      <c r="F801" s="21"/>
      <c r="G801" s="21"/>
      <c r="H801" s="21"/>
      <c r="I801" s="511"/>
    </row>
    <row r="802" spans="1:9">
      <c r="A802" s="509"/>
      <c r="B802" s="510"/>
      <c r="C802" s="23"/>
      <c r="D802" s="23"/>
      <c r="E802" s="23"/>
      <c r="F802" s="21"/>
      <c r="G802" s="21"/>
      <c r="H802" s="21"/>
      <c r="I802" s="511"/>
    </row>
    <row r="803" spans="1:9">
      <c r="A803" s="509"/>
      <c r="B803" s="510"/>
      <c r="C803" s="23"/>
      <c r="D803" s="23"/>
      <c r="E803" s="23"/>
      <c r="F803" s="21"/>
      <c r="G803" s="21"/>
      <c r="H803" s="21"/>
      <c r="I803" s="511"/>
    </row>
    <row r="804" spans="1:9">
      <c r="A804" s="509"/>
      <c r="B804" s="510"/>
      <c r="C804" s="23"/>
      <c r="D804" s="23"/>
      <c r="E804" s="23"/>
      <c r="F804" s="21"/>
      <c r="G804" s="21"/>
      <c r="H804" s="21"/>
      <c r="I804" s="511"/>
    </row>
    <row r="805" spans="1:9">
      <c r="A805" s="509"/>
      <c r="B805" s="510"/>
      <c r="C805" s="23"/>
      <c r="D805" s="23"/>
      <c r="E805" s="23"/>
      <c r="F805" s="21"/>
      <c r="G805" s="21"/>
      <c r="H805" s="21"/>
      <c r="I805" s="511"/>
    </row>
    <row r="806" spans="1:9">
      <c r="A806" s="509"/>
      <c r="B806" s="510"/>
      <c r="C806" s="23"/>
      <c r="D806" s="23"/>
      <c r="E806" s="23"/>
      <c r="F806" s="21"/>
      <c r="G806" s="21"/>
      <c r="H806" s="21"/>
      <c r="I806" s="511"/>
    </row>
    <row r="807" spans="1:9">
      <c r="A807" s="509"/>
      <c r="B807" s="510"/>
      <c r="C807" s="23"/>
      <c r="D807" s="23"/>
      <c r="E807" s="23"/>
      <c r="F807" s="21"/>
      <c r="G807" s="21"/>
      <c r="H807" s="21"/>
      <c r="I807" s="511"/>
    </row>
    <row r="808" spans="1:9">
      <c r="A808" s="509"/>
      <c r="B808" s="510"/>
      <c r="C808" s="23"/>
      <c r="D808" s="23"/>
      <c r="E808" s="23"/>
      <c r="F808" s="21"/>
      <c r="G808" s="21"/>
      <c r="H808" s="21"/>
      <c r="I808" s="511"/>
    </row>
    <row r="809" spans="1:9">
      <c r="A809" s="509"/>
      <c r="B809" s="510"/>
      <c r="C809" s="23"/>
      <c r="D809" s="23"/>
      <c r="E809" s="23"/>
      <c r="F809" s="21"/>
      <c r="G809" s="21"/>
      <c r="H809" s="21"/>
      <c r="I809" s="511"/>
    </row>
    <row r="810" spans="1:9">
      <c r="A810" s="509"/>
      <c r="B810" s="510"/>
      <c r="C810" s="23"/>
      <c r="D810" s="23"/>
      <c r="E810" s="23"/>
      <c r="F810" s="21"/>
      <c r="G810" s="21"/>
      <c r="H810" s="21"/>
      <c r="I810" s="511"/>
    </row>
    <row r="811" spans="1:9">
      <c r="A811" s="509"/>
      <c r="B811" s="510"/>
      <c r="C811" s="23"/>
      <c r="D811" s="23"/>
      <c r="E811" s="23"/>
      <c r="F811" s="21"/>
      <c r="G811" s="21"/>
      <c r="H811" s="21"/>
      <c r="I811" s="511"/>
    </row>
    <row r="812" spans="1:9">
      <c r="A812" s="509"/>
      <c r="B812" s="510"/>
      <c r="C812" s="23"/>
      <c r="D812" s="23"/>
      <c r="E812" s="23"/>
      <c r="F812" s="21"/>
      <c r="G812" s="21"/>
      <c r="H812" s="21"/>
      <c r="I812" s="511"/>
    </row>
    <row r="813" spans="1:9">
      <c r="A813" s="509"/>
      <c r="B813" s="510"/>
      <c r="C813" s="23"/>
      <c r="D813" s="23"/>
      <c r="E813" s="23"/>
      <c r="F813" s="21"/>
      <c r="G813" s="21"/>
      <c r="H813" s="21"/>
      <c r="I813" s="511"/>
    </row>
    <row r="814" spans="1:9">
      <c r="A814" s="509"/>
      <c r="B814" s="510"/>
      <c r="C814" s="23"/>
      <c r="D814" s="23"/>
      <c r="E814" s="23"/>
      <c r="F814" s="21"/>
      <c r="G814" s="21"/>
      <c r="H814" s="21"/>
      <c r="I814" s="511"/>
    </row>
    <row r="815" spans="1:9">
      <c r="A815" s="509"/>
      <c r="B815" s="510"/>
      <c r="C815" s="23"/>
      <c r="D815" s="23"/>
      <c r="E815" s="23"/>
      <c r="F815" s="21"/>
      <c r="G815" s="21"/>
      <c r="H815" s="21"/>
      <c r="I815" s="511"/>
    </row>
    <row r="816" spans="1:9">
      <c r="A816" s="509"/>
      <c r="B816" s="510"/>
      <c r="C816" s="23"/>
      <c r="D816" s="23"/>
      <c r="E816" s="23"/>
      <c r="F816" s="21"/>
      <c r="G816" s="21"/>
      <c r="H816" s="21"/>
      <c r="I816" s="511"/>
    </row>
    <row r="817" spans="1:9">
      <c r="A817" s="509"/>
      <c r="B817" s="510"/>
      <c r="C817" s="23"/>
      <c r="D817" s="23"/>
      <c r="E817" s="23"/>
      <c r="F817" s="21"/>
      <c r="G817" s="21"/>
      <c r="H817" s="21"/>
      <c r="I817" s="511"/>
    </row>
    <row r="818" spans="1:9">
      <c r="A818" s="509"/>
      <c r="B818" s="510"/>
      <c r="C818" s="23"/>
      <c r="D818" s="23"/>
      <c r="E818" s="23"/>
      <c r="F818" s="21"/>
      <c r="G818" s="21"/>
      <c r="H818" s="21"/>
      <c r="I818" s="511"/>
    </row>
    <row r="819" spans="1:9">
      <c r="A819" s="509"/>
      <c r="B819" s="510"/>
      <c r="C819" s="23"/>
      <c r="D819" s="23"/>
      <c r="E819" s="23"/>
      <c r="F819" s="21"/>
      <c r="G819" s="21"/>
      <c r="H819" s="21"/>
      <c r="I819" s="511"/>
    </row>
    <row r="820" spans="1:9">
      <c r="A820" s="509"/>
      <c r="B820" s="510"/>
      <c r="C820" s="23"/>
      <c r="D820" s="23"/>
      <c r="E820" s="23"/>
      <c r="F820" s="21"/>
      <c r="G820" s="21"/>
      <c r="H820" s="21"/>
      <c r="I820" s="511"/>
    </row>
    <row r="821" spans="1:9">
      <c r="A821" s="509"/>
      <c r="B821" s="510"/>
      <c r="C821" s="23"/>
      <c r="D821" s="23"/>
      <c r="E821" s="23"/>
      <c r="F821" s="21"/>
      <c r="G821" s="21"/>
      <c r="H821" s="21"/>
      <c r="I821" s="511"/>
    </row>
    <row r="822" spans="1:9">
      <c r="A822" s="509"/>
      <c r="B822" s="510"/>
      <c r="C822" s="23"/>
      <c r="D822" s="23"/>
      <c r="E822" s="23"/>
      <c r="F822" s="21"/>
      <c r="G822" s="21"/>
      <c r="H822" s="21"/>
      <c r="I822" s="511"/>
    </row>
    <row r="823" spans="1:9">
      <c r="A823" s="509"/>
      <c r="B823" s="510"/>
      <c r="C823" s="23"/>
      <c r="D823" s="23"/>
      <c r="E823" s="23"/>
      <c r="F823" s="21"/>
      <c r="G823" s="21"/>
      <c r="H823" s="21"/>
      <c r="I823" s="511"/>
    </row>
    <row r="824" spans="1:9">
      <c r="A824" s="509"/>
      <c r="B824" s="510"/>
      <c r="C824" s="23"/>
      <c r="D824" s="23"/>
      <c r="E824" s="23"/>
      <c r="F824" s="21"/>
      <c r="G824" s="21"/>
      <c r="H824" s="21"/>
      <c r="I824" s="511"/>
    </row>
    <row r="825" spans="1:9">
      <c r="A825" s="509"/>
      <c r="B825" s="510"/>
      <c r="C825" s="23"/>
      <c r="D825" s="23"/>
      <c r="E825" s="23"/>
      <c r="F825" s="21"/>
      <c r="G825" s="21"/>
      <c r="H825" s="21"/>
      <c r="I825" s="511"/>
    </row>
    <row r="826" spans="1:9">
      <c r="A826" s="509"/>
      <c r="B826" s="510"/>
      <c r="C826" s="23"/>
      <c r="D826" s="23"/>
      <c r="E826" s="23"/>
      <c r="F826" s="21"/>
      <c r="G826" s="21"/>
      <c r="H826" s="21"/>
      <c r="I826" s="511"/>
    </row>
    <row r="827" spans="1:9">
      <c r="A827" s="509"/>
      <c r="B827" s="510"/>
      <c r="C827" s="23"/>
      <c r="D827" s="23"/>
      <c r="E827" s="23"/>
      <c r="F827" s="21"/>
      <c r="G827" s="21"/>
      <c r="H827" s="21"/>
      <c r="I827" s="511"/>
    </row>
    <row r="828" spans="1:9">
      <c r="A828" s="509"/>
      <c r="B828" s="510"/>
      <c r="C828" s="23"/>
      <c r="D828" s="23"/>
      <c r="E828" s="23"/>
      <c r="F828" s="21"/>
      <c r="G828" s="21"/>
      <c r="H828" s="21"/>
      <c r="I828" s="511"/>
    </row>
    <row r="829" spans="1:9">
      <c r="A829" s="509"/>
      <c r="B829" s="510"/>
      <c r="C829" s="23"/>
      <c r="D829" s="23"/>
      <c r="E829" s="23"/>
      <c r="F829" s="21"/>
      <c r="G829" s="21"/>
      <c r="H829" s="21"/>
      <c r="I829" s="511"/>
    </row>
    <row r="830" spans="1:9">
      <c r="A830" s="509"/>
      <c r="B830" s="510"/>
      <c r="C830" s="23"/>
      <c r="D830" s="23"/>
      <c r="E830" s="23"/>
      <c r="F830" s="21"/>
      <c r="G830" s="21"/>
      <c r="H830" s="21"/>
      <c r="I830" s="511"/>
    </row>
    <row r="831" spans="1:9">
      <c r="A831" s="509"/>
      <c r="B831" s="510"/>
      <c r="C831" s="23"/>
      <c r="D831" s="23"/>
      <c r="E831" s="23"/>
      <c r="F831" s="21"/>
      <c r="G831" s="21"/>
      <c r="H831" s="21"/>
      <c r="I831" s="511"/>
    </row>
    <row r="832" spans="1:9">
      <c r="A832" s="509"/>
      <c r="B832" s="510"/>
      <c r="C832" s="23"/>
      <c r="D832" s="23"/>
      <c r="E832" s="23"/>
      <c r="F832" s="21"/>
      <c r="G832" s="21"/>
      <c r="H832" s="21"/>
      <c r="I832" s="511"/>
    </row>
    <row r="833" spans="1:9">
      <c r="A833" s="509"/>
      <c r="B833" s="510"/>
      <c r="C833" s="23"/>
      <c r="D833" s="23"/>
      <c r="E833" s="23"/>
      <c r="F833" s="21"/>
      <c r="G833" s="21"/>
      <c r="H833" s="21"/>
      <c r="I833" s="511"/>
    </row>
    <row r="834" spans="1:9">
      <c r="A834" s="509"/>
      <c r="B834" s="510"/>
      <c r="C834" s="23"/>
      <c r="D834" s="23"/>
      <c r="E834" s="23"/>
      <c r="F834" s="21"/>
      <c r="G834" s="21"/>
      <c r="H834" s="21"/>
      <c r="I834" s="511"/>
    </row>
    <row r="835" spans="1:9">
      <c r="A835" s="509"/>
      <c r="B835" s="510"/>
      <c r="C835" s="23"/>
      <c r="D835" s="23"/>
      <c r="E835" s="23"/>
      <c r="F835" s="21"/>
      <c r="G835" s="21"/>
      <c r="H835" s="21"/>
      <c r="I835" s="511"/>
    </row>
    <row r="836" spans="1:9">
      <c r="A836" s="509"/>
      <c r="B836" s="510"/>
      <c r="C836" s="23"/>
      <c r="D836" s="23"/>
      <c r="E836" s="23"/>
      <c r="F836" s="21"/>
      <c r="G836" s="21"/>
      <c r="H836" s="21"/>
      <c r="I836" s="511"/>
    </row>
    <row r="837" spans="1:9">
      <c r="A837" s="509"/>
      <c r="B837" s="510"/>
      <c r="C837" s="23"/>
      <c r="D837" s="23"/>
      <c r="E837" s="23"/>
      <c r="F837" s="21"/>
      <c r="G837" s="21"/>
      <c r="H837" s="21"/>
      <c r="I837" s="511"/>
    </row>
    <row r="838" spans="1:9">
      <c r="A838" s="509"/>
      <c r="B838" s="510"/>
      <c r="C838" s="23"/>
      <c r="D838" s="23"/>
      <c r="E838" s="23"/>
      <c r="F838" s="21"/>
      <c r="G838" s="21"/>
      <c r="H838" s="21"/>
      <c r="I838" s="511"/>
    </row>
    <row r="839" spans="1:9">
      <c r="A839" s="509"/>
      <c r="B839" s="510"/>
      <c r="C839" s="23"/>
      <c r="D839" s="23"/>
      <c r="E839" s="23"/>
      <c r="F839" s="21"/>
      <c r="G839" s="21"/>
      <c r="H839" s="21"/>
      <c r="I839" s="511"/>
    </row>
    <row r="840" spans="1:9">
      <c r="A840" s="509"/>
      <c r="B840" s="510"/>
      <c r="C840" s="23"/>
      <c r="D840" s="23"/>
      <c r="E840" s="23"/>
      <c r="F840" s="21"/>
      <c r="G840" s="21"/>
      <c r="H840" s="21"/>
      <c r="I840" s="511"/>
    </row>
    <row r="841" spans="1:9">
      <c r="A841" s="509"/>
      <c r="B841" s="510"/>
      <c r="C841" s="23"/>
      <c r="D841" s="23"/>
      <c r="E841" s="23"/>
      <c r="F841" s="21"/>
      <c r="G841" s="21"/>
      <c r="H841" s="21"/>
      <c r="I841" s="511"/>
    </row>
    <row r="842" spans="1:9">
      <c r="A842" s="509"/>
      <c r="B842" s="510"/>
      <c r="C842" s="23"/>
      <c r="D842" s="23"/>
      <c r="E842" s="23"/>
      <c r="F842" s="21"/>
      <c r="G842" s="21"/>
      <c r="H842" s="21"/>
      <c r="I842" s="511"/>
    </row>
    <row r="843" spans="1:9">
      <c r="A843" s="509"/>
      <c r="B843" s="510"/>
      <c r="C843" s="23"/>
      <c r="D843" s="23"/>
      <c r="E843" s="23"/>
      <c r="F843" s="21"/>
      <c r="G843" s="21"/>
      <c r="H843" s="21"/>
      <c r="I843" s="511"/>
    </row>
    <row r="844" spans="1:9">
      <c r="A844" s="509"/>
      <c r="B844" s="510"/>
      <c r="C844" s="23"/>
      <c r="D844" s="23"/>
      <c r="E844" s="23"/>
      <c r="F844" s="21"/>
      <c r="G844" s="21"/>
      <c r="H844" s="21"/>
      <c r="I844" s="511"/>
    </row>
    <row r="845" spans="1:9">
      <c r="A845" s="509"/>
      <c r="B845" s="510"/>
      <c r="C845" s="23"/>
      <c r="D845" s="23"/>
      <c r="E845" s="23"/>
      <c r="F845" s="21"/>
      <c r="G845" s="21"/>
      <c r="H845" s="21"/>
      <c r="I845" s="511"/>
    </row>
    <row r="846" spans="1:9">
      <c r="A846" s="509"/>
      <c r="B846" s="510"/>
      <c r="C846" s="23"/>
      <c r="D846" s="23"/>
      <c r="E846" s="23"/>
      <c r="F846" s="21"/>
      <c r="G846" s="21"/>
      <c r="H846" s="21"/>
      <c r="I846" s="511"/>
    </row>
    <row r="847" spans="1:9">
      <c r="A847" s="509"/>
      <c r="B847" s="510"/>
      <c r="C847" s="23"/>
      <c r="D847" s="23"/>
      <c r="E847" s="23"/>
      <c r="F847" s="21"/>
      <c r="G847" s="21"/>
      <c r="H847" s="21"/>
      <c r="I847" s="511"/>
    </row>
    <row r="848" spans="1:9">
      <c r="A848" s="509"/>
      <c r="B848" s="510"/>
      <c r="C848" s="23"/>
      <c r="D848" s="23"/>
      <c r="E848" s="23"/>
      <c r="F848" s="21"/>
      <c r="G848" s="21"/>
      <c r="H848" s="21"/>
      <c r="I848" s="511"/>
    </row>
    <row r="849" spans="1:9">
      <c r="A849" s="509"/>
      <c r="B849" s="510"/>
      <c r="C849" s="23"/>
      <c r="D849" s="23"/>
      <c r="E849" s="23"/>
      <c r="F849" s="21"/>
      <c r="G849" s="21"/>
      <c r="H849" s="21"/>
      <c r="I849" s="511"/>
    </row>
    <row r="850" spans="1:9">
      <c r="A850" s="509"/>
      <c r="B850" s="510"/>
      <c r="C850" s="23"/>
      <c r="D850" s="23"/>
      <c r="E850" s="23"/>
      <c r="F850" s="21"/>
      <c r="G850" s="21"/>
      <c r="H850" s="21"/>
      <c r="I850" s="511"/>
    </row>
    <row r="851" spans="1:9">
      <c r="A851" s="509"/>
      <c r="B851" s="510"/>
      <c r="C851" s="23"/>
      <c r="D851" s="23"/>
      <c r="E851" s="23"/>
      <c r="F851" s="21"/>
      <c r="G851" s="21"/>
      <c r="H851" s="21"/>
      <c r="I851" s="511"/>
    </row>
    <row r="852" spans="1:9">
      <c r="A852" s="509"/>
      <c r="B852" s="510"/>
      <c r="C852" s="23"/>
      <c r="D852" s="23"/>
      <c r="E852" s="23"/>
      <c r="F852" s="21"/>
      <c r="G852" s="21"/>
      <c r="H852" s="21"/>
      <c r="I852" s="511"/>
    </row>
    <row r="853" spans="1:9">
      <c r="A853" s="509"/>
      <c r="B853" s="510"/>
      <c r="C853" s="23"/>
      <c r="D853" s="23"/>
      <c r="E853" s="23"/>
      <c r="F853" s="21"/>
      <c r="G853" s="21"/>
      <c r="H853" s="21"/>
      <c r="I853" s="511"/>
    </row>
    <row r="854" spans="1:9">
      <c r="A854" s="509"/>
      <c r="B854" s="510"/>
      <c r="C854" s="23"/>
      <c r="D854" s="23"/>
      <c r="E854" s="23"/>
      <c r="F854" s="21"/>
      <c r="G854" s="21"/>
      <c r="H854" s="21"/>
      <c r="I854" s="511"/>
    </row>
    <row r="855" spans="1:9">
      <c r="A855" s="509"/>
      <c r="B855" s="510"/>
      <c r="C855" s="23"/>
      <c r="D855" s="23"/>
      <c r="E855" s="23"/>
      <c r="F855" s="21"/>
      <c r="G855" s="21"/>
      <c r="H855" s="21"/>
      <c r="I855" s="511"/>
    </row>
    <row r="856" spans="1:9">
      <c r="A856" s="509"/>
      <c r="B856" s="510"/>
      <c r="C856" s="23"/>
      <c r="D856" s="23"/>
      <c r="E856" s="23"/>
      <c r="F856" s="21"/>
      <c r="G856" s="21"/>
      <c r="H856" s="21"/>
      <c r="I856" s="511"/>
    </row>
    <row r="857" spans="1:9">
      <c r="A857" s="509"/>
      <c r="B857" s="510"/>
      <c r="C857" s="23"/>
      <c r="D857" s="23"/>
      <c r="E857" s="23"/>
      <c r="F857" s="21"/>
      <c r="G857" s="21"/>
      <c r="H857" s="21"/>
      <c r="I857" s="511"/>
    </row>
    <row r="858" spans="1:9">
      <c r="A858" s="509"/>
      <c r="B858" s="510"/>
      <c r="C858" s="23"/>
      <c r="D858" s="23"/>
      <c r="E858" s="23"/>
      <c r="F858" s="21"/>
      <c r="G858" s="21"/>
      <c r="H858" s="21"/>
      <c r="I858" s="511"/>
    </row>
    <row r="859" spans="1:9">
      <c r="A859" s="509"/>
      <c r="B859" s="510"/>
      <c r="C859" s="23"/>
      <c r="D859" s="23"/>
      <c r="E859" s="23"/>
      <c r="F859" s="21"/>
      <c r="G859" s="21"/>
      <c r="H859" s="21"/>
      <c r="I859" s="511"/>
    </row>
    <row r="860" spans="1:9">
      <c r="A860" s="509"/>
      <c r="B860" s="510"/>
      <c r="C860" s="23"/>
      <c r="D860" s="23"/>
      <c r="E860" s="23"/>
      <c r="F860" s="21"/>
      <c r="G860" s="21"/>
      <c r="H860" s="21"/>
      <c r="I860" s="511"/>
    </row>
    <row r="861" spans="1:9">
      <c r="A861" s="509"/>
      <c r="B861" s="510"/>
      <c r="C861" s="23"/>
      <c r="D861" s="23"/>
      <c r="E861" s="23"/>
      <c r="F861" s="21"/>
      <c r="G861" s="21"/>
      <c r="H861" s="21"/>
      <c r="I861" s="511"/>
    </row>
    <row r="862" spans="1:9">
      <c r="A862" s="509"/>
      <c r="B862" s="510"/>
      <c r="C862" s="23"/>
      <c r="D862" s="23"/>
      <c r="E862" s="23"/>
      <c r="F862" s="21"/>
      <c r="G862" s="21"/>
      <c r="H862" s="21"/>
      <c r="I862" s="511"/>
    </row>
    <row r="863" spans="1:9">
      <c r="A863" s="509"/>
      <c r="B863" s="510"/>
      <c r="C863" s="23"/>
      <c r="D863" s="23"/>
      <c r="E863" s="23"/>
      <c r="F863" s="21"/>
      <c r="G863" s="21"/>
      <c r="H863" s="21"/>
      <c r="I863" s="511"/>
    </row>
    <row r="864" spans="1:9">
      <c r="A864" s="509"/>
      <c r="B864" s="510"/>
      <c r="C864" s="23"/>
      <c r="D864" s="23"/>
      <c r="E864" s="23"/>
      <c r="F864" s="21"/>
      <c r="G864" s="21"/>
      <c r="H864" s="21"/>
      <c r="I864" s="511"/>
    </row>
    <row r="865" spans="1:9">
      <c r="A865" s="509"/>
      <c r="B865" s="510"/>
      <c r="C865" s="23"/>
      <c r="D865" s="23"/>
      <c r="E865" s="23"/>
      <c r="F865" s="21"/>
      <c r="G865" s="21"/>
      <c r="H865" s="21"/>
      <c r="I865" s="511"/>
    </row>
    <row r="866" spans="1:9">
      <c r="A866" s="509"/>
      <c r="B866" s="510"/>
      <c r="C866" s="23"/>
      <c r="D866" s="23"/>
      <c r="E866" s="23"/>
      <c r="F866" s="21"/>
      <c r="G866" s="21"/>
      <c r="H866" s="21"/>
      <c r="I866" s="511"/>
    </row>
    <row r="867" spans="1:9">
      <c r="A867" s="509"/>
      <c r="B867" s="510"/>
      <c r="C867" s="23"/>
      <c r="D867" s="23"/>
      <c r="E867" s="23"/>
      <c r="F867" s="21"/>
      <c r="G867" s="21"/>
      <c r="H867" s="21"/>
      <c r="I867" s="511"/>
    </row>
    <row r="868" spans="1:9">
      <c r="A868" s="509"/>
      <c r="B868" s="510"/>
      <c r="C868" s="23"/>
      <c r="D868" s="23"/>
      <c r="E868" s="23"/>
      <c r="F868" s="21"/>
      <c r="G868" s="21"/>
      <c r="H868" s="21"/>
      <c r="I868" s="511"/>
    </row>
    <row r="869" spans="1:9">
      <c r="A869" s="509"/>
      <c r="B869" s="510"/>
      <c r="C869" s="23"/>
      <c r="D869" s="23"/>
      <c r="E869" s="23"/>
      <c r="F869" s="21"/>
      <c r="G869" s="21"/>
      <c r="H869" s="21"/>
      <c r="I869" s="511"/>
    </row>
    <row r="870" spans="1:9">
      <c r="A870" s="509"/>
      <c r="B870" s="510"/>
      <c r="C870" s="23"/>
      <c r="D870" s="23"/>
      <c r="E870" s="23"/>
      <c r="F870" s="21"/>
      <c r="G870" s="21"/>
      <c r="H870" s="21"/>
      <c r="I870" s="511"/>
    </row>
    <row r="871" spans="1:9">
      <c r="A871" s="509"/>
      <c r="B871" s="510"/>
      <c r="C871" s="23"/>
      <c r="D871" s="23"/>
      <c r="E871" s="23"/>
      <c r="F871" s="21"/>
      <c r="G871" s="21"/>
      <c r="H871" s="21"/>
      <c r="I871" s="511"/>
    </row>
    <row r="872" spans="1:9">
      <c r="A872" s="509"/>
      <c r="B872" s="510"/>
      <c r="C872" s="23"/>
      <c r="D872" s="23"/>
      <c r="E872" s="23"/>
      <c r="F872" s="21"/>
      <c r="G872" s="21"/>
      <c r="H872" s="21"/>
      <c r="I872" s="511"/>
    </row>
    <row r="873" spans="1:9">
      <c r="A873" s="509"/>
      <c r="B873" s="510"/>
      <c r="C873" s="23"/>
      <c r="D873" s="23"/>
      <c r="E873" s="23"/>
      <c r="F873" s="21"/>
      <c r="G873" s="21"/>
      <c r="H873" s="21"/>
      <c r="I873" s="511"/>
    </row>
    <row r="874" spans="1:9">
      <c r="A874" s="509"/>
      <c r="B874" s="510"/>
      <c r="C874" s="23"/>
      <c r="D874" s="23"/>
      <c r="E874" s="23"/>
      <c r="F874" s="21"/>
      <c r="G874" s="21"/>
      <c r="H874" s="21"/>
      <c r="I874" s="511"/>
    </row>
    <row r="875" spans="1:9">
      <c r="A875" s="509"/>
      <c r="B875" s="510"/>
      <c r="C875" s="23"/>
      <c r="D875" s="23"/>
      <c r="E875" s="23"/>
      <c r="F875" s="21"/>
      <c r="G875" s="21"/>
      <c r="H875" s="21"/>
      <c r="I875" s="511"/>
    </row>
    <row r="876" spans="1:9">
      <c r="A876" s="509"/>
      <c r="B876" s="510"/>
      <c r="C876" s="23"/>
      <c r="D876" s="23"/>
      <c r="E876" s="23"/>
      <c r="F876" s="21"/>
      <c r="G876" s="21"/>
      <c r="H876" s="21"/>
      <c r="I876" s="511"/>
    </row>
    <row r="877" spans="1:9">
      <c r="A877" s="509"/>
      <c r="B877" s="510"/>
      <c r="C877" s="23"/>
      <c r="D877" s="23"/>
      <c r="E877" s="23"/>
      <c r="F877" s="21"/>
      <c r="G877" s="21"/>
      <c r="H877" s="21"/>
      <c r="I877" s="511"/>
    </row>
    <row r="878" spans="1:9">
      <c r="A878" s="509"/>
      <c r="B878" s="510"/>
      <c r="C878" s="23"/>
      <c r="D878" s="23"/>
      <c r="E878" s="23"/>
      <c r="F878" s="21"/>
      <c r="G878" s="21"/>
      <c r="H878" s="21"/>
      <c r="I878" s="511"/>
    </row>
    <row r="879" spans="1:9">
      <c r="A879" s="509"/>
      <c r="B879" s="510"/>
      <c r="C879" s="23"/>
      <c r="D879" s="23"/>
      <c r="E879" s="23"/>
      <c r="F879" s="21"/>
      <c r="G879" s="21"/>
      <c r="H879" s="21"/>
      <c r="I879" s="511"/>
    </row>
    <row r="880" spans="1:9">
      <c r="A880" s="509"/>
      <c r="B880" s="510"/>
      <c r="C880" s="23"/>
      <c r="D880" s="23"/>
      <c r="E880" s="23"/>
      <c r="F880" s="21"/>
      <c r="G880" s="21"/>
      <c r="H880" s="21"/>
      <c r="I880" s="511"/>
    </row>
    <row r="881" spans="1:9">
      <c r="A881" s="509"/>
      <c r="B881" s="510"/>
      <c r="C881" s="23"/>
      <c r="D881" s="23"/>
      <c r="E881" s="23"/>
      <c r="F881" s="21"/>
      <c r="G881" s="21"/>
      <c r="H881" s="21"/>
      <c r="I881" s="511"/>
    </row>
    <row r="882" spans="1:9">
      <c r="A882" s="509"/>
      <c r="B882" s="510"/>
      <c r="C882" s="23"/>
      <c r="D882" s="23"/>
      <c r="E882" s="23"/>
      <c r="F882" s="21"/>
      <c r="G882" s="21"/>
      <c r="H882" s="21"/>
      <c r="I882" s="511"/>
    </row>
    <row r="883" spans="1:9">
      <c r="A883" s="509"/>
      <c r="B883" s="510"/>
      <c r="C883" s="23"/>
      <c r="D883" s="23"/>
      <c r="E883" s="23"/>
      <c r="F883" s="21"/>
      <c r="G883" s="21"/>
      <c r="H883" s="21"/>
      <c r="I883" s="511"/>
    </row>
    <row r="884" spans="1:9">
      <c r="A884" s="509"/>
      <c r="B884" s="510"/>
      <c r="C884" s="23"/>
      <c r="D884" s="23"/>
      <c r="E884" s="23"/>
      <c r="F884" s="21"/>
      <c r="G884" s="21"/>
      <c r="H884" s="21"/>
      <c r="I884" s="511"/>
    </row>
    <row r="885" spans="1:9">
      <c r="A885" s="509"/>
      <c r="B885" s="510"/>
      <c r="C885" s="23"/>
      <c r="D885" s="23"/>
      <c r="E885" s="23"/>
      <c r="F885" s="21"/>
      <c r="G885" s="21"/>
      <c r="H885" s="21"/>
      <c r="I885" s="511"/>
    </row>
    <row r="886" spans="1:9">
      <c r="A886" s="509"/>
      <c r="B886" s="510"/>
      <c r="C886" s="23"/>
      <c r="D886" s="23"/>
      <c r="E886" s="23"/>
      <c r="F886" s="21"/>
      <c r="G886" s="21"/>
      <c r="H886" s="21"/>
      <c r="I886" s="511"/>
    </row>
    <row r="887" spans="1:9">
      <c r="A887" s="509"/>
      <c r="B887" s="510"/>
      <c r="C887" s="23"/>
      <c r="D887" s="23"/>
      <c r="E887" s="23"/>
      <c r="F887" s="21"/>
      <c r="G887" s="21"/>
      <c r="H887" s="21"/>
      <c r="I887" s="511"/>
    </row>
    <row r="888" spans="1:9">
      <c r="A888" s="509"/>
      <c r="B888" s="510"/>
      <c r="C888" s="23"/>
      <c r="D888" s="23"/>
      <c r="E888" s="23"/>
      <c r="F888" s="21"/>
      <c r="G888" s="21"/>
      <c r="H888" s="21"/>
      <c r="I888" s="511"/>
    </row>
    <row r="889" spans="1:9">
      <c r="A889" s="509"/>
      <c r="B889" s="510"/>
      <c r="C889" s="23"/>
      <c r="D889" s="23"/>
      <c r="E889" s="23"/>
      <c r="F889" s="21"/>
      <c r="G889" s="21"/>
      <c r="H889" s="21"/>
      <c r="I889" s="511"/>
    </row>
    <row r="890" spans="1:9">
      <c r="A890" s="509"/>
      <c r="B890" s="510"/>
      <c r="C890" s="23"/>
      <c r="D890" s="23"/>
      <c r="E890" s="23"/>
      <c r="F890" s="21"/>
      <c r="G890" s="21"/>
      <c r="H890" s="21"/>
      <c r="I890" s="511"/>
    </row>
    <row r="891" spans="1:9">
      <c r="A891" s="509"/>
      <c r="B891" s="510"/>
      <c r="C891" s="23"/>
      <c r="D891" s="23"/>
      <c r="E891" s="23"/>
      <c r="F891" s="21"/>
      <c r="G891" s="21"/>
      <c r="H891" s="21"/>
      <c r="I891" s="511"/>
    </row>
    <row r="892" spans="1:9">
      <c r="A892" s="509"/>
      <c r="B892" s="510"/>
      <c r="C892" s="23"/>
      <c r="D892" s="23"/>
      <c r="E892" s="23"/>
      <c r="F892" s="21"/>
      <c r="G892" s="21"/>
      <c r="H892" s="21"/>
      <c r="I892" s="511"/>
    </row>
    <row r="893" spans="1:9">
      <c r="A893" s="509"/>
      <c r="B893" s="510"/>
      <c r="C893" s="23"/>
      <c r="D893" s="23"/>
      <c r="E893" s="23"/>
      <c r="F893" s="21"/>
      <c r="G893" s="21"/>
      <c r="H893" s="21"/>
      <c r="I893" s="511"/>
    </row>
    <row r="894" spans="1:9">
      <c r="A894" s="509"/>
      <c r="B894" s="510"/>
      <c r="C894" s="23"/>
      <c r="D894" s="23"/>
      <c r="E894" s="23"/>
      <c r="F894" s="21"/>
      <c r="G894" s="21"/>
      <c r="H894" s="21"/>
      <c r="I894" s="511"/>
    </row>
    <row r="895" spans="1:9">
      <c r="A895" s="509"/>
      <c r="B895" s="510"/>
      <c r="C895" s="23"/>
      <c r="D895" s="23"/>
      <c r="E895" s="23"/>
      <c r="F895" s="21"/>
      <c r="G895" s="21"/>
      <c r="H895" s="21"/>
      <c r="I895" s="511"/>
    </row>
    <row r="896" spans="1:9">
      <c r="A896" s="509"/>
      <c r="B896" s="510"/>
      <c r="C896" s="23"/>
      <c r="D896" s="23"/>
      <c r="E896" s="23"/>
      <c r="F896" s="21"/>
      <c r="G896" s="21"/>
      <c r="H896" s="21"/>
      <c r="I896" s="511"/>
    </row>
    <row r="897" spans="1:9">
      <c r="A897" s="509"/>
      <c r="B897" s="510"/>
      <c r="C897" s="23"/>
      <c r="D897" s="23"/>
      <c r="E897" s="23"/>
      <c r="F897" s="21"/>
      <c r="G897" s="21"/>
      <c r="H897" s="21"/>
      <c r="I897" s="511"/>
    </row>
    <row r="898" spans="1:9">
      <c r="A898" s="509"/>
      <c r="B898" s="510"/>
      <c r="C898" s="23"/>
      <c r="D898" s="23"/>
      <c r="E898" s="23"/>
      <c r="F898" s="21"/>
      <c r="G898" s="21"/>
      <c r="H898" s="21"/>
      <c r="I898" s="511"/>
    </row>
    <row r="899" spans="1:9">
      <c r="A899" s="509"/>
      <c r="B899" s="510"/>
      <c r="C899" s="23"/>
      <c r="D899" s="23"/>
      <c r="E899" s="23"/>
      <c r="F899" s="21"/>
      <c r="G899" s="21"/>
      <c r="H899" s="21"/>
      <c r="I899" s="511"/>
    </row>
    <row r="900" spans="1:9">
      <c r="A900" s="509"/>
      <c r="B900" s="510"/>
      <c r="C900" s="23"/>
      <c r="D900" s="23"/>
      <c r="E900" s="23"/>
      <c r="F900" s="21"/>
      <c r="G900" s="21"/>
      <c r="H900" s="21"/>
      <c r="I900" s="511"/>
    </row>
    <row r="901" spans="1:9">
      <c r="A901" s="509"/>
      <c r="B901" s="510"/>
      <c r="C901" s="23"/>
      <c r="D901" s="23"/>
      <c r="E901" s="23"/>
      <c r="F901" s="21"/>
      <c r="G901" s="21"/>
      <c r="H901" s="21"/>
      <c r="I901" s="511"/>
    </row>
    <row r="902" spans="1:9">
      <c r="A902" s="509"/>
      <c r="B902" s="510"/>
      <c r="C902" s="23"/>
      <c r="D902" s="23"/>
      <c r="E902" s="23"/>
      <c r="F902" s="21"/>
      <c r="G902" s="21"/>
      <c r="H902" s="21"/>
      <c r="I902" s="511"/>
    </row>
    <row r="903" spans="1:9">
      <c r="A903" s="509"/>
      <c r="B903" s="510"/>
      <c r="C903" s="23"/>
      <c r="D903" s="23"/>
      <c r="E903" s="23"/>
      <c r="F903" s="21"/>
      <c r="G903" s="21"/>
      <c r="H903" s="21"/>
      <c r="I903" s="511"/>
    </row>
    <row r="904" spans="1:9">
      <c r="A904" s="509"/>
      <c r="B904" s="510"/>
      <c r="C904" s="23"/>
      <c r="D904" s="23"/>
      <c r="E904" s="23"/>
      <c r="F904" s="21"/>
      <c r="G904" s="21"/>
      <c r="H904" s="21"/>
      <c r="I904" s="511"/>
    </row>
    <row r="905" spans="1:9">
      <c r="A905" s="509"/>
      <c r="B905" s="510"/>
      <c r="C905" s="23"/>
      <c r="D905" s="23"/>
      <c r="E905" s="23"/>
      <c r="F905" s="21"/>
      <c r="G905" s="21"/>
      <c r="H905" s="21"/>
      <c r="I905" s="511"/>
    </row>
    <row r="906" spans="1:9">
      <c r="A906" s="509"/>
      <c r="B906" s="510"/>
      <c r="C906" s="23"/>
      <c r="D906" s="23"/>
      <c r="E906" s="23"/>
      <c r="F906" s="21"/>
      <c r="G906" s="21"/>
      <c r="H906" s="21"/>
      <c r="I906" s="511"/>
    </row>
    <row r="907" spans="1:9">
      <c r="A907" s="509"/>
      <c r="B907" s="510"/>
      <c r="C907" s="23"/>
      <c r="D907" s="23"/>
      <c r="E907" s="23"/>
      <c r="F907" s="21"/>
      <c r="G907" s="21"/>
      <c r="H907" s="21"/>
      <c r="I907" s="511"/>
    </row>
    <row r="908" spans="1:9">
      <c r="A908" s="509"/>
      <c r="B908" s="510"/>
      <c r="C908" s="23"/>
      <c r="D908" s="23"/>
      <c r="E908" s="23"/>
      <c r="F908" s="21"/>
      <c r="G908" s="21"/>
      <c r="H908" s="21"/>
      <c r="I908" s="511"/>
    </row>
    <row r="909" spans="1:9">
      <c r="A909" s="509"/>
      <c r="B909" s="510"/>
      <c r="C909" s="23"/>
      <c r="D909" s="23"/>
      <c r="E909" s="23"/>
      <c r="F909" s="21"/>
      <c r="G909" s="21"/>
      <c r="H909" s="21"/>
      <c r="I909" s="511"/>
    </row>
    <row r="910" spans="1:9">
      <c r="A910" s="509"/>
      <c r="B910" s="510"/>
      <c r="C910" s="23"/>
      <c r="D910" s="23"/>
      <c r="E910" s="23"/>
      <c r="F910" s="21"/>
      <c r="G910" s="21"/>
      <c r="H910" s="21"/>
      <c r="I910" s="511"/>
    </row>
    <row r="911" spans="1:9">
      <c r="A911" s="509"/>
      <c r="B911" s="510"/>
      <c r="C911" s="23"/>
      <c r="D911" s="23"/>
      <c r="E911" s="23"/>
      <c r="F911" s="21"/>
      <c r="G911" s="21"/>
      <c r="H911" s="21"/>
      <c r="I911" s="511"/>
    </row>
    <row r="912" spans="1:9">
      <c r="A912" s="509"/>
      <c r="B912" s="510"/>
      <c r="C912" s="23"/>
      <c r="D912" s="23"/>
      <c r="E912" s="23"/>
      <c r="F912" s="21"/>
      <c r="G912" s="21"/>
      <c r="H912" s="21"/>
      <c r="I912" s="511"/>
    </row>
    <row r="913" spans="1:9">
      <c r="A913" s="509"/>
      <c r="B913" s="510"/>
      <c r="C913" s="23"/>
      <c r="D913" s="23"/>
      <c r="E913" s="23"/>
      <c r="F913" s="21"/>
      <c r="G913" s="21"/>
      <c r="H913" s="21"/>
      <c r="I913" s="511"/>
    </row>
    <row r="914" spans="1:9">
      <c r="A914" s="509"/>
      <c r="B914" s="510"/>
      <c r="C914" s="23"/>
      <c r="D914" s="23"/>
      <c r="E914" s="23"/>
      <c r="F914" s="21"/>
      <c r="G914" s="21"/>
      <c r="H914" s="21"/>
      <c r="I914" s="511"/>
    </row>
    <row r="915" spans="1:9">
      <c r="A915" s="509"/>
      <c r="B915" s="510"/>
      <c r="C915" s="23"/>
      <c r="D915" s="23"/>
      <c r="E915" s="23"/>
      <c r="F915" s="21"/>
      <c r="G915" s="21"/>
      <c r="H915" s="21"/>
      <c r="I915" s="511"/>
    </row>
    <row r="916" spans="1:9">
      <c r="A916" s="509"/>
      <c r="B916" s="510"/>
      <c r="C916" s="23"/>
      <c r="D916" s="23"/>
      <c r="E916" s="23"/>
      <c r="F916" s="21"/>
      <c r="G916" s="21"/>
      <c r="H916" s="21"/>
      <c r="I916" s="511"/>
    </row>
    <row r="917" spans="1:9">
      <c r="A917" s="509"/>
      <c r="B917" s="510"/>
      <c r="C917" s="23"/>
      <c r="D917" s="23"/>
      <c r="E917" s="23"/>
      <c r="F917" s="21"/>
      <c r="G917" s="21"/>
      <c r="H917" s="21"/>
      <c r="I917" s="511"/>
    </row>
    <row r="918" spans="1:9">
      <c r="A918" s="509"/>
      <c r="B918" s="510"/>
      <c r="C918" s="23"/>
      <c r="D918" s="23"/>
      <c r="E918" s="23"/>
      <c r="F918" s="21"/>
      <c r="G918" s="21"/>
      <c r="H918" s="21"/>
      <c r="I918" s="511"/>
    </row>
    <row r="919" spans="1:9">
      <c r="A919" s="509"/>
      <c r="B919" s="510"/>
      <c r="C919" s="23"/>
      <c r="D919" s="23"/>
      <c r="E919" s="23"/>
      <c r="F919" s="21"/>
      <c r="G919" s="21"/>
      <c r="H919" s="21"/>
      <c r="I919" s="511"/>
    </row>
    <row r="920" spans="1:9">
      <c r="A920" s="509"/>
      <c r="B920" s="510"/>
      <c r="C920" s="23"/>
      <c r="D920" s="23"/>
      <c r="E920" s="23"/>
      <c r="F920" s="21"/>
      <c r="G920" s="21"/>
      <c r="H920" s="21"/>
      <c r="I920" s="511"/>
    </row>
    <row r="921" spans="1:9">
      <c r="A921" s="509"/>
      <c r="B921" s="510"/>
      <c r="C921" s="23"/>
      <c r="D921" s="23"/>
      <c r="E921" s="23"/>
      <c r="F921" s="21"/>
      <c r="G921" s="21"/>
      <c r="H921" s="21"/>
      <c r="I921" s="511"/>
    </row>
    <row r="922" spans="1:9">
      <c r="A922" s="509"/>
      <c r="B922" s="510"/>
      <c r="C922" s="23"/>
      <c r="D922" s="23"/>
      <c r="E922" s="23"/>
      <c r="F922" s="21"/>
      <c r="G922" s="21"/>
      <c r="H922" s="21"/>
      <c r="I922" s="511"/>
    </row>
    <row r="923" spans="1:9">
      <c r="A923" s="509"/>
      <c r="B923" s="510"/>
      <c r="C923" s="23"/>
      <c r="D923" s="23"/>
      <c r="E923" s="23"/>
      <c r="F923" s="21"/>
      <c r="G923" s="21"/>
      <c r="H923" s="21"/>
      <c r="I923" s="511"/>
    </row>
    <row r="924" spans="1:9">
      <c r="A924" s="509"/>
      <c r="B924" s="510"/>
      <c r="C924" s="23"/>
      <c r="D924" s="23"/>
      <c r="E924" s="23"/>
      <c r="F924" s="21"/>
      <c r="G924" s="21"/>
      <c r="H924" s="21"/>
      <c r="I924" s="511"/>
    </row>
    <row r="925" spans="1:9">
      <c r="A925" s="509"/>
      <c r="B925" s="510"/>
      <c r="C925" s="23"/>
      <c r="D925" s="23"/>
      <c r="E925" s="23"/>
      <c r="F925" s="21"/>
      <c r="G925" s="21"/>
      <c r="H925" s="21"/>
      <c r="I925" s="511"/>
    </row>
    <row r="926" spans="1:9">
      <c r="A926" s="509"/>
      <c r="B926" s="510"/>
      <c r="C926" s="23"/>
      <c r="D926" s="23"/>
      <c r="E926" s="23"/>
      <c r="F926" s="21"/>
      <c r="G926" s="21"/>
      <c r="H926" s="21"/>
      <c r="I926" s="511"/>
    </row>
    <row r="927" spans="1:9">
      <c r="A927" s="509"/>
      <c r="B927" s="510"/>
      <c r="C927" s="23"/>
      <c r="D927" s="23"/>
      <c r="E927" s="23"/>
      <c r="F927" s="21"/>
      <c r="G927" s="21"/>
      <c r="H927" s="21"/>
      <c r="I927" s="511"/>
    </row>
    <row r="928" spans="1:9">
      <c r="A928" s="509"/>
      <c r="B928" s="510"/>
      <c r="C928" s="23"/>
      <c r="D928" s="23"/>
      <c r="E928" s="23"/>
      <c r="F928" s="21"/>
      <c r="G928" s="21"/>
      <c r="H928" s="21"/>
      <c r="I928" s="511"/>
    </row>
    <row r="929" spans="1:9">
      <c r="A929" s="509"/>
      <c r="B929" s="510"/>
      <c r="C929" s="23"/>
      <c r="D929" s="23"/>
      <c r="E929" s="23"/>
      <c r="F929" s="21"/>
      <c r="G929" s="21"/>
      <c r="H929" s="21"/>
      <c r="I929" s="511"/>
    </row>
    <row r="930" spans="1:9">
      <c r="A930" s="509"/>
      <c r="B930" s="510"/>
      <c r="C930" s="23"/>
      <c r="D930" s="23"/>
      <c r="E930" s="23"/>
      <c r="F930" s="21"/>
      <c r="G930" s="21"/>
      <c r="H930" s="21"/>
      <c r="I930" s="511"/>
    </row>
    <row r="931" spans="1:9">
      <c r="A931" s="509"/>
      <c r="B931" s="510"/>
      <c r="C931" s="23"/>
      <c r="D931" s="23"/>
      <c r="E931" s="23"/>
      <c r="F931" s="21"/>
      <c r="G931" s="21"/>
      <c r="H931" s="21"/>
      <c r="I931" s="511"/>
    </row>
    <row r="932" spans="1:9">
      <c r="A932" s="509"/>
      <c r="B932" s="510"/>
      <c r="C932" s="23"/>
      <c r="D932" s="23"/>
      <c r="E932" s="23"/>
      <c r="F932" s="21"/>
      <c r="G932" s="21"/>
      <c r="H932" s="21"/>
      <c r="I932" s="511"/>
    </row>
    <row r="933" spans="1:9">
      <c r="A933" s="509"/>
      <c r="B933" s="510"/>
      <c r="C933" s="23"/>
      <c r="D933" s="23"/>
      <c r="E933" s="23"/>
      <c r="F933" s="21"/>
      <c r="G933" s="21"/>
      <c r="H933" s="21"/>
      <c r="I933" s="511"/>
    </row>
    <row r="934" spans="1:9">
      <c r="A934" s="509"/>
      <c r="B934" s="510"/>
      <c r="C934" s="23"/>
      <c r="D934" s="23"/>
      <c r="E934" s="23"/>
      <c r="F934" s="21"/>
      <c r="G934" s="21"/>
      <c r="H934" s="21"/>
      <c r="I934" s="511"/>
    </row>
    <row r="935" spans="1:9">
      <c r="A935" s="509"/>
      <c r="B935" s="510"/>
      <c r="C935" s="23"/>
      <c r="D935" s="23"/>
      <c r="E935" s="23"/>
      <c r="F935" s="21"/>
      <c r="G935" s="21"/>
      <c r="H935" s="21"/>
      <c r="I935" s="511"/>
    </row>
    <row r="936" spans="1:9">
      <c r="A936" s="509"/>
      <c r="B936" s="510"/>
      <c r="C936" s="23"/>
      <c r="D936" s="23"/>
      <c r="E936" s="23"/>
      <c r="F936" s="21"/>
      <c r="G936" s="21"/>
      <c r="H936" s="21"/>
      <c r="I936" s="511"/>
    </row>
    <row r="937" spans="1:9">
      <c r="A937" s="509"/>
      <c r="B937" s="510"/>
      <c r="C937" s="23"/>
      <c r="D937" s="23"/>
      <c r="E937" s="23"/>
      <c r="F937" s="21"/>
      <c r="G937" s="21"/>
      <c r="H937" s="21"/>
      <c r="I937" s="511"/>
    </row>
    <row r="938" spans="1:9">
      <c r="A938" s="509"/>
      <c r="B938" s="510"/>
      <c r="C938" s="23"/>
      <c r="D938" s="23"/>
      <c r="E938" s="23"/>
      <c r="F938" s="21"/>
      <c r="G938" s="21"/>
      <c r="H938" s="21"/>
      <c r="I938" s="511"/>
    </row>
    <row r="939" spans="1:9">
      <c r="A939" s="509"/>
      <c r="B939" s="510"/>
      <c r="C939" s="23"/>
      <c r="D939" s="23"/>
      <c r="E939" s="23"/>
      <c r="F939" s="21"/>
      <c r="G939" s="21"/>
      <c r="H939" s="21"/>
      <c r="I939" s="511"/>
    </row>
    <row r="940" spans="1:9">
      <c r="A940" s="509"/>
      <c r="B940" s="510"/>
      <c r="C940" s="23"/>
      <c r="D940" s="23"/>
      <c r="E940" s="23"/>
      <c r="F940" s="21"/>
      <c r="G940" s="21"/>
      <c r="H940" s="21"/>
      <c r="I940" s="511"/>
    </row>
    <row r="941" spans="1:9">
      <c r="A941" s="509"/>
      <c r="B941" s="510"/>
      <c r="C941" s="23"/>
      <c r="D941" s="23"/>
      <c r="E941" s="23"/>
      <c r="F941" s="21"/>
      <c r="G941" s="21"/>
      <c r="H941" s="21"/>
      <c r="I941" s="511"/>
    </row>
    <row r="942" spans="1:9">
      <c r="A942" s="509"/>
      <c r="B942" s="510"/>
      <c r="C942" s="23"/>
      <c r="D942" s="23"/>
      <c r="E942" s="23"/>
      <c r="F942" s="21"/>
      <c r="G942" s="21"/>
      <c r="H942" s="21"/>
      <c r="I942" s="511"/>
    </row>
    <row r="943" spans="1:9">
      <c r="A943" s="509"/>
      <c r="B943" s="510"/>
      <c r="C943" s="23"/>
      <c r="D943" s="23"/>
      <c r="E943" s="23"/>
      <c r="F943" s="21"/>
      <c r="G943" s="21"/>
      <c r="H943" s="21"/>
      <c r="I943" s="511"/>
    </row>
    <row r="944" spans="1:9">
      <c r="A944" s="509"/>
      <c r="B944" s="510"/>
      <c r="C944" s="23"/>
      <c r="D944" s="23"/>
      <c r="E944" s="23"/>
      <c r="F944" s="21"/>
      <c r="G944" s="21"/>
      <c r="H944" s="21"/>
      <c r="I944" s="511"/>
    </row>
    <row r="945" spans="1:9">
      <c r="A945" s="509"/>
      <c r="B945" s="510"/>
      <c r="C945" s="23"/>
      <c r="D945" s="23"/>
      <c r="E945" s="23"/>
      <c r="F945" s="21"/>
      <c r="G945" s="21"/>
      <c r="H945" s="21"/>
      <c r="I945" s="511"/>
    </row>
    <row r="946" spans="1:9">
      <c r="A946" s="509"/>
      <c r="B946" s="510"/>
      <c r="C946" s="23"/>
      <c r="D946" s="23"/>
      <c r="E946" s="23"/>
      <c r="F946" s="21"/>
      <c r="G946" s="21"/>
      <c r="H946" s="21"/>
      <c r="I946" s="511"/>
    </row>
    <row r="947" spans="1:9">
      <c r="A947" s="509"/>
      <c r="B947" s="510"/>
      <c r="C947" s="23"/>
      <c r="D947" s="23"/>
      <c r="E947" s="23"/>
      <c r="F947" s="21"/>
      <c r="G947" s="21"/>
      <c r="H947" s="21"/>
      <c r="I947" s="511"/>
    </row>
    <row r="948" spans="1:9">
      <c r="A948" s="509"/>
      <c r="B948" s="510"/>
      <c r="C948" s="23"/>
      <c r="D948" s="23"/>
      <c r="E948" s="23"/>
      <c r="F948" s="21"/>
      <c r="G948" s="21"/>
      <c r="H948" s="21"/>
      <c r="I948" s="511"/>
    </row>
    <row r="949" spans="1:9">
      <c r="A949" s="509"/>
      <c r="B949" s="510"/>
      <c r="C949" s="23"/>
      <c r="D949" s="23"/>
      <c r="E949" s="23"/>
      <c r="F949" s="21"/>
      <c r="G949" s="21"/>
      <c r="H949" s="21"/>
      <c r="I949" s="511"/>
    </row>
    <row r="950" spans="1:9">
      <c r="A950" s="509"/>
      <c r="B950" s="510"/>
      <c r="C950" s="23"/>
      <c r="D950" s="23"/>
      <c r="E950" s="23"/>
      <c r="F950" s="21"/>
      <c r="G950" s="21"/>
      <c r="H950" s="21"/>
      <c r="I950" s="511"/>
    </row>
    <row r="951" spans="1:9">
      <c r="A951" s="509"/>
      <c r="B951" s="510"/>
      <c r="C951" s="23"/>
      <c r="D951" s="23"/>
      <c r="E951" s="23"/>
      <c r="F951" s="21"/>
      <c r="G951" s="21"/>
      <c r="H951" s="21"/>
      <c r="I951" s="511"/>
    </row>
    <row r="952" spans="1:9">
      <c r="A952" s="509"/>
      <c r="B952" s="510"/>
      <c r="C952" s="23"/>
      <c r="D952" s="23"/>
      <c r="E952" s="23"/>
      <c r="F952" s="21"/>
      <c r="G952" s="21"/>
      <c r="H952" s="21"/>
      <c r="I952" s="511"/>
    </row>
    <row r="953" spans="1:9">
      <c r="A953" s="509"/>
      <c r="B953" s="510"/>
      <c r="C953" s="23"/>
      <c r="D953" s="23"/>
      <c r="E953" s="23"/>
      <c r="F953" s="21"/>
      <c r="G953" s="21"/>
      <c r="H953" s="21"/>
      <c r="I953" s="511"/>
    </row>
    <row r="954" spans="1:9">
      <c r="A954" s="509"/>
      <c r="B954" s="510"/>
      <c r="C954" s="23"/>
      <c r="D954" s="23"/>
      <c r="E954" s="23"/>
      <c r="F954" s="21"/>
      <c r="G954" s="21"/>
      <c r="H954" s="21"/>
      <c r="I954" s="511"/>
    </row>
    <row r="955" spans="1:9">
      <c r="A955" s="509"/>
      <c r="B955" s="510"/>
      <c r="C955" s="23"/>
      <c r="D955" s="23"/>
      <c r="E955" s="23"/>
      <c r="F955" s="21"/>
      <c r="G955" s="21"/>
      <c r="H955" s="21"/>
      <c r="I955" s="511"/>
    </row>
    <row r="956" spans="1:9">
      <c r="A956" s="509"/>
      <c r="B956" s="510"/>
      <c r="C956" s="23"/>
      <c r="D956" s="23"/>
      <c r="E956" s="23"/>
      <c r="F956" s="21"/>
      <c r="G956" s="21"/>
      <c r="H956" s="21"/>
      <c r="I956" s="511"/>
    </row>
    <row r="957" spans="1:9">
      <c r="A957" s="509"/>
      <c r="B957" s="510"/>
      <c r="C957" s="23"/>
      <c r="D957" s="23"/>
      <c r="E957" s="23"/>
      <c r="F957" s="21"/>
      <c r="G957" s="21"/>
      <c r="H957" s="21"/>
      <c r="I957" s="511"/>
    </row>
    <row r="958" spans="1:9">
      <c r="A958" s="509"/>
      <c r="B958" s="510"/>
      <c r="C958" s="23"/>
      <c r="D958" s="23"/>
      <c r="E958" s="23"/>
      <c r="F958" s="21"/>
      <c r="G958" s="21"/>
      <c r="H958" s="21"/>
      <c r="I958" s="511"/>
    </row>
    <row r="959" spans="1:9">
      <c r="A959" s="509"/>
      <c r="B959" s="510"/>
      <c r="C959" s="23"/>
      <c r="D959" s="23"/>
      <c r="E959" s="23"/>
      <c r="F959" s="21"/>
      <c r="G959" s="21"/>
      <c r="H959" s="21"/>
      <c r="I959" s="511"/>
    </row>
    <row r="960" spans="1:9">
      <c r="A960" s="509"/>
      <c r="B960" s="510"/>
      <c r="C960" s="23"/>
      <c r="D960" s="23"/>
      <c r="E960" s="23"/>
      <c r="F960" s="21"/>
      <c r="G960" s="21"/>
      <c r="H960" s="21"/>
      <c r="I960" s="511"/>
    </row>
    <row r="961" spans="1:9">
      <c r="A961" s="509"/>
      <c r="B961" s="510"/>
      <c r="C961" s="23"/>
      <c r="D961" s="23"/>
      <c r="E961" s="23"/>
      <c r="F961" s="21"/>
      <c r="G961" s="21"/>
      <c r="H961" s="21"/>
      <c r="I961" s="511"/>
    </row>
    <row r="962" spans="1:9">
      <c r="A962" s="509"/>
      <c r="B962" s="510"/>
      <c r="C962" s="23"/>
      <c r="D962" s="23"/>
      <c r="E962" s="23"/>
      <c r="F962" s="21"/>
      <c r="G962" s="21"/>
      <c r="H962" s="21"/>
      <c r="I962" s="511"/>
    </row>
    <row r="963" spans="1:9">
      <c r="A963" s="509"/>
      <c r="B963" s="510"/>
      <c r="C963" s="23"/>
      <c r="D963" s="23"/>
      <c r="E963" s="23"/>
      <c r="F963" s="21"/>
      <c r="G963" s="21"/>
      <c r="H963" s="21"/>
      <c r="I963" s="511"/>
    </row>
    <row r="964" spans="1:9">
      <c r="A964" s="509"/>
      <c r="B964" s="510"/>
      <c r="C964" s="23"/>
      <c r="D964" s="23"/>
      <c r="E964" s="23"/>
      <c r="F964" s="21"/>
      <c r="G964" s="21"/>
      <c r="H964" s="21"/>
      <c r="I964" s="511"/>
    </row>
    <row r="965" spans="1:9">
      <c r="A965" s="509"/>
      <c r="B965" s="510"/>
      <c r="C965" s="23"/>
      <c r="D965" s="23"/>
      <c r="E965" s="23"/>
      <c r="F965" s="21"/>
      <c r="G965" s="21"/>
      <c r="H965" s="21"/>
      <c r="I965" s="511"/>
    </row>
    <row r="966" spans="1:9">
      <c r="A966" s="509"/>
      <c r="B966" s="510"/>
      <c r="C966" s="23"/>
      <c r="D966" s="23"/>
      <c r="E966" s="23"/>
      <c r="F966" s="21"/>
      <c r="G966" s="21"/>
      <c r="H966" s="21"/>
      <c r="I966" s="511"/>
    </row>
    <row r="967" spans="1:9">
      <c r="A967" s="509"/>
      <c r="B967" s="510"/>
      <c r="C967" s="23"/>
      <c r="D967" s="23"/>
      <c r="E967" s="23"/>
      <c r="F967" s="21"/>
      <c r="G967" s="21"/>
      <c r="H967" s="21"/>
      <c r="I967" s="511"/>
    </row>
    <row r="968" spans="1:9">
      <c r="A968" s="509"/>
      <c r="B968" s="510"/>
      <c r="C968" s="23"/>
      <c r="D968" s="23"/>
      <c r="E968" s="23"/>
      <c r="F968" s="21"/>
      <c r="G968" s="21"/>
      <c r="H968" s="21"/>
      <c r="I968" s="511"/>
    </row>
    <row r="969" spans="1:9">
      <c r="A969" s="509"/>
      <c r="B969" s="510"/>
      <c r="C969" s="23"/>
      <c r="D969" s="23"/>
      <c r="E969" s="23"/>
      <c r="F969" s="21"/>
      <c r="G969" s="21"/>
      <c r="H969" s="21"/>
      <c r="I969" s="511"/>
    </row>
    <row r="970" spans="1:9">
      <c r="A970" s="509"/>
      <c r="B970" s="510"/>
      <c r="C970" s="23"/>
      <c r="D970" s="23"/>
      <c r="E970" s="23"/>
      <c r="F970" s="21"/>
      <c r="G970" s="21"/>
      <c r="H970" s="21"/>
      <c r="I970" s="511"/>
    </row>
    <row r="971" spans="1:9">
      <c r="A971" s="509"/>
      <c r="B971" s="510"/>
      <c r="C971" s="23"/>
      <c r="D971" s="23"/>
      <c r="E971" s="23"/>
      <c r="F971" s="21"/>
      <c r="G971" s="21"/>
      <c r="H971" s="21"/>
      <c r="I971" s="511"/>
    </row>
    <row r="972" spans="1:9">
      <c r="A972" s="509"/>
      <c r="B972" s="510"/>
      <c r="C972" s="23"/>
      <c r="D972" s="23"/>
      <c r="E972" s="23"/>
      <c r="F972" s="21"/>
      <c r="G972" s="21"/>
      <c r="H972" s="21"/>
      <c r="I972" s="511"/>
    </row>
    <row r="973" spans="1:9">
      <c r="A973" s="509"/>
      <c r="B973" s="510"/>
      <c r="C973" s="23"/>
      <c r="D973" s="23"/>
      <c r="E973" s="23"/>
      <c r="F973" s="21"/>
      <c r="G973" s="21"/>
      <c r="H973" s="21"/>
      <c r="I973" s="511"/>
    </row>
    <row r="974" spans="1:9">
      <c r="A974" s="509"/>
      <c r="B974" s="510"/>
      <c r="C974" s="23"/>
      <c r="D974" s="23"/>
      <c r="E974" s="23"/>
      <c r="F974" s="21"/>
      <c r="G974" s="21"/>
      <c r="H974" s="21"/>
      <c r="I974" s="511"/>
    </row>
    <row r="975" spans="1:9">
      <c r="A975" s="509"/>
      <c r="B975" s="510"/>
      <c r="C975" s="23"/>
      <c r="D975" s="23"/>
      <c r="E975" s="23"/>
      <c r="F975" s="21"/>
      <c r="G975" s="21"/>
      <c r="H975" s="21"/>
      <c r="I975" s="511"/>
    </row>
    <row r="976" spans="1:9">
      <c r="A976" s="509"/>
      <c r="B976" s="510"/>
      <c r="C976" s="23"/>
      <c r="D976" s="23"/>
      <c r="E976" s="23"/>
      <c r="F976" s="21"/>
      <c r="G976" s="21"/>
      <c r="H976" s="21"/>
      <c r="I976" s="511"/>
    </row>
    <row r="977" spans="1:9">
      <c r="A977" s="509"/>
      <c r="B977" s="510"/>
      <c r="C977" s="23"/>
      <c r="D977" s="23"/>
      <c r="E977" s="23"/>
      <c r="F977" s="21"/>
      <c r="G977" s="21"/>
      <c r="H977" s="21"/>
      <c r="I977" s="511"/>
    </row>
    <row r="978" spans="1:9">
      <c r="A978" s="509"/>
      <c r="B978" s="510"/>
      <c r="C978" s="23"/>
      <c r="D978" s="23"/>
      <c r="E978" s="23"/>
      <c r="F978" s="21"/>
      <c r="G978" s="21"/>
      <c r="H978" s="21"/>
      <c r="I978" s="511"/>
    </row>
    <row r="979" spans="1:9">
      <c r="A979" s="509"/>
      <c r="B979" s="510"/>
      <c r="C979" s="23"/>
      <c r="D979" s="23"/>
      <c r="E979" s="23"/>
      <c r="F979" s="21"/>
      <c r="G979" s="21"/>
      <c r="H979" s="21"/>
      <c r="I979" s="511"/>
    </row>
    <row r="980" spans="1:9">
      <c r="A980" s="509"/>
      <c r="B980" s="510"/>
      <c r="C980" s="23"/>
      <c r="D980" s="23"/>
      <c r="E980" s="23"/>
      <c r="F980" s="21"/>
      <c r="G980" s="21"/>
      <c r="H980" s="21"/>
      <c r="I980" s="511"/>
    </row>
    <row r="981" spans="1:9">
      <c r="A981" s="509"/>
      <c r="B981" s="510"/>
      <c r="C981" s="23"/>
      <c r="D981" s="23"/>
      <c r="E981" s="23"/>
      <c r="F981" s="21"/>
      <c r="G981" s="21"/>
      <c r="H981" s="21"/>
      <c r="I981" s="511"/>
    </row>
    <row r="982" spans="1:9">
      <c r="A982" s="509"/>
      <c r="B982" s="510"/>
      <c r="C982" s="23"/>
      <c r="D982" s="23"/>
      <c r="E982" s="23"/>
      <c r="F982" s="21"/>
      <c r="G982" s="21"/>
      <c r="H982" s="21"/>
      <c r="I982" s="511"/>
    </row>
    <row r="983" spans="1:9">
      <c r="A983" s="509"/>
      <c r="B983" s="510"/>
      <c r="C983" s="23"/>
      <c r="D983" s="23"/>
      <c r="E983" s="23"/>
      <c r="F983" s="21"/>
      <c r="G983" s="21"/>
      <c r="H983" s="21"/>
      <c r="I983" s="511"/>
    </row>
    <row r="984" spans="1:9">
      <c r="A984" s="509"/>
      <c r="B984" s="510"/>
      <c r="C984" s="23"/>
      <c r="D984" s="23"/>
      <c r="E984" s="23"/>
      <c r="F984" s="21"/>
      <c r="G984" s="21"/>
      <c r="H984" s="21"/>
      <c r="I984" s="511"/>
    </row>
    <row r="985" spans="1:9">
      <c r="A985" s="509"/>
      <c r="B985" s="510"/>
      <c r="C985" s="23"/>
      <c r="D985" s="23"/>
      <c r="E985" s="23"/>
      <c r="F985" s="21"/>
      <c r="G985" s="21"/>
      <c r="H985" s="21"/>
      <c r="I985" s="511"/>
    </row>
    <row r="986" spans="1:9">
      <c r="A986" s="509"/>
      <c r="B986" s="510"/>
      <c r="C986" s="23"/>
      <c r="D986" s="23"/>
      <c r="E986" s="23"/>
      <c r="F986" s="21"/>
      <c r="G986" s="21"/>
      <c r="H986" s="21"/>
      <c r="I986" s="511"/>
    </row>
    <row r="987" spans="1:9">
      <c r="A987" s="509"/>
      <c r="B987" s="510"/>
      <c r="C987" s="23"/>
      <c r="D987" s="23"/>
      <c r="E987" s="23"/>
      <c r="F987" s="21"/>
      <c r="G987" s="21"/>
      <c r="H987" s="21"/>
      <c r="I987" s="511"/>
    </row>
    <row r="988" spans="1:9">
      <c r="A988" s="509"/>
      <c r="B988" s="510"/>
      <c r="C988" s="23"/>
      <c r="D988" s="23"/>
      <c r="E988" s="23"/>
      <c r="F988" s="21"/>
      <c r="G988" s="21"/>
      <c r="H988" s="21"/>
      <c r="I988" s="511"/>
    </row>
    <row r="989" spans="1:9">
      <c r="A989" s="509"/>
      <c r="B989" s="510"/>
      <c r="C989" s="23"/>
      <c r="D989" s="23"/>
      <c r="E989" s="23"/>
      <c r="F989" s="21"/>
      <c r="G989" s="21"/>
      <c r="H989" s="21"/>
      <c r="I989" s="511"/>
    </row>
    <row r="990" spans="1:9">
      <c r="A990" s="509"/>
      <c r="B990" s="510"/>
      <c r="C990" s="23"/>
      <c r="D990" s="23"/>
      <c r="E990" s="23"/>
      <c r="F990" s="21"/>
      <c r="G990" s="21"/>
      <c r="H990" s="21"/>
      <c r="I990" s="511"/>
    </row>
    <row r="991" spans="1:9">
      <c r="A991" s="509"/>
      <c r="B991" s="510"/>
      <c r="C991" s="23"/>
      <c r="D991" s="23"/>
      <c r="E991" s="23"/>
      <c r="F991" s="21"/>
      <c r="G991" s="21"/>
      <c r="H991" s="21"/>
      <c r="I991" s="511"/>
    </row>
    <row r="992" spans="1:9">
      <c r="A992" s="509"/>
      <c r="B992" s="510"/>
      <c r="C992" s="23"/>
      <c r="D992" s="23"/>
      <c r="E992" s="23"/>
      <c r="F992" s="21"/>
      <c r="G992" s="21"/>
      <c r="H992" s="21"/>
      <c r="I992" s="511"/>
    </row>
    <row r="993" spans="1:9">
      <c r="A993" s="509"/>
      <c r="B993" s="510"/>
      <c r="C993" s="23"/>
      <c r="D993" s="23"/>
      <c r="E993" s="23"/>
      <c r="F993" s="21"/>
      <c r="G993" s="21"/>
      <c r="H993" s="21"/>
      <c r="I993" s="511"/>
    </row>
    <row r="994" spans="1:9">
      <c r="A994" s="509"/>
      <c r="B994" s="510"/>
      <c r="C994" s="23"/>
      <c r="D994" s="23"/>
      <c r="E994" s="23"/>
      <c r="F994" s="21"/>
      <c r="G994" s="21"/>
      <c r="H994" s="21"/>
      <c r="I994" s="511"/>
    </row>
    <row r="995" spans="1:9">
      <c r="A995" s="509"/>
      <c r="B995" s="510"/>
      <c r="C995" s="23"/>
      <c r="D995" s="23"/>
      <c r="E995" s="23"/>
      <c r="F995" s="21"/>
      <c r="G995" s="21"/>
      <c r="H995" s="21"/>
      <c r="I995" s="511"/>
    </row>
    <row r="996" spans="1:9">
      <c r="A996" s="509"/>
      <c r="B996" s="510"/>
      <c r="C996" s="23"/>
      <c r="D996" s="23"/>
      <c r="E996" s="23"/>
      <c r="F996" s="21"/>
      <c r="G996" s="21"/>
      <c r="H996" s="21"/>
      <c r="I996" s="511"/>
    </row>
    <row r="997" spans="1:9">
      <c r="A997" s="509"/>
      <c r="B997" s="510"/>
      <c r="C997" s="23"/>
      <c r="D997" s="23"/>
      <c r="E997" s="23"/>
      <c r="F997" s="21"/>
      <c r="G997" s="21"/>
      <c r="H997" s="21"/>
      <c r="I997" s="511"/>
    </row>
    <row r="998" spans="1:9">
      <c r="A998" s="509"/>
      <c r="B998" s="510"/>
      <c r="C998" s="23"/>
      <c r="D998" s="23"/>
      <c r="E998" s="23"/>
      <c r="F998" s="21"/>
      <c r="G998" s="21"/>
      <c r="H998" s="21"/>
      <c r="I998" s="511"/>
    </row>
    <row r="999" spans="1:9">
      <c r="A999" s="509"/>
      <c r="B999" s="510"/>
      <c r="C999" s="23"/>
      <c r="D999" s="23"/>
      <c r="E999" s="23"/>
      <c r="F999" s="21"/>
      <c r="G999" s="21"/>
      <c r="H999" s="21"/>
      <c r="I999" s="511"/>
    </row>
    <row r="1000" spans="1:9">
      <c r="A1000" s="509"/>
      <c r="B1000" s="510"/>
      <c r="C1000" s="23"/>
      <c r="D1000" s="23"/>
      <c r="E1000" s="23"/>
      <c r="F1000" s="21"/>
      <c r="G1000" s="21"/>
      <c r="H1000" s="21"/>
      <c r="I1000" s="511"/>
    </row>
    <row r="1001" spans="1:9">
      <c r="A1001" s="509"/>
      <c r="B1001" s="510"/>
      <c r="C1001" s="23"/>
      <c r="D1001" s="23"/>
      <c r="E1001" s="23"/>
      <c r="F1001" s="21"/>
      <c r="G1001" s="21"/>
      <c r="H1001" s="21"/>
      <c r="I1001" s="511"/>
    </row>
    <row r="1002" spans="1:9">
      <c r="A1002" s="509"/>
      <c r="B1002" s="510"/>
      <c r="C1002" s="23"/>
      <c r="D1002" s="23"/>
      <c r="E1002" s="23"/>
      <c r="F1002" s="21"/>
      <c r="G1002" s="21"/>
      <c r="H1002" s="21"/>
      <c r="I1002" s="511"/>
    </row>
    <row r="1003" spans="1:9">
      <c r="A1003" s="509"/>
      <c r="B1003" s="510"/>
      <c r="C1003" s="23"/>
      <c r="D1003" s="23"/>
      <c r="E1003" s="23"/>
      <c r="F1003" s="21"/>
      <c r="G1003" s="21"/>
      <c r="H1003" s="21"/>
      <c r="I1003" s="511"/>
    </row>
    <row r="1004" spans="1:9">
      <c r="A1004" s="509"/>
      <c r="B1004" s="510"/>
      <c r="C1004" s="23"/>
      <c r="D1004" s="23"/>
      <c r="E1004" s="23"/>
      <c r="F1004" s="21"/>
      <c r="G1004" s="21"/>
      <c r="H1004" s="21"/>
      <c r="I1004" s="511"/>
    </row>
    <row r="1005" spans="1:9">
      <c r="A1005" s="509"/>
      <c r="B1005" s="510"/>
      <c r="C1005" s="23"/>
      <c r="D1005" s="23"/>
      <c r="E1005" s="23"/>
      <c r="F1005" s="21"/>
      <c r="G1005" s="21"/>
      <c r="H1005" s="21"/>
      <c r="I1005" s="511"/>
    </row>
    <row r="1006" spans="1:9">
      <c r="A1006" s="509"/>
      <c r="B1006" s="510"/>
      <c r="C1006" s="23"/>
      <c r="D1006" s="23"/>
      <c r="E1006" s="23"/>
      <c r="F1006" s="21"/>
      <c r="G1006" s="21"/>
      <c r="H1006" s="21"/>
      <c r="I1006" s="511"/>
    </row>
    <row r="1007" spans="1:9">
      <c r="A1007" s="509"/>
      <c r="B1007" s="510"/>
      <c r="C1007" s="23"/>
      <c r="D1007" s="23"/>
      <c r="E1007" s="23"/>
      <c r="F1007" s="21"/>
      <c r="G1007" s="21"/>
      <c r="H1007" s="21"/>
      <c r="I1007" s="511"/>
    </row>
    <row r="1008" spans="1:9">
      <c r="A1008" s="509"/>
      <c r="B1008" s="510"/>
      <c r="C1008" s="23"/>
      <c r="D1008" s="23"/>
      <c r="E1008" s="23"/>
      <c r="F1008" s="21"/>
      <c r="G1008" s="21"/>
      <c r="H1008" s="21"/>
      <c r="I1008" s="511"/>
    </row>
    <row r="1009" spans="1:9">
      <c r="A1009" s="509"/>
      <c r="B1009" s="510"/>
      <c r="C1009" s="23"/>
      <c r="D1009" s="23"/>
      <c r="E1009" s="23"/>
      <c r="F1009" s="21"/>
      <c r="G1009" s="21"/>
      <c r="H1009" s="21"/>
      <c r="I1009" s="511"/>
    </row>
    <row r="1010" spans="1:9">
      <c r="A1010" s="509"/>
      <c r="B1010" s="510"/>
      <c r="C1010" s="23"/>
      <c r="D1010" s="23"/>
      <c r="E1010" s="23"/>
      <c r="F1010" s="21"/>
      <c r="G1010" s="21"/>
      <c r="H1010" s="21"/>
      <c r="I1010" s="511"/>
    </row>
    <row r="1011" spans="1:9">
      <c r="A1011" s="509"/>
      <c r="B1011" s="510"/>
      <c r="C1011" s="23"/>
      <c r="D1011" s="23"/>
      <c r="E1011" s="23"/>
      <c r="F1011" s="21"/>
      <c r="G1011" s="21"/>
      <c r="H1011" s="21"/>
      <c r="I1011" s="511"/>
    </row>
    <row r="1012" spans="1:9">
      <c r="A1012" s="509"/>
      <c r="B1012" s="510"/>
      <c r="C1012" s="23"/>
      <c r="D1012" s="23"/>
      <c r="E1012" s="23"/>
      <c r="F1012" s="21"/>
      <c r="G1012" s="21"/>
      <c r="H1012" s="21"/>
      <c r="I1012" s="511"/>
    </row>
    <row r="1013" spans="1:9">
      <c r="A1013" s="509"/>
      <c r="B1013" s="510"/>
      <c r="C1013" s="23"/>
      <c r="D1013" s="23"/>
      <c r="E1013" s="23"/>
      <c r="F1013" s="21"/>
      <c r="G1013" s="21"/>
      <c r="H1013" s="21"/>
      <c r="I1013" s="511"/>
    </row>
    <row r="1014" spans="1:9">
      <c r="A1014" s="509"/>
      <c r="B1014" s="510"/>
      <c r="C1014" s="23"/>
      <c r="D1014" s="23"/>
      <c r="E1014" s="23"/>
      <c r="F1014" s="21"/>
      <c r="G1014" s="21"/>
      <c r="H1014" s="21"/>
      <c r="I1014" s="511"/>
    </row>
    <row r="1015" spans="1:9">
      <c r="A1015" s="509"/>
      <c r="B1015" s="510"/>
      <c r="C1015" s="23"/>
      <c r="D1015" s="23"/>
      <c r="E1015" s="23"/>
      <c r="F1015" s="21"/>
      <c r="G1015" s="21"/>
      <c r="H1015" s="21"/>
      <c r="I1015" s="511"/>
    </row>
    <row r="1016" spans="1:9">
      <c r="A1016" s="509"/>
      <c r="B1016" s="510"/>
      <c r="C1016" s="23"/>
      <c r="D1016" s="23"/>
      <c r="E1016" s="23"/>
      <c r="F1016" s="21"/>
      <c r="G1016" s="21"/>
      <c r="H1016" s="21"/>
      <c r="I1016" s="511"/>
    </row>
    <row r="1017" spans="1:9">
      <c r="A1017" s="509"/>
      <c r="B1017" s="510"/>
      <c r="C1017" s="23"/>
      <c r="D1017" s="23"/>
      <c r="E1017" s="23"/>
      <c r="F1017" s="21"/>
      <c r="G1017" s="21"/>
      <c r="H1017" s="21"/>
      <c r="I1017" s="511"/>
    </row>
    <row r="1018" spans="1:9">
      <c r="A1018" s="509"/>
      <c r="B1018" s="510"/>
      <c r="C1018" s="23"/>
      <c r="D1018" s="23"/>
      <c r="E1018" s="23"/>
      <c r="F1018" s="21"/>
      <c r="G1018" s="21"/>
      <c r="H1018" s="21"/>
      <c r="I1018" s="511"/>
    </row>
    <row r="1019" spans="1:9">
      <c r="A1019" s="509"/>
      <c r="B1019" s="510"/>
      <c r="C1019" s="23"/>
      <c r="D1019" s="23"/>
      <c r="E1019" s="23"/>
      <c r="F1019" s="21"/>
      <c r="G1019" s="21"/>
      <c r="H1019" s="21"/>
      <c r="I1019" s="511"/>
    </row>
    <row r="1020" spans="1:9">
      <c r="A1020" s="509"/>
      <c r="B1020" s="510"/>
      <c r="C1020" s="23"/>
      <c r="D1020" s="23"/>
      <c r="E1020" s="23"/>
      <c r="F1020" s="21"/>
      <c r="G1020" s="21"/>
      <c r="H1020" s="21"/>
      <c r="I1020" s="511"/>
    </row>
    <row r="1021" spans="1:9">
      <c r="A1021" s="509"/>
      <c r="B1021" s="510"/>
      <c r="C1021" s="23"/>
      <c r="D1021" s="23"/>
      <c r="E1021" s="23"/>
      <c r="F1021" s="21"/>
      <c r="G1021" s="21"/>
      <c r="H1021" s="21"/>
      <c r="I1021" s="511"/>
    </row>
    <row r="1022" spans="1:9">
      <c r="A1022" s="509"/>
      <c r="B1022" s="510"/>
      <c r="C1022" s="23"/>
      <c r="D1022" s="23"/>
      <c r="E1022" s="23"/>
      <c r="F1022" s="21"/>
      <c r="G1022" s="21"/>
      <c r="H1022" s="21"/>
      <c r="I1022" s="511"/>
    </row>
    <row r="1023" spans="1:9">
      <c r="A1023" s="509"/>
      <c r="B1023" s="510"/>
      <c r="C1023" s="23"/>
      <c r="D1023" s="23"/>
      <c r="E1023" s="23"/>
      <c r="F1023" s="21"/>
      <c r="G1023" s="21"/>
      <c r="H1023" s="21"/>
      <c r="I1023" s="511"/>
    </row>
    <row r="1024" spans="1:9">
      <c r="A1024" s="509"/>
      <c r="B1024" s="510"/>
      <c r="C1024" s="23"/>
      <c r="D1024" s="23"/>
      <c r="E1024" s="23"/>
      <c r="F1024" s="21"/>
      <c r="G1024" s="21"/>
      <c r="H1024" s="21"/>
      <c r="I1024" s="511"/>
    </row>
    <row r="1025" spans="1:9">
      <c r="A1025" s="509"/>
      <c r="B1025" s="510"/>
      <c r="C1025" s="23"/>
      <c r="D1025" s="23"/>
      <c r="E1025" s="23"/>
      <c r="F1025" s="21"/>
      <c r="G1025" s="21"/>
      <c r="H1025" s="21"/>
      <c r="I1025" s="511"/>
    </row>
    <row r="1026" spans="1:9">
      <c r="A1026" s="509"/>
      <c r="B1026" s="510"/>
      <c r="C1026" s="23"/>
      <c r="D1026" s="23"/>
      <c r="E1026" s="23"/>
      <c r="F1026" s="21"/>
      <c r="G1026" s="21"/>
      <c r="H1026" s="21"/>
      <c r="I1026" s="511"/>
    </row>
    <row r="1027" spans="1:9">
      <c r="A1027" s="509"/>
      <c r="B1027" s="510"/>
      <c r="C1027" s="23"/>
      <c r="D1027" s="23"/>
      <c r="E1027" s="23"/>
      <c r="F1027" s="21"/>
      <c r="G1027" s="21"/>
      <c r="H1027" s="21"/>
      <c r="I1027" s="511"/>
    </row>
    <row r="1028" spans="1:9">
      <c r="A1028" s="509"/>
      <c r="B1028" s="510"/>
      <c r="C1028" s="23"/>
      <c r="D1028" s="23"/>
      <c r="E1028" s="23"/>
      <c r="F1028" s="21"/>
      <c r="G1028" s="21"/>
      <c r="H1028" s="21"/>
      <c r="I1028" s="511"/>
    </row>
    <row r="1029" spans="1:9">
      <c r="A1029" s="509"/>
      <c r="B1029" s="510"/>
      <c r="C1029" s="23"/>
      <c r="D1029" s="23"/>
      <c r="E1029" s="23"/>
      <c r="F1029" s="21"/>
      <c r="G1029" s="21"/>
      <c r="H1029" s="21"/>
      <c r="I1029" s="511"/>
    </row>
    <row r="1030" spans="1:9">
      <c r="A1030" s="509"/>
      <c r="B1030" s="510"/>
      <c r="C1030" s="23"/>
      <c r="D1030" s="23"/>
      <c r="E1030" s="23"/>
      <c r="F1030" s="21"/>
      <c r="G1030" s="21"/>
      <c r="H1030" s="21"/>
      <c r="I1030" s="511"/>
    </row>
    <row r="1031" spans="1:9">
      <c r="A1031" s="509"/>
      <c r="B1031" s="510"/>
      <c r="C1031" s="23"/>
      <c r="D1031" s="23"/>
      <c r="E1031" s="23"/>
      <c r="F1031" s="21"/>
      <c r="G1031" s="21"/>
      <c r="H1031" s="21"/>
      <c r="I1031" s="511"/>
    </row>
    <row r="1032" spans="1:9">
      <c r="A1032" s="509"/>
      <c r="B1032" s="510"/>
      <c r="C1032" s="23"/>
      <c r="D1032" s="23"/>
      <c r="E1032" s="23"/>
      <c r="F1032" s="21"/>
      <c r="G1032" s="21"/>
      <c r="H1032" s="21"/>
      <c r="I1032" s="511"/>
    </row>
    <row r="1033" spans="1:9">
      <c r="A1033" s="509"/>
      <c r="B1033" s="510"/>
      <c r="C1033" s="23"/>
      <c r="D1033" s="23"/>
      <c r="E1033" s="23"/>
      <c r="F1033" s="21"/>
      <c r="G1033" s="21"/>
      <c r="H1033" s="21"/>
      <c r="I1033" s="511"/>
    </row>
    <row r="1034" spans="1:9">
      <c r="A1034" s="509"/>
      <c r="B1034" s="510"/>
      <c r="C1034" s="23"/>
      <c r="D1034" s="23"/>
      <c r="E1034" s="23"/>
      <c r="F1034" s="21"/>
      <c r="G1034" s="21"/>
      <c r="H1034" s="21"/>
      <c r="I1034" s="511"/>
    </row>
    <row r="1035" spans="1:9">
      <c r="A1035" s="509"/>
      <c r="B1035" s="510"/>
      <c r="C1035" s="23"/>
      <c r="D1035" s="23"/>
      <c r="E1035" s="23"/>
      <c r="F1035" s="21"/>
      <c r="G1035" s="21"/>
      <c r="H1035" s="21"/>
      <c r="I1035" s="511"/>
    </row>
    <row r="1036" spans="1:9">
      <c r="A1036" s="509"/>
      <c r="B1036" s="510"/>
      <c r="C1036" s="23"/>
      <c r="D1036" s="23"/>
      <c r="E1036" s="23"/>
      <c r="F1036" s="21"/>
      <c r="G1036" s="21"/>
      <c r="H1036" s="21"/>
      <c r="I1036" s="511"/>
    </row>
    <row r="1037" spans="1:9">
      <c r="A1037" s="509"/>
      <c r="B1037" s="510"/>
      <c r="C1037" s="23"/>
      <c r="D1037" s="23"/>
      <c r="E1037" s="23"/>
      <c r="F1037" s="21"/>
      <c r="G1037" s="21"/>
      <c r="H1037" s="21"/>
      <c r="I1037" s="511"/>
    </row>
    <row r="1038" spans="1:9">
      <c r="A1038" s="509"/>
      <c r="B1038" s="510"/>
      <c r="C1038" s="23"/>
      <c r="D1038" s="23"/>
      <c r="E1038" s="23"/>
      <c r="F1038" s="21"/>
      <c r="G1038" s="21"/>
      <c r="H1038" s="21"/>
      <c r="I1038" s="511"/>
    </row>
    <row r="1039" spans="1:9">
      <c r="A1039" s="509"/>
      <c r="B1039" s="510"/>
      <c r="C1039" s="23"/>
      <c r="D1039" s="23"/>
      <c r="E1039" s="23"/>
      <c r="F1039" s="21"/>
      <c r="G1039" s="21"/>
      <c r="H1039" s="21"/>
      <c r="I1039" s="511"/>
    </row>
    <row r="1040" spans="1:9">
      <c r="A1040" s="509"/>
      <c r="B1040" s="510"/>
      <c r="C1040" s="23"/>
      <c r="D1040" s="23"/>
      <c r="E1040" s="23"/>
      <c r="F1040" s="21"/>
      <c r="G1040" s="21"/>
      <c r="H1040" s="21"/>
      <c r="I1040" s="511"/>
    </row>
    <row r="1041" spans="1:9">
      <c r="A1041" s="509"/>
      <c r="B1041" s="510"/>
      <c r="C1041" s="23"/>
      <c r="D1041" s="23"/>
      <c r="E1041" s="23"/>
      <c r="F1041" s="21"/>
      <c r="G1041" s="21"/>
      <c r="H1041" s="21"/>
      <c r="I1041" s="511"/>
    </row>
    <row r="1042" spans="1:9">
      <c r="A1042" s="509"/>
      <c r="B1042" s="510"/>
      <c r="C1042" s="23"/>
      <c r="D1042" s="23"/>
      <c r="E1042" s="23"/>
      <c r="F1042" s="21"/>
      <c r="G1042" s="21"/>
      <c r="H1042" s="21"/>
      <c r="I1042" s="511"/>
    </row>
    <row r="1043" spans="1:9">
      <c r="A1043" s="509"/>
      <c r="B1043" s="510"/>
      <c r="C1043" s="23"/>
      <c r="D1043" s="23"/>
      <c r="E1043" s="23"/>
      <c r="F1043" s="21"/>
      <c r="G1043" s="21"/>
      <c r="H1043" s="21"/>
      <c r="I1043" s="511"/>
    </row>
    <row r="1044" spans="1:9">
      <c r="A1044" s="509"/>
      <c r="B1044" s="510"/>
      <c r="C1044" s="23"/>
      <c r="D1044" s="23"/>
      <c r="E1044" s="23"/>
      <c r="F1044" s="21"/>
      <c r="G1044" s="21"/>
      <c r="H1044" s="21"/>
      <c r="I1044" s="511"/>
    </row>
    <row r="1045" spans="1:9">
      <c r="A1045" s="509"/>
      <c r="B1045" s="510"/>
      <c r="C1045" s="23"/>
      <c r="D1045" s="23"/>
      <c r="E1045" s="23"/>
      <c r="F1045" s="21"/>
      <c r="G1045" s="21"/>
      <c r="H1045" s="21"/>
      <c r="I1045" s="511"/>
    </row>
    <row r="1046" spans="1:9">
      <c r="A1046" s="509"/>
      <c r="B1046" s="510"/>
      <c r="C1046" s="23"/>
      <c r="D1046" s="23"/>
      <c r="E1046" s="23"/>
      <c r="F1046" s="21"/>
      <c r="G1046" s="21"/>
      <c r="H1046" s="21"/>
      <c r="I1046" s="511"/>
    </row>
    <row r="1047" spans="1:9">
      <c r="A1047" s="509"/>
      <c r="B1047" s="510"/>
      <c r="C1047" s="23"/>
      <c r="D1047" s="23"/>
      <c r="E1047" s="23"/>
      <c r="F1047" s="21"/>
      <c r="G1047" s="21"/>
      <c r="H1047" s="21"/>
      <c r="I1047" s="511"/>
    </row>
    <row r="1048" spans="1:9">
      <c r="A1048" s="509"/>
      <c r="B1048" s="510"/>
      <c r="C1048" s="23"/>
      <c r="D1048" s="23"/>
      <c r="E1048" s="23"/>
      <c r="F1048" s="21"/>
      <c r="G1048" s="21"/>
      <c r="H1048" s="21"/>
      <c r="I1048" s="511"/>
    </row>
    <row r="1049" spans="1:9">
      <c r="A1049" s="509"/>
      <c r="B1049" s="510"/>
      <c r="C1049" s="23"/>
      <c r="D1049" s="23"/>
      <c r="E1049" s="23"/>
      <c r="F1049" s="21"/>
      <c r="G1049" s="21"/>
      <c r="H1049" s="21"/>
      <c r="I1049" s="511"/>
    </row>
    <row r="1050" spans="1:9">
      <c r="A1050" s="509"/>
      <c r="B1050" s="510"/>
      <c r="C1050" s="23"/>
      <c r="D1050" s="23"/>
      <c r="E1050" s="23"/>
      <c r="F1050" s="21"/>
      <c r="G1050" s="21"/>
      <c r="H1050" s="21"/>
      <c r="I1050" s="511"/>
    </row>
    <row r="1051" spans="1:9">
      <c r="A1051" s="509"/>
      <c r="B1051" s="510"/>
      <c r="C1051" s="23"/>
      <c r="D1051" s="23"/>
      <c r="E1051" s="23"/>
      <c r="F1051" s="21"/>
      <c r="G1051" s="21"/>
      <c r="H1051" s="21"/>
      <c r="I1051" s="511"/>
    </row>
    <row r="1052" spans="1:9">
      <c r="A1052" s="509"/>
      <c r="B1052" s="510"/>
      <c r="C1052" s="23"/>
      <c r="D1052" s="23"/>
      <c r="E1052" s="23"/>
      <c r="F1052" s="21"/>
      <c r="G1052" s="21"/>
      <c r="H1052" s="21"/>
      <c r="I1052" s="511"/>
    </row>
    <row r="1053" spans="1:9">
      <c r="A1053" s="509"/>
      <c r="B1053" s="510"/>
      <c r="C1053" s="23"/>
      <c r="D1053" s="23"/>
      <c r="E1053" s="23"/>
      <c r="F1053" s="21"/>
      <c r="G1053" s="21"/>
      <c r="H1053" s="21"/>
      <c r="I1053" s="511"/>
    </row>
    <row r="1054" spans="1:9">
      <c r="A1054" s="509"/>
      <c r="B1054" s="510"/>
      <c r="C1054" s="23"/>
      <c r="D1054" s="23"/>
      <c r="E1054" s="23"/>
      <c r="F1054" s="21"/>
      <c r="G1054" s="21"/>
      <c r="H1054" s="21"/>
      <c r="I1054" s="511"/>
    </row>
    <row r="1055" spans="1:9">
      <c r="A1055" s="509"/>
      <c r="B1055" s="510"/>
      <c r="C1055" s="23"/>
      <c r="D1055" s="23"/>
      <c r="E1055" s="23"/>
      <c r="F1055" s="21"/>
      <c r="G1055" s="21"/>
      <c r="H1055" s="21"/>
      <c r="I1055" s="511"/>
    </row>
    <row r="1056" spans="1:9">
      <c r="A1056" s="509"/>
      <c r="B1056" s="510"/>
      <c r="C1056" s="23"/>
      <c r="D1056" s="23"/>
      <c r="E1056" s="23"/>
      <c r="F1056" s="21"/>
      <c r="G1056" s="21"/>
      <c r="H1056" s="21"/>
      <c r="I1056" s="511"/>
    </row>
    <row r="1057" spans="1:9">
      <c r="A1057" s="509"/>
      <c r="B1057" s="510"/>
      <c r="C1057" s="23"/>
      <c r="D1057" s="23"/>
      <c r="E1057" s="23"/>
      <c r="F1057" s="21"/>
      <c r="G1057" s="21"/>
      <c r="H1057" s="21"/>
      <c r="I1057" s="511"/>
    </row>
    <row r="1058" spans="1:9">
      <c r="A1058" s="509"/>
      <c r="B1058" s="510"/>
      <c r="C1058" s="23"/>
      <c r="D1058" s="23"/>
      <c r="E1058" s="23"/>
      <c r="F1058" s="21"/>
      <c r="G1058" s="21"/>
      <c r="H1058" s="21"/>
      <c r="I1058" s="511"/>
    </row>
    <row r="1059" spans="1:9">
      <c r="A1059" s="509"/>
      <c r="B1059" s="510"/>
      <c r="C1059" s="23"/>
      <c r="D1059" s="23"/>
      <c r="E1059" s="23"/>
      <c r="F1059" s="21"/>
      <c r="G1059" s="21"/>
      <c r="H1059" s="21"/>
      <c r="I1059" s="511"/>
    </row>
    <row r="1060" spans="1:9">
      <c r="A1060" s="509"/>
      <c r="B1060" s="510"/>
      <c r="C1060" s="23"/>
      <c r="D1060" s="23"/>
      <c r="E1060" s="23"/>
      <c r="F1060" s="21"/>
      <c r="G1060" s="21"/>
      <c r="H1060" s="21"/>
      <c r="I1060" s="511"/>
    </row>
    <row r="1061" spans="1:9">
      <c r="A1061" s="509"/>
      <c r="B1061" s="510"/>
      <c r="C1061" s="23"/>
      <c r="D1061" s="23"/>
      <c r="E1061" s="23"/>
      <c r="F1061" s="21"/>
      <c r="G1061" s="21"/>
      <c r="H1061" s="21"/>
      <c r="I1061" s="511"/>
    </row>
    <row r="1062" spans="1:9">
      <c r="A1062" s="509"/>
      <c r="B1062" s="510"/>
      <c r="C1062" s="23"/>
      <c r="D1062" s="23"/>
      <c r="E1062" s="23"/>
      <c r="F1062" s="21"/>
      <c r="G1062" s="21"/>
      <c r="H1062" s="21"/>
      <c r="I1062" s="511"/>
    </row>
    <row r="1063" spans="1:9">
      <c r="A1063" s="509"/>
      <c r="B1063" s="510"/>
      <c r="C1063" s="23"/>
      <c r="D1063" s="23"/>
      <c r="E1063" s="23"/>
      <c r="F1063" s="21"/>
      <c r="G1063" s="21"/>
      <c r="H1063" s="21"/>
      <c r="I1063" s="511"/>
    </row>
    <row r="1064" spans="1:9">
      <c r="A1064" s="509"/>
      <c r="B1064" s="510"/>
      <c r="C1064" s="23"/>
      <c r="D1064" s="23"/>
      <c r="E1064" s="23"/>
      <c r="F1064" s="21"/>
      <c r="G1064" s="21"/>
      <c r="H1064" s="21"/>
      <c r="I1064" s="511"/>
    </row>
    <row r="1065" spans="1:9">
      <c r="A1065" s="509"/>
      <c r="B1065" s="510"/>
      <c r="C1065" s="23"/>
      <c r="D1065" s="23"/>
      <c r="E1065" s="23"/>
      <c r="F1065" s="21"/>
      <c r="G1065" s="21"/>
      <c r="H1065" s="21"/>
      <c r="I1065" s="511"/>
    </row>
    <row r="1066" spans="1:9">
      <c r="A1066" s="509"/>
      <c r="B1066" s="510"/>
      <c r="C1066" s="23"/>
      <c r="D1066" s="23"/>
      <c r="E1066" s="23"/>
      <c r="F1066" s="21"/>
      <c r="G1066" s="21"/>
      <c r="H1066" s="21"/>
      <c r="I1066" s="511"/>
    </row>
    <row r="1067" spans="1:9">
      <c r="A1067" s="509"/>
      <c r="B1067" s="510"/>
      <c r="C1067" s="23"/>
      <c r="D1067" s="23"/>
      <c r="E1067" s="23"/>
      <c r="F1067" s="21"/>
      <c r="G1067" s="21"/>
      <c r="H1067" s="21"/>
      <c r="I1067" s="511"/>
    </row>
    <row r="1068" spans="1:9">
      <c r="A1068" s="509"/>
      <c r="B1068" s="510"/>
      <c r="C1068" s="23"/>
      <c r="D1068" s="23"/>
      <c r="E1068" s="23"/>
      <c r="F1068" s="21"/>
      <c r="G1068" s="21"/>
      <c r="H1068" s="21"/>
      <c r="I1068" s="511"/>
    </row>
    <row r="1069" spans="1:9">
      <c r="A1069" s="509"/>
      <c r="B1069" s="510"/>
      <c r="C1069" s="23"/>
      <c r="D1069" s="23"/>
      <c r="E1069" s="23"/>
      <c r="F1069" s="21"/>
      <c r="G1069" s="21"/>
      <c r="H1069" s="21"/>
      <c r="I1069" s="511"/>
    </row>
    <row r="1070" spans="1:9">
      <c r="A1070" s="509"/>
      <c r="B1070" s="510"/>
      <c r="C1070" s="23"/>
      <c r="D1070" s="23"/>
      <c r="E1070" s="23"/>
      <c r="F1070" s="21"/>
      <c r="G1070" s="21"/>
      <c r="H1070" s="21"/>
      <c r="I1070" s="511"/>
    </row>
    <row r="1071" spans="1:9">
      <c r="A1071" s="509"/>
      <c r="B1071" s="510"/>
      <c r="C1071" s="23"/>
      <c r="D1071" s="23"/>
      <c r="E1071" s="23"/>
      <c r="F1071" s="21"/>
      <c r="G1071" s="21"/>
      <c r="H1071" s="21"/>
      <c r="I1071" s="511"/>
    </row>
    <row r="1072" spans="1:9">
      <c r="A1072" s="509"/>
      <c r="B1072" s="510"/>
      <c r="C1072" s="23"/>
      <c r="D1072" s="23"/>
      <c r="E1072" s="23"/>
      <c r="F1072" s="21"/>
      <c r="G1072" s="21"/>
      <c r="H1072" s="21"/>
      <c r="I1072" s="511"/>
    </row>
    <row r="1073" spans="1:9">
      <c r="A1073" s="509"/>
      <c r="B1073" s="510"/>
      <c r="C1073" s="23"/>
      <c r="D1073" s="23"/>
      <c r="E1073" s="23"/>
      <c r="F1073" s="21"/>
      <c r="G1073" s="21"/>
      <c r="H1073" s="21"/>
      <c r="I1073" s="511"/>
    </row>
    <row r="1074" spans="1:9">
      <c r="A1074" s="509"/>
      <c r="B1074" s="510"/>
      <c r="C1074" s="23"/>
      <c r="D1074" s="23"/>
      <c r="E1074" s="23"/>
      <c r="F1074" s="21"/>
      <c r="G1074" s="21"/>
      <c r="H1074" s="21"/>
      <c r="I1074" s="511"/>
    </row>
    <row r="1075" spans="1:9">
      <c r="A1075" s="509"/>
      <c r="B1075" s="510"/>
      <c r="C1075" s="23"/>
      <c r="D1075" s="23"/>
      <c r="E1075" s="23"/>
      <c r="F1075" s="21"/>
      <c r="G1075" s="21"/>
      <c r="H1075" s="21"/>
      <c r="I1075" s="511"/>
    </row>
    <row r="1076" spans="1:9">
      <c r="A1076" s="509"/>
      <c r="B1076" s="510"/>
      <c r="C1076" s="23"/>
      <c r="D1076" s="23"/>
      <c r="E1076" s="23"/>
      <c r="F1076" s="21"/>
      <c r="G1076" s="21"/>
      <c r="H1076" s="21"/>
      <c r="I1076" s="511"/>
    </row>
    <row r="1077" spans="1:9">
      <c r="A1077" s="509"/>
      <c r="B1077" s="510"/>
      <c r="C1077" s="23"/>
      <c r="D1077" s="23"/>
      <c r="E1077" s="23"/>
      <c r="F1077" s="21"/>
      <c r="G1077" s="21"/>
      <c r="H1077" s="21"/>
      <c r="I1077" s="511"/>
    </row>
    <row r="1078" spans="1:9">
      <c r="A1078" s="509"/>
      <c r="B1078" s="510"/>
      <c r="C1078" s="23"/>
      <c r="D1078" s="23"/>
      <c r="E1078" s="23"/>
      <c r="F1078" s="21"/>
      <c r="G1078" s="21"/>
      <c r="H1078" s="21"/>
      <c r="I1078" s="511"/>
    </row>
    <row r="1079" spans="1:9">
      <c r="A1079" s="509"/>
      <c r="B1079" s="510"/>
      <c r="C1079" s="23"/>
      <c r="D1079" s="23"/>
      <c r="E1079" s="23"/>
      <c r="F1079" s="21"/>
      <c r="G1079" s="21"/>
      <c r="H1079" s="21"/>
      <c r="I1079" s="511"/>
    </row>
    <row r="1080" spans="1:9">
      <c r="A1080" s="509"/>
      <c r="B1080" s="510"/>
      <c r="C1080" s="23"/>
      <c r="D1080" s="23"/>
      <c r="E1080" s="23"/>
      <c r="F1080" s="21"/>
      <c r="G1080" s="21"/>
      <c r="H1080" s="21"/>
      <c r="I1080" s="511"/>
    </row>
    <row r="1081" spans="1:9">
      <c r="A1081" s="509"/>
      <c r="B1081" s="510"/>
      <c r="C1081" s="23"/>
      <c r="D1081" s="23"/>
      <c r="E1081" s="23"/>
      <c r="F1081" s="21"/>
      <c r="G1081" s="21"/>
      <c r="H1081" s="21"/>
      <c r="I1081" s="511"/>
    </row>
    <row r="1082" spans="1:9">
      <c r="A1082" s="509"/>
      <c r="B1082" s="510"/>
      <c r="C1082" s="23"/>
      <c r="D1082" s="23"/>
      <c r="E1082" s="23"/>
      <c r="F1082" s="21"/>
      <c r="G1082" s="21"/>
      <c r="H1082" s="21"/>
      <c r="I1082" s="511"/>
    </row>
    <row r="1083" spans="1:9">
      <c r="A1083" s="509"/>
      <c r="B1083" s="510"/>
      <c r="C1083" s="23"/>
      <c r="D1083" s="23"/>
      <c r="E1083" s="23"/>
      <c r="F1083" s="21"/>
      <c r="G1083" s="21"/>
      <c r="H1083" s="21"/>
      <c r="I1083" s="511"/>
    </row>
    <row r="1084" spans="1:9">
      <c r="A1084" s="509"/>
      <c r="B1084" s="510"/>
      <c r="C1084" s="23"/>
      <c r="D1084" s="23"/>
      <c r="E1084" s="23"/>
      <c r="F1084" s="21"/>
      <c r="G1084" s="21"/>
      <c r="H1084" s="21"/>
      <c r="I1084" s="511"/>
    </row>
    <row r="1085" spans="1:9">
      <c r="A1085" s="509"/>
      <c r="B1085" s="510"/>
      <c r="C1085" s="23"/>
      <c r="D1085" s="23"/>
      <c r="E1085" s="23"/>
      <c r="F1085" s="21"/>
      <c r="G1085" s="21"/>
      <c r="H1085" s="21"/>
      <c r="I1085" s="511"/>
    </row>
    <row r="1086" spans="1:9">
      <c r="A1086" s="509"/>
      <c r="B1086" s="510"/>
      <c r="C1086" s="23"/>
      <c r="D1086" s="23"/>
      <c r="E1086" s="23"/>
      <c r="F1086" s="21"/>
      <c r="G1086" s="21"/>
      <c r="H1086" s="21"/>
      <c r="I1086" s="511"/>
    </row>
    <row r="1087" spans="1:9">
      <c r="A1087" s="509"/>
      <c r="B1087" s="510"/>
      <c r="C1087" s="23"/>
      <c r="D1087" s="23"/>
      <c r="E1087" s="23"/>
      <c r="F1087" s="21"/>
      <c r="G1087" s="21"/>
      <c r="H1087" s="21"/>
      <c r="I1087" s="511"/>
    </row>
    <row r="1088" spans="1:9">
      <c r="A1088" s="509"/>
      <c r="B1088" s="510"/>
      <c r="C1088" s="23"/>
      <c r="D1088" s="23"/>
      <c r="E1088" s="23"/>
      <c r="F1088" s="21"/>
      <c r="G1088" s="21"/>
      <c r="H1088" s="21"/>
      <c r="I1088" s="511"/>
    </row>
    <row r="1089" spans="1:9">
      <c r="A1089" s="509"/>
      <c r="B1089" s="510"/>
      <c r="C1089" s="23"/>
      <c r="D1089" s="23"/>
      <c r="E1089" s="23"/>
      <c r="F1089" s="21"/>
      <c r="G1089" s="21"/>
      <c r="H1089" s="21"/>
      <c r="I1089" s="511"/>
    </row>
    <row r="1090" spans="1:9">
      <c r="A1090" s="509"/>
      <c r="B1090" s="510"/>
      <c r="C1090" s="23"/>
      <c r="D1090" s="23"/>
      <c r="E1090" s="23"/>
      <c r="F1090" s="21"/>
      <c r="G1090" s="21"/>
      <c r="H1090" s="21"/>
      <c r="I1090" s="511"/>
    </row>
    <row r="1091" spans="1:9">
      <c r="A1091" s="509"/>
      <c r="B1091" s="510"/>
      <c r="C1091" s="23"/>
      <c r="D1091" s="23"/>
      <c r="E1091" s="23"/>
      <c r="F1091" s="21"/>
      <c r="G1091" s="21"/>
      <c r="H1091" s="21"/>
      <c r="I1091" s="511"/>
    </row>
    <row r="1092" spans="1:9">
      <c r="A1092" s="509"/>
      <c r="B1092" s="510"/>
      <c r="C1092" s="23"/>
      <c r="D1092" s="23"/>
      <c r="E1092" s="23"/>
      <c r="F1092" s="21"/>
      <c r="G1092" s="21"/>
      <c r="H1092" s="21"/>
      <c r="I1092" s="511"/>
    </row>
    <row r="1093" spans="1:9">
      <c r="A1093" s="509"/>
      <c r="B1093" s="510"/>
      <c r="C1093" s="23"/>
      <c r="D1093" s="23"/>
      <c r="E1093" s="23"/>
      <c r="F1093" s="21"/>
      <c r="G1093" s="21"/>
      <c r="H1093" s="21"/>
      <c r="I1093" s="511"/>
    </row>
    <row r="1094" spans="1:9">
      <c r="A1094" s="509"/>
      <c r="B1094" s="510"/>
      <c r="C1094" s="23"/>
      <c r="D1094" s="23"/>
      <c r="E1094" s="23"/>
      <c r="F1094" s="21"/>
      <c r="G1094" s="21"/>
      <c r="H1094" s="21"/>
      <c r="I1094" s="511"/>
    </row>
    <row r="1095" spans="1:9">
      <c r="A1095" s="509"/>
      <c r="B1095" s="510"/>
      <c r="C1095" s="23"/>
      <c r="D1095" s="23"/>
      <c r="E1095" s="23"/>
      <c r="F1095" s="21"/>
      <c r="G1095" s="21"/>
      <c r="H1095" s="21"/>
      <c r="I1095" s="511"/>
    </row>
    <row r="1096" spans="1:9">
      <c r="A1096" s="509"/>
      <c r="B1096" s="510"/>
      <c r="C1096" s="23"/>
      <c r="D1096" s="23"/>
      <c r="E1096" s="23"/>
      <c r="F1096" s="21"/>
      <c r="G1096" s="21"/>
      <c r="H1096" s="21"/>
      <c r="I1096" s="511"/>
    </row>
    <row r="1097" spans="1:9">
      <c r="A1097" s="509"/>
      <c r="B1097" s="510"/>
      <c r="C1097" s="23"/>
      <c r="D1097" s="23"/>
      <c r="E1097" s="23"/>
      <c r="F1097" s="21"/>
      <c r="G1097" s="21"/>
      <c r="H1097" s="21"/>
      <c r="I1097" s="511"/>
    </row>
    <row r="1098" spans="1:9">
      <c r="A1098" s="509"/>
      <c r="B1098" s="510"/>
      <c r="C1098" s="23"/>
      <c r="D1098" s="23"/>
      <c r="E1098" s="23"/>
      <c r="F1098" s="21"/>
      <c r="G1098" s="21"/>
      <c r="H1098" s="21"/>
      <c r="I1098" s="511"/>
    </row>
    <row r="1099" spans="1:9">
      <c r="A1099" s="509"/>
      <c r="B1099" s="510"/>
      <c r="C1099" s="23"/>
      <c r="D1099" s="23"/>
      <c r="E1099" s="23"/>
      <c r="F1099" s="21"/>
      <c r="G1099" s="21"/>
      <c r="H1099" s="21"/>
      <c r="I1099" s="511"/>
    </row>
    <row r="1100" spans="1:9">
      <c r="A1100" s="509"/>
      <c r="B1100" s="510"/>
      <c r="C1100" s="23"/>
      <c r="D1100" s="23"/>
      <c r="E1100" s="23"/>
      <c r="F1100" s="21"/>
      <c r="G1100" s="21"/>
      <c r="H1100" s="21"/>
      <c r="I1100" s="511"/>
    </row>
    <row r="1101" spans="1:9">
      <c r="A1101" s="509"/>
      <c r="B1101" s="510"/>
      <c r="C1101" s="23"/>
      <c r="D1101" s="23"/>
      <c r="E1101" s="23"/>
      <c r="F1101" s="21"/>
      <c r="G1101" s="21"/>
      <c r="H1101" s="21"/>
      <c r="I1101" s="511"/>
    </row>
    <row r="1102" spans="1:9">
      <c r="A1102" s="509"/>
      <c r="B1102" s="510"/>
      <c r="C1102" s="23"/>
      <c r="D1102" s="23"/>
      <c r="E1102" s="23"/>
      <c r="F1102" s="21"/>
      <c r="G1102" s="21"/>
      <c r="H1102" s="21"/>
      <c r="I1102" s="511"/>
    </row>
    <row r="1103" spans="1:9">
      <c r="A1103" s="509"/>
      <c r="B1103" s="510"/>
      <c r="C1103" s="23"/>
      <c r="D1103" s="23"/>
      <c r="E1103" s="23"/>
      <c r="F1103" s="21"/>
      <c r="G1103" s="21"/>
      <c r="H1103" s="21"/>
      <c r="I1103" s="511"/>
    </row>
    <row r="1104" spans="1:9">
      <c r="A1104" s="509"/>
      <c r="B1104" s="510"/>
      <c r="C1104" s="23"/>
      <c r="D1104" s="23"/>
      <c r="E1104" s="23"/>
      <c r="F1104" s="21"/>
      <c r="G1104" s="21"/>
      <c r="H1104" s="21"/>
      <c r="I1104" s="511"/>
    </row>
    <row r="1105" spans="1:9">
      <c r="A1105" s="509"/>
      <c r="B1105" s="510"/>
      <c r="C1105" s="23"/>
      <c r="D1105" s="23"/>
      <c r="E1105" s="23"/>
      <c r="F1105" s="21"/>
      <c r="G1105" s="21"/>
      <c r="H1105" s="21"/>
      <c r="I1105" s="511"/>
    </row>
    <row r="1106" spans="1:9">
      <c r="A1106" s="509"/>
      <c r="B1106" s="510"/>
      <c r="C1106" s="23"/>
      <c r="D1106" s="23"/>
      <c r="E1106" s="23"/>
      <c r="F1106" s="21"/>
      <c r="G1106" s="21"/>
      <c r="H1106" s="21"/>
      <c r="I1106" s="511"/>
    </row>
    <row r="1107" spans="1:9">
      <c r="A1107" s="509"/>
      <c r="B1107" s="510"/>
      <c r="C1107" s="23"/>
      <c r="D1107" s="23"/>
      <c r="E1107" s="23"/>
      <c r="F1107" s="21"/>
      <c r="G1107" s="21"/>
      <c r="H1107" s="21"/>
      <c r="I1107" s="511"/>
    </row>
    <row r="1108" spans="1:9">
      <c r="A1108" s="509"/>
      <c r="B1108" s="510"/>
      <c r="C1108" s="23"/>
      <c r="D1108" s="23"/>
      <c r="E1108" s="23"/>
      <c r="F1108" s="21"/>
      <c r="G1108" s="21"/>
      <c r="H1108" s="21"/>
      <c r="I1108" s="511"/>
    </row>
    <row r="1109" spans="1:9">
      <c r="A1109" s="509"/>
      <c r="B1109" s="510"/>
      <c r="C1109" s="23"/>
      <c r="D1109" s="23"/>
      <c r="E1109" s="23"/>
      <c r="F1109" s="21"/>
      <c r="G1109" s="21"/>
      <c r="H1109" s="21"/>
      <c r="I1109" s="511"/>
    </row>
    <row r="1110" spans="1:9">
      <c r="A1110" s="509"/>
      <c r="B1110" s="510"/>
      <c r="C1110" s="23"/>
      <c r="D1110" s="23"/>
      <c r="E1110" s="23"/>
      <c r="F1110" s="21"/>
      <c r="G1110" s="21"/>
      <c r="H1110" s="21"/>
      <c r="I1110" s="511"/>
    </row>
    <row r="1111" spans="1:9">
      <c r="A1111" s="509"/>
      <c r="B1111" s="510"/>
      <c r="C1111" s="23"/>
      <c r="D1111" s="23"/>
      <c r="E1111" s="23"/>
      <c r="F1111" s="21"/>
      <c r="G1111" s="21"/>
      <c r="H1111" s="21"/>
      <c r="I1111" s="511"/>
    </row>
    <row r="1112" spans="1:9">
      <c r="A1112" s="509"/>
      <c r="B1112" s="510"/>
      <c r="C1112" s="23"/>
      <c r="D1112" s="23"/>
      <c r="E1112" s="23"/>
      <c r="F1112" s="21"/>
      <c r="G1112" s="21"/>
      <c r="H1112" s="21"/>
      <c r="I1112" s="511"/>
    </row>
    <row r="1113" spans="1:9">
      <c r="A1113" s="509"/>
      <c r="B1113" s="510"/>
      <c r="C1113" s="23"/>
      <c r="D1113" s="23"/>
      <c r="E1113" s="23"/>
      <c r="F1113" s="21"/>
      <c r="G1113" s="21"/>
      <c r="H1113" s="21"/>
      <c r="I1113" s="511"/>
    </row>
    <row r="1114" spans="1:9">
      <c r="A1114" s="509"/>
      <c r="B1114" s="510"/>
      <c r="C1114" s="23"/>
      <c r="D1114" s="23"/>
      <c r="E1114" s="23"/>
      <c r="F1114" s="21"/>
      <c r="G1114" s="21"/>
      <c r="H1114" s="21"/>
      <c r="I1114" s="511"/>
    </row>
    <row r="1115" spans="1:9">
      <c r="A1115" s="509"/>
      <c r="B1115" s="510"/>
      <c r="C1115" s="23"/>
      <c r="D1115" s="23"/>
      <c r="E1115" s="23"/>
      <c r="F1115" s="21"/>
      <c r="G1115" s="21"/>
      <c r="H1115" s="21"/>
      <c r="I1115" s="511"/>
    </row>
    <row r="1116" spans="1:9">
      <c r="A1116" s="509"/>
      <c r="B1116" s="510"/>
      <c r="C1116" s="23"/>
      <c r="D1116" s="23"/>
      <c r="E1116" s="23"/>
      <c r="F1116" s="21"/>
      <c r="G1116" s="21"/>
      <c r="H1116" s="21"/>
      <c r="I1116" s="511"/>
    </row>
    <row r="1117" spans="1:9">
      <c r="A1117" s="509"/>
      <c r="B1117" s="510"/>
      <c r="C1117" s="23"/>
      <c r="D1117" s="23"/>
      <c r="E1117" s="23"/>
      <c r="F1117" s="21"/>
      <c r="G1117" s="21"/>
      <c r="H1117" s="21"/>
      <c r="I1117" s="511"/>
    </row>
    <row r="1118" spans="1:9">
      <c r="A1118" s="509"/>
      <c r="B1118" s="510"/>
      <c r="C1118" s="23"/>
      <c r="D1118" s="23"/>
      <c r="E1118" s="23"/>
      <c r="F1118" s="21"/>
      <c r="G1118" s="21"/>
      <c r="H1118" s="21"/>
      <c r="I1118" s="511"/>
    </row>
    <row r="1119" spans="1:9">
      <c r="A1119" s="509"/>
      <c r="B1119" s="510"/>
      <c r="C1119" s="23"/>
      <c r="D1119" s="23"/>
      <c r="E1119" s="23"/>
      <c r="F1119" s="21"/>
      <c r="G1119" s="21"/>
      <c r="H1119" s="21"/>
      <c r="I1119" s="511"/>
    </row>
    <row r="1120" spans="1:9">
      <c r="A1120" s="509"/>
      <c r="B1120" s="510"/>
      <c r="C1120" s="23"/>
      <c r="D1120" s="23"/>
      <c r="E1120" s="23"/>
      <c r="F1120" s="21"/>
      <c r="G1120" s="21"/>
      <c r="H1120" s="21"/>
      <c r="I1120" s="511"/>
    </row>
    <row r="1121" spans="1:9">
      <c r="A1121" s="509"/>
      <c r="B1121" s="510"/>
      <c r="C1121" s="23"/>
      <c r="D1121" s="23"/>
      <c r="E1121" s="23"/>
      <c r="F1121" s="21"/>
      <c r="G1121" s="21"/>
      <c r="H1121" s="21"/>
      <c r="I1121" s="511"/>
    </row>
    <row r="1122" spans="1:9">
      <c r="A1122" s="509"/>
      <c r="B1122" s="510"/>
      <c r="C1122" s="23"/>
      <c r="D1122" s="23"/>
      <c r="E1122" s="23"/>
      <c r="F1122" s="21"/>
      <c r="G1122" s="21"/>
      <c r="H1122" s="21"/>
      <c r="I1122" s="511"/>
    </row>
    <row r="1123" spans="1:9">
      <c r="A1123" s="509"/>
      <c r="B1123" s="510"/>
      <c r="C1123" s="23"/>
      <c r="D1123" s="23"/>
      <c r="E1123" s="23"/>
      <c r="F1123" s="21"/>
      <c r="G1123" s="21"/>
      <c r="H1123" s="21"/>
      <c r="I1123" s="511"/>
    </row>
    <row r="1124" spans="1:9">
      <c r="A1124" s="509"/>
      <c r="B1124" s="510"/>
      <c r="C1124" s="23"/>
      <c r="D1124" s="23"/>
      <c r="E1124" s="23"/>
      <c r="F1124" s="21"/>
      <c r="G1124" s="21"/>
      <c r="H1124" s="21"/>
      <c r="I1124" s="511"/>
    </row>
    <row r="1125" spans="1:9">
      <c r="A1125" s="509"/>
      <c r="B1125" s="510"/>
      <c r="C1125" s="23"/>
      <c r="D1125" s="23"/>
      <c r="E1125" s="23"/>
      <c r="F1125" s="21"/>
      <c r="G1125" s="21"/>
      <c r="H1125" s="21"/>
      <c r="I1125" s="511"/>
    </row>
    <row r="1126" spans="1:9">
      <c r="A1126" s="509"/>
      <c r="B1126" s="510"/>
      <c r="C1126" s="23"/>
      <c r="D1126" s="23"/>
      <c r="E1126" s="23"/>
      <c r="F1126" s="21"/>
      <c r="G1126" s="21"/>
      <c r="H1126" s="21"/>
      <c r="I1126" s="511"/>
    </row>
    <row r="1127" spans="1:9">
      <c r="A1127" s="509"/>
      <c r="B1127" s="510"/>
      <c r="C1127" s="23"/>
      <c r="D1127" s="23"/>
      <c r="E1127" s="23"/>
      <c r="F1127" s="21"/>
      <c r="G1127" s="21"/>
      <c r="H1127" s="21"/>
      <c r="I1127" s="511"/>
    </row>
    <row r="1128" spans="1:9">
      <c r="A1128" s="509"/>
      <c r="B1128" s="510"/>
      <c r="C1128" s="23"/>
      <c r="D1128" s="23"/>
      <c r="E1128" s="23"/>
      <c r="F1128" s="21"/>
      <c r="G1128" s="21"/>
      <c r="H1128" s="21"/>
      <c r="I1128" s="511"/>
    </row>
    <row r="1129" spans="1:9">
      <c r="A1129" s="509"/>
      <c r="B1129" s="510"/>
      <c r="C1129" s="23"/>
      <c r="D1129" s="23"/>
      <c r="E1129" s="23"/>
      <c r="F1129" s="21"/>
      <c r="G1129" s="21"/>
      <c r="H1129" s="21"/>
      <c r="I1129" s="511"/>
    </row>
    <row r="1130" spans="1:9">
      <c r="A1130" s="509"/>
      <c r="B1130" s="510"/>
      <c r="C1130" s="23"/>
      <c r="D1130" s="23"/>
      <c r="E1130" s="23"/>
      <c r="F1130" s="21"/>
      <c r="G1130" s="21"/>
      <c r="H1130" s="21"/>
      <c r="I1130" s="511"/>
    </row>
    <row r="1131" spans="1:9">
      <c r="A1131" s="509"/>
      <c r="B1131" s="510"/>
      <c r="C1131" s="23"/>
      <c r="D1131" s="23"/>
      <c r="E1131" s="23"/>
      <c r="F1131" s="21"/>
      <c r="G1131" s="21"/>
      <c r="H1131" s="21"/>
      <c r="I1131" s="511"/>
    </row>
    <row r="1132" spans="1:9">
      <c r="A1132" s="509"/>
      <c r="B1132" s="510"/>
      <c r="C1132" s="23"/>
      <c r="D1132" s="23"/>
      <c r="E1132" s="23"/>
      <c r="F1132" s="21"/>
      <c r="G1132" s="21"/>
      <c r="H1132" s="21"/>
      <c r="I1132" s="511"/>
    </row>
    <row r="1133" spans="1:9">
      <c r="A1133" s="509"/>
      <c r="B1133" s="510"/>
      <c r="C1133" s="23"/>
      <c r="D1133" s="23"/>
      <c r="E1133" s="23"/>
      <c r="F1133" s="21"/>
      <c r="G1133" s="21"/>
      <c r="H1133" s="21"/>
      <c r="I1133" s="511"/>
    </row>
    <row r="1134" spans="1:9">
      <c r="A1134" s="509"/>
      <c r="B1134" s="510"/>
      <c r="C1134" s="23"/>
      <c r="D1134" s="23"/>
      <c r="E1134" s="23"/>
      <c r="F1134" s="21"/>
      <c r="G1134" s="21"/>
      <c r="H1134" s="21"/>
      <c r="I1134" s="511"/>
    </row>
    <row r="1135" spans="1:9">
      <c r="A1135" s="509"/>
      <c r="B1135" s="510"/>
      <c r="C1135" s="23"/>
      <c r="D1135" s="23"/>
      <c r="E1135" s="23"/>
      <c r="F1135" s="21"/>
      <c r="G1135" s="21"/>
      <c r="H1135" s="21"/>
      <c r="I1135" s="511"/>
    </row>
    <row r="1136" spans="1:9">
      <c r="A1136" s="509"/>
      <c r="B1136" s="510"/>
      <c r="C1136" s="23"/>
      <c r="D1136" s="23"/>
      <c r="E1136" s="23"/>
      <c r="F1136" s="21"/>
      <c r="G1136" s="21"/>
      <c r="H1136" s="21"/>
      <c r="I1136" s="511"/>
    </row>
    <row r="1137" spans="1:9">
      <c r="A1137" s="509"/>
      <c r="B1137" s="510"/>
      <c r="C1137" s="23"/>
      <c r="D1137" s="23"/>
      <c r="E1137" s="23"/>
      <c r="F1137" s="21"/>
      <c r="G1137" s="21"/>
      <c r="H1137" s="21"/>
      <c r="I1137" s="511"/>
    </row>
    <row r="1138" spans="1:9">
      <c r="A1138" s="509"/>
      <c r="B1138" s="510"/>
      <c r="C1138" s="23"/>
      <c r="D1138" s="23"/>
      <c r="E1138" s="23"/>
      <c r="F1138" s="21"/>
      <c r="G1138" s="21"/>
      <c r="H1138" s="21"/>
      <c r="I1138" s="511"/>
    </row>
    <row r="1139" spans="1:9">
      <c r="A1139" s="509"/>
      <c r="B1139" s="510"/>
      <c r="C1139" s="23"/>
      <c r="D1139" s="23"/>
      <c r="E1139" s="23"/>
      <c r="F1139" s="21"/>
      <c r="G1139" s="21"/>
      <c r="H1139" s="21"/>
      <c r="I1139" s="511"/>
    </row>
    <row r="1140" spans="1:9">
      <c r="A1140" s="509"/>
      <c r="B1140" s="510"/>
      <c r="C1140" s="23"/>
      <c r="D1140" s="23"/>
      <c r="E1140" s="23"/>
      <c r="F1140" s="21"/>
      <c r="G1140" s="21"/>
      <c r="H1140" s="21"/>
      <c r="I1140" s="511"/>
    </row>
    <row r="1141" spans="1:9">
      <c r="A1141" s="509"/>
      <c r="B1141" s="510"/>
      <c r="C1141" s="23"/>
      <c r="D1141" s="23"/>
      <c r="E1141" s="23"/>
      <c r="F1141" s="21"/>
      <c r="G1141" s="21"/>
      <c r="H1141" s="21"/>
      <c r="I1141" s="511"/>
    </row>
    <row r="1142" spans="1:9">
      <c r="A1142" s="509"/>
      <c r="B1142" s="510"/>
      <c r="C1142" s="23"/>
      <c r="D1142" s="23"/>
      <c r="E1142" s="23"/>
      <c r="F1142" s="21"/>
      <c r="G1142" s="21"/>
      <c r="H1142" s="21"/>
      <c r="I1142" s="511"/>
    </row>
    <row r="1143" spans="1:9">
      <c r="A1143" s="509"/>
      <c r="B1143" s="510"/>
      <c r="C1143" s="23"/>
      <c r="D1143" s="23"/>
      <c r="E1143" s="23"/>
      <c r="F1143" s="21"/>
      <c r="G1143" s="21"/>
      <c r="H1143" s="21"/>
      <c r="I1143" s="511"/>
    </row>
    <row r="1144" spans="1:9">
      <c r="A1144" s="509"/>
      <c r="B1144" s="510"/>
      <c r="C1144" s="23"/>
      <c r="D1144" s="23"/>
      <c r="E1144" s="23"/>
      <c r="F1144" s="21"/>
      <c r="G1144" s="21"/>
      <c r="H1144" s="21"/>
      <c r="I1144" s="511"/>
    </row>
    <row r="1145" spans="1:9">
      <c r="A1145" s="509"/>
      <c r="B1145" s="510"/>
      <c r="C1145" s="23"/>
      <c r="D1145" s="23"/>
      <c r="E1145" s="23"/>
      <c r="F1145" s="21"/>
      <c r="G1145" s="21"/>
      <c r="H1145" s="21"/>
      <c r="I1145" s="511"/>
    </row>
    <row r="1146" spans="1:9">
      <c r="A1146" s="509"/>
      <c r="B1146" s="510"/>
      <c r="C1146" s="23"/>
      <c r="D1146" s="23"/>
      <c r="E1146" s="23"/>
      <c r="F1146" s="21"/>
      <c r="G1146" s="21"/>
      <c r="H1146" s="21"/>
      <c r="I1146" s="511"/>
    </row>
    <row r="1147" spans="1:9">
      <c r="A1147" s="509"/>
      <c r="B1147" s="510"/>
      <c r="C1147" s="23"/>
      <c r="D1147" s="23"/>
      <c r="E1147" s="23"/>
      <c r="F1147" s="21"/>
      <c r="G1147" s="21"/>
      <c r="H1147" s="21"/>
      <c r="I1147" s="511"/>
    </row>
    <row r="1148" spans="1:9">
      <c r="A1148" s="509"/>
      <c r="B1148" s="510"/>
      <c r="C1148" s="23"/>
      <c r="D1148" s="23"/>
      <c r="E1148" s="23"/>
      <c r="F1148" s="21"/>
      <c r="G1148" s="21"/>
      <c r="H1148" s="21"/>
      <c r="I1148" s="511"/>
    </row>
    <row r="1149" spans="1:9">
      <c r="A1149" s="509"/>
      <c r="B1149" s="510"/>
      <c r="C1149" s="23"/>
      <c r="D1149" s="23"/>
      <c r="E1149" s="23"/>
      <c r="F1149" s="21"/>
      <c r="G1149" s="21"/>
      <c r="H1149" s="21"/>
      <c r="I1149" s="511"/>
    </row>
    <row r="1150" spans="1:9">
      <c r="A1150" s="509"/>
      <c r="B1150" s="510"/>
      <c r="C1150" s="23"/>
      <c r="D1150" s="23"/>
      <c r="E1150" s="23"/>
      <c r="F1150" s="21"/>
      <c r="G1150" s="21"/>
      <c r="H1150" s="21"/>
      <c r="I1150" s="511"/>
    </row>
    <row r="1151" spans="1:9">
      <c r="A1151" s="509"/>
      <c r="B1151" s="510"/>
      <c r="C1151" s="23"/>
      <c r="D1151" s="23"/>
      <c r="E1151" s="23"/>
      <c r="F1151" s="21"/>
      <c r="G1151" s="21"/>
      <c r="H1151" s="21"/>
      <c r="I1151" s="511"/>
    </row>
    <row r="1152" spans="1:9">
      <c r="A1152" s="509"/>
      <c r="B1152" s="510"/>
      <c r="C1152" s="23"/>
      <c r="D1152" s="23"/>
      <c r="E1152" s="23"/>
      <c r="F1152" s="21"/>
      <c r="G1152" s="21"/>
      <c r="H1152" s="21"/>
      <c r="I1152" s="511"/>
    </row>
    <row r="1153" spans="1:9">
      <c r="A1153" s="509"/>
      <c r="B1153" s="510"/>
      <c r="C1153" s="23"/>
      <c r="D1153" s="23"/>
      <c r="E1153" s="23"/>
      <c r="F1153" s="21"/>
      <c r="G1153" s="21"/>
      <c r="H1153" s="21"/>
      <c r="I1153" s="511"/>
    </row>
    <row r="1154" spans="1:9">
      <c r="A1154" s="509"/>
      <c r="B1154" s="510"/>
      <c r="C1154" s="23"/>
      <c r="D1154" s="23"/>
      <c r="E1154" s="23"/>
      <c r="F1154" s="21"/>
      <c r="G1154" s="21"/>
      <c r="H1154" s="21"/>
      <c r="I1154" s="511"/>
    </row>
    <row r="1155" spans="1:9">
      <c r="A1155" s="509"/>
      <c r="B1155" s="510"/>
      <c r="C1155" s="23"/>
      <c r="D1155" s="23"/>
      <c r="E1155" s="23"/>
      <c r="F1155" s="21"/>
      <c r="G1155" s="21"/>
      <c r="H1155" s="21"/>
      <c r="I1155" s="511"/>
    </row>
    <row r="1156" spans="1:9">
      <c r="A1156" s="509"/>
      <c r="B1156" s="510"/>
      <c r="C1156" s="23"/>
      <c r="D1156" s="23"/>
      <c r="E1156" s="23"/>
      <c r="F1156" s="21"/>
      <c r="G1156" s="21"/>
      <c r="H1156" s="21"/>
      <c r="I1156" s="511"/>
    </row>
    <row r="1157" spans="1:9">
      <c r="A1157" s="509"/>
      <c r="B1157" s="510"/>
      <c r="C1157" s="23"/>
      <c r="D1157" s="23"/>
      <c r="E1157" s="23"/>
      <c r="F1157" s="21"/>
      <c r="G1157" s="21"/>
      <c r="H1157" s="21"/>
      <c r="I1157" s="511"/>
    </row>
    <row r="1158" spans="1:9">
      <c r="A1158" s="509"/>
      <c r="B1158" s="510"/>
      <c r="C1158" s="23"/>
      <c r="D1158" s="23"/>
      <c r="E1158" s="23"/>
      <c r="F1158" s="21"/>
      <c r="G1158" s="21"/>
      <c r="H1158" s="21"/>
      <c r="I1158" s="511"/>
    </row>
    <row r="1159" spans="1:9">
      <c r="A1159" s="509"/>
      <c r="B1159" s="510"/>
      <c r="C1159" s="23"/>
      <c r="D1159" s="23"/>
      <c r="E1159" s="23"/>
      <c r="F1159" s="21"/>
      <c r="G1159" s="21"/>
      <c r="H1159" s="21"/>
      <c r="I1159" s="511"/>
    </row>
    <row r="1160" spans="1:9">
      <c r="A1160" s="509"/>
      <c r="B1160" s="510"/>
      <c r="C1160" s="23"/>
      <c r="D1160" s="23"/>
      <c r="E1160" s="23"/>
      <c r="F1160" s="21"/>
      <c r="G1160" s="21"/>
      <c r="H1160" s="21"/>
      <c r="I1160" s="511"/>
    </row>
    <row r="1161" spans="1:9">
      <c r="A1161" s="509"/>
      <c r="B1161" s="510"/>
      <c r="C1161" s="23"/>
      <c r="D1161" s="23"/>
      <c r="E1161" s="23"/>
      <c r="F1161" s="21"/>
      <c r="G1161" s="21"/>
      <c r="H1161" s="21"/>
      <c r="I1161" s="511"/>
    </row>
    <row r="1162" spans="1:9">
      <c r="A1162" s="509"/>
      <c r="B1162" s="510"/>
      <c r="C1162" s="23"/>
      <c r="D1162" s="23"/>
      <c r="E1162" s="23"/>
      <c r="F1162" s="21"/>
      <c r="G1162" s="21"/>
      <c r="H1162" s="21"/>
      <c r="I1162" s="511"/>
    </row>
    <row r="1163" spans="1:9">
      <c r="A1163" s="509"/>
      <c r="B1163" s="510"/>
      <c r="C1163" s="23"/>
      <c r="D1163" s="23"/>
      <c r="E1163" s="23"/>
      <c r="F1163" s="21"/>
      <c r="G1163" s="21"/>
      <c r="H1163" s="21"/>
      <c r="I1163" s="511"/>
    </row>
    <row r="1164" spans="1:9">
      <c r="A1164" s="509"/>
      <c r="B1164" s="510"/>
      <c r="C1164" s="23"/>
      <c r="D1164" s="23"/>
      <c r="E1164" s="23"/>
      <c r="F1164" s="21"/>
      <c r="G1164" s="21"/>
      <c r="H1164" s="21"/>
      <c r="I1164" s="511"/>
    </row>
    <row r="1165" spans="1:9">
      <c r="A1165" s="509"/>
      <c r="B1165" s="510"/>
      <c r="C1165" s="23"/>
      <c r="D1165" s="23"/>
      <c r="E1165" s="23"/>
      <c r="F1165" s="21"/>
      <c r="G1165" s="21"/>
      <c r="H1165" s="21"/>
      <c r="I1165" s="511"/>
    </row>
    <row r="1166" spans="1:9">
      <c r="A1166" s="509"/>
      <c r="B1166" s="510"/>
      <c r="C1166" s="23"/>
      <c r="D1166" s="23"/>
      <c r="E1166" s="23"/>
      <c r="F1166" s="21"/>
      <c r="G1166" s="21"/>
      <c r="H1166" s="21"/>
      <c r="I1166" s="511"/>
    </row>
    <row r="1167" spans="1:9">
      <c r="A1167" s="509"/>
      <c r="B1167" s="510"/>
      <c r="C1167" s="23"/>
      <c r="D1167" s="23"/>
      <c r="E1167" s="23"/>
      <c r="F1167" s="21"/>
      <c r="G1167" s="21"/>
      <c r="H1167" s="21"/>
      <c r="I1167" s="511"/>
    </row>
    <row r="1168" spans="1:9">
      <c r="A1168" s="509"/>
      <c r="B1168" s="510"/>
      <c r="C1168" s="23"/>
      <c r="D1168" s="23"/>
      <c r="E1168" s="23"/>
      <c r="F1168" s="21"/>
      <c r="G1168" s="21"/>
      <c r="H1168" s="21"/>
      <c r="I1168" s="511"/>
    </row>
    <row r="1169" spans="1:9">
      <c r="A1169" s="509"/>
      <c r="B1169" s="510"/>
      <c r="C1169" s="23"/>
      <c r="D1169" s="23"/>
      <c r="E1169" s="23"/>
      <c r="F1169" s="21"/>
      <c r="G1169" s="21"/>
      <c r="H1169" s="21"/>
      <c r="I1169" s="511"/>
    </row>
    <row r="1170" spans="1:9">
      <c r="A1170" s="509"/>
      <c r="B1170" s="510"/>
      <c r="C1170" s="23"/>
      <c r="D1170" s="23"/>
      <c r="E1170" s="23"/>
      <c r="F1170" s="21"/>
      <c r="G1170" s="21"/>
      <c r="H1170" s="21"/>
      <c r="I1170" s="511"/>
    </row>
    <row r="1171" spans="1:9">
      <c r="A1171" s="509"/>
      <c r="B1171" s="510"/>
      <c r="C1171" s="23"/>
      <c r="D1171" s="23"/>
      <c r="E1171" s="23"/>
      <c r="F1171" s="21"/>
      <c r="G1171" s="21"/>
      <c r="H1171" s="21"/>
      <c r="I1171" s="511"/>
    </row>
    <row r="1172" spans="1:9">
      <c r="A1172" s="509"/>
      <c r="B1172" s="510"/>
      <c r="C1172" s="23"/>
      <c r="D1172" s="23"/>
      <c r="E1172" s="23"/>
      <c r="F1172" s="21"/>
      <c r="G1172" s="21"/>
      <c r="H1172" s="21"/>
      <c r="I1172" s="511"/>
    </row>
    <row r="1173" spans="1:9">
      <c r="A1173" s="509"/>
      <c r="B1173" s="510"/>
      <c r="C1173" s="23"/>
      <c r="D1173" s="23"/>
      <c r="E1173" s="23"/>
      <c r="F1173" s="21"/>
      <c r="G1173" s="21"/>
      <c r="H1173" s="21"/>
      <c r="I1173" s="511"/>
    </row>
    <row r="1174" spans="1:9">
      <c r="A1174" s="509"/>
      <c r="B1174" s="510"/>
      <c r="C1174" s="23"/>
      <c r="D1174" s="23"/>
      <c r="E1174" s="23"/>
      <c r="F1174" s="21"/>
      <c r="G1174" s="21"/>
      <c r="H1174" s="21"/>
      <c r="I1174" s="511"/>
    </row>
    <row r="1175" spans="1:9">
      <c r="A1175" s="509"/>
      <c r="B1175" s="510"/>
      <c r="C1175" s="23"/>
      <c r="D1175" s="23"/>
      <c r="E1175" s="23"/>
      <c r="F1175" s="21"/>
      <c r="G1175" s="21"/>
      <c r="H1175" s="21"/>
      <c r="I1175" s="511"/>
    </row>
    <row r="1176" spans="1:9">
      <c r="A1176" s="509"/>
      <c r="B1176" s="510"/>
      <c r="C1176" s="23"/>
      <c r="D1176" s="23"/>
      <c r="E1176" s="23"/>
      <c r="F1176" s="21"/>
      <c r="G1176" s="21"/>
      <c r="H1176" s="21"/>
      <c r="I1176" s="511"/>
    </row>
    <row r="1177" spans="1:9">
      <c r="A1177" s="509"/>
      <c r="B1177" s="510"/>
      <c r="C1177" s="23"/>
      <c r="D1177" s="23"/>
      <c r="E1177" s="23"/>
      <c r="F1177" s="21"/>
      <c r="G1177" s="21"/>
      <c r="H1177" s="21"/>
      <c r="I1177" s="511"/>
    </row>
    <row r="1178" spans="1:9">
      <c r="A1178" s="509"/>
      <c r="B1178" s="510"/>
      <c r="C1178" s="23"/>
      <c r="D1178" s="23"/>
      <c r="E1178" s="23"/>
      <c r="F1178" s="21"/>
      <c r="G1178" s="21"/>
      <c r="H1178" s="21"/>
      <c r="I1178" s="511"/>
    </row>
    <row r="1179" spans="1:9">
      <c r="A1179" s="509"/>
      <c r="B1179" s="510"/>
      <c r="C1179" s="23"/>
      <c r="D1179" s="23"/>
      <c r="E1179" s="23"/>
      <c r="F1179" s="21"/>
      <c r="G1179" s="21"/>
      <c r="H1179" s="21"/>
      <c r="I1179" s="511"/>
    </row>
    <row r="1180" spans="1:9">
      <c r="A1180" s="509"/>
      <c r="B1180" s="510"/>
      <c r="C1180" s="23"/>
      <c r="D1180" s="23"/>
      <c r="E1180" s="23"/>
      <c r="F1180" s="21"/>
      <c r="G1180" s="21"/>
      <c r="H1180" s="21"/>
      <c r="I1180" s="511"/>
    </row>
    <row r="1181" spans="1:9">
      <c r="A1181" s="509"/>
      <c r="B1181" s="510"/>
      <c r="C1181" s="23"/>
      <c r="D1181" s="23"/>
      <c r="E1181" s="23"/>
      <c r="F1181" s="21"/>
      <c r="G1181" s="21"/>
      <c r="H1181" s="21"/>
      <c r="I1181" s="511"/>
    </row>
    <row r="1182" spans="1:9">
      <c r="A1182" s="509"/>
      <c r="B1182" s="510"/>
      <c r="C1182" s="23"/>
      <c r="D1182" s="23"/>
      <c r="E1182" s="23"/>
      <c r="F1182" s="21"/>
      <c r="G1182" s="21"/>
      <c r="H1182" s="21"/>
      <c r="I1182" s="511"/>
    </row>
    <row r="1183" spans="1:9">
      <c r="A1183" s="509"/>
      <c r="B1183" s="510"/>
      <c r="C1183" s="23"/>
      <c r="D1183" s="23"/>
      <c r="E1183" s="23"/>
      <c r="F1183" s="21"/>
      <c r="G1183" s="21"/>
      <c r="H1183" s="21"/>
      <c r="I1183" s="511"/>
    </row>
    <row r="1184" spans="1:9">
      <c r="A1184" s="509"/>
      <c r="B1184" s="510"/>
      <c r="C1184" s="23"/>
      <c r="D1184" s="23"/>
      <c r="E1184" s="23"/>
      <c r="F1184" s="21"/>
      <c r="G1184" s="21"/>
      <c r="H1184" s="21"/>
      <c r="I1184" s="511"/>
    </row>
    <row r="1185" spans="1:9">
      <c r="A1185" s="509"/>
      <c r="B1185" s="510"/>
      <c r="C1185" s="23"/>
      <c r="D1185" s="23"/>
      <c r="E1185" s="23"/>
      <c r="F1185" s="21"/>
      <c r="G1185" s="21"/>
      <c r="H1185" s="21"/>
      <c r="I1185" s="511"/>
    </row>
    <row r="1186" spans="1:9">
      <c r="A1186" s="509"/>
      <c r="B1186" s="510"/>
      <c r="C1186" s="23"/>
      <c r="D1186" s="23"/>
      <c r="E1186" s="23"/>
      <c r="F1186" s="21"/>
      <c r="G1186" s="21"/>
      <c r="H1186" s="21"/>
      <c r="I1186" s="511"/>
    </row>
    <row r="1187" spans="1:9">
      <c r="A1187" s="509"/>
      <c r="B1187" s="510"/>
      <c r="C1187" s="23"/>
      <c r="D1187" s="23"/>
      <c r="E1187" s="23"/>
      <c r="F1187" s="21"/>
      <c r="G1187" s="21"/>
      <c r="H1187" s="21"/>
      <c r="I1187" s="511"/>
    </row>
    <row r="1188" spans="1:9">
      <c r="A1188" s="509"/>
      <c r="B1188" s="510"/>
      <c r="C1188" s="23"/>
      <c r="D1188" s="23"/>
      <c r="E1188" s="23"/>
      <c r="F1188" s="21"/>
      <c r="G1188" s="21"/>
      <c r="H1188" s="21"/>
      <c r="I1188" s="511"/>
    </row>
    <row r="1189" spans="1:9">
      <c r="A1189" s="509"/>
      <c r="B1189" s="510"/>
      <c r="C1189" s="23"/>
      <c r="D1189" s="23"/>
      <c r="E1189" s="23"/>
      <c r="F1189" s="21"/>
      <c r="G1189" s="21"/>
      <c r="H1189" s="21"/>
      <c r="I1189" s="511"/>
    </row>
    <row r="1190" spans="1:9">
      <c r="A1190" s="509"/>
      <c r="B1190" s="510"/>
      <c r="C1190" s="23"/>
      <c r="D1190" s="23"/>
      <c r="E1190" s="23"/>
      <c r="F1190" s="21"/>
      <c r="G1190" s="21"/>
      <c r="H1190" s="21"/>
      <c r="I1190" s="511"/>
    </row>
    <row r="1191" spans="1:9">
      <c r="A1191" s="509"/>
      <c r="B1191" s="510"/>
      <c r="C1191" s="23"/>
      <c r="D1191" s="23"/>
      <c r="E1191" s="23"/>
      <c r="F1191" s="21"/>
      <c r="G1191" s="21"/>
      <c r="H1191" s="21"/>
      <c r="I1191" s="511"/>
    </row>
    <row r="1192" spans="1:9">
      <c r="A1192" s="509"/>
      <c r="B1192" s="510"/>
      <c r="C1192" s="23"/>
      <c r="D1192" s="23"/>
      <c r="E1192" s="23"/>
      <c r="F1192" s="21"/>
      <c r="G1192" s="21"/>
      <c r="H1192" s="21"/>
      <c r="I1192" s="511"/>
    </row>
    <row r="1193" spans="1:9">
      <c r="A1193" s="509"/>
      <c r="B1193" s="510"/>
      <c r="C1193" s="23"/>
      <c r="D1193" s="23"/>
      <c r="E1193" s="23"/>
      <c r="F1193" s="21"/>
      <c r="G1193" s="21"/>
      <c r="H1193" s="21"/>
      <c r="I1193" s="511"/>
    </row>
    <row r="1194" spans="1:9">
      <c r="A1194" s="509"/>
      <c r="B1194" s="510"/>
      <c r="C1194" s="23"/>
      <c r="D1194" s="23"/>
      <c r="E1194" s="23"/>
      <c r="F1194" s="21"/>
      <c r="G1194" s="21"/>
      <c r="H1194" s="21"/>
      <c r="I1194" s="511"/>
    </row>
    <row r="1195" spans="1:9">
      <c r="A1195" s="509"/>
      <c r="B1195" s="510"/>
      <c r="C1195" s="23"/>
      <c r="D1195" s="23"/>
      <c r="E1195" s="23"/>
      <c r="F1195" s="21"/>
      <c r="G1195" s="21"/>
      <c r="H1195" s="21"/>
      <c r="I1195" s="511"/>
    </row>
    <row r="1196" spans="1:9">
      <c r="A1196" s="509"/>
      <c r="B1196" s="510"/>
      <c r="C1196" s="23"/>
      <c r="D1196" s="23"/>
      <c r="E1196" s="23"/>
      <c r="F1196" s="21"/>
      <c r="G1196" s="21"/>
      <c r="H1196" s="21"/>
      <c r="I1196" s="511"/>
    </row>
    <row r="1197" spans="1:9">
      <c r="A1197" s="509"/>
      <c r="B1197" s="510"/>
      <c r="C1197" s="23"/>
      <c r="D1197" s="23"/>
      <c r="E1197" s="23"/>
      <c r="F1197" s="21"/>
      <c r="G1197" s="21"/>
      <c r="H1197" s="21"/>
      <c r="I1197" s="511"/>
    </row>
    <row r="1198" spans="1:9">
      <c r="A1198" s="509"/>
      <c r="B1198" s="510"/>
      <c r="C1198" s="23"/>
      <c r="D1198" s="23"/>
      <c r="E1198" s="23"/>
      <c r="F1198" s="21"/>
      <c r="G1198" s="21"/>
      <c r="H1198" s="21"/>
      <c r="I1198" s="511"/>
    </row>
    <row r="1199" spans="1:9">
      <c r="A1199" s="509"/>
      <c r="B1199" s="510"/>
      <c r="C1199" s="23"/>
      <c r="D1199" s="23"/>
      <c r="E1199" s="23"/>
      <c r="F1199" s="21"/>
      <c r="G1199" s="21"/>
      <c r="H1199" s="21"/>
      <c r="I1199" s="511"/>
    </row>
    <row r="1200" spans="1:9">
      <c r="A1200" s="509"/>
      <c r="B1200" s="510"/>
      <c r="C1200" s="23"/>
      <c r="D1200" s="23"/>
      <c r="E1200" s="23"/>
      <c r="F1200" s="21"/>
      <c r="G1200" s="21"/>
      <c r="H1200" s="21"/>
      <c r="I1200" s="511"/>
    </row>
    <row r="1201" spans="1:9">
      <c r="A1201" s="509"/>
      <c r="B1201" s="510"/>
      <c r="C1201" s="23"/>
      <c r="D1201" s="23"/>
      <c r="E1201" s="23"/>
      <c r="F1201" s="21"/>
      <c r="G1201" s="21"/>
      <c r="H1201" s="21"/>
      <c r="I1201" s="511"/>
    </row>
    <row r="1202" spans="1:9">
      <c r="A1202" s="509"/>
      <c r="B1202" s="510"/>
      <c r="C1202" s="23"/>
      <c r="D1202" s="23"/>
      <c r="E1202" s="23"/>
      <c r="F1202" s="21"/>
      <c r="G1202" s="21"/>
      <c r="H1202" s="21"/>
      <c r="I1202" s="511"/>
    </row>
    <row r="1203" spans="1:9">
      <c r="A1203" s="509"/>
      <c r="B1203" s="510"/>
      <c r="C1203" s="23"/>
      <c r="D1203" s="23"/>
      <c r="E1203" s="23"/>
      <c r="F1203" s="21"/>
      <c r="G1203" s="21"/>
      <c r="H1203" s="21"/>
      <c r="I1203" s="511"/>
    </row>
    <row r="1204" spans="1:9">
      <c r="A1204" s="509"/>
      <c r="B1204" s="510"/>
      <c r="C1204" s="23"/>
      <c r="D1204" s="23"/>
      <c r="E1204" s="23"/>
      <c r="F1204" s="21"/>
      <c r="G1204" s="21"/>
      <c r="H1204" s="21"/>
      <c r="I1204" s="511"/>
    </row>
    <row r="1205" spans="1:9">
      <c r="A1205" s="509"/>
      <c r="B1205" s="510"/>
      <c r="C1205" s="23"/>
      <c r="D1205" s="23"/>
      <c r="E1205" s="23"/>
      <c r="F1205" s="21"/>
      <c r="G1205" s="21"/>
      <c r="H1205" s="21"/>
      <c r="I1205" s="511"/>
    </row>
    <row r="1206" spans="1:9">
      <c r="A1206" s="509"/>
      <c r="B1206" s="510"/>
      <c r="C1206" s="23"/>
      <c r="D1206" s="23"/>
      <c r="E1206" s="23"/>
      <c r="F1206" s="21"/>
      <c r="G1206" s="21"/>
      <c r="H1206" s="21"/>
      <c r="I1206" s="511"/>
    </row>
    <row r="1207" spans="1:9">
      <c r="A1207" s="509"/>
      <c r="B1207" s="510"/>
      <c r="C1207" s="23"/>
      <c r="D1207" s="23"/>
      <c r="E1207" s="23"/>
      <c r="F1207" s="21"/>
      <c r="G1207" s="21"/>
      <c r="H1207" s="21"/>
      <c r="I1207" s="511"/>
    </row>
    <row r="1208" spans="1:9">
      <c r="A1208" s="509"/>
      <c r="B1208" s="510"/>
      <c r="C1208" s="23"/>
      <c r="D1208" s="23"/>
      <c r="E1208" s="23"/>
      <c r="F1208" s="21"/>
      <c r="G1208" s="21"/>
      <c r="H1208" s="21"/>
      <c r="I1208" s="511"/>
    </row>
    <row r="1209" spans="1:9">
      <c r="A1209" s="509"/>
      <c r="B1209" s="510"/>
      <c r="C1209" s="23"/>
      <c r="D1209" s="23"/>
      <c r="E1209" s="23"/>
      <c r="F1209" s="21"/>
      <c r="G1209" s="21"/>
      <c r="H1209" s="21"/>
      <c r="I1209" s="511"/>
    </row>
    <row r="1210" spans="1:9">
      <c r="A1210" s="509"/>
      <c r="B1210" s="510"/>
      <c r="C1210" s="23"/>
      <c r="D1210" s="23"/>
      <c r="E1210" s="23"/>
      <c r="F1210" s="21"/>
      <c r="G1210" s="21"/>
      <c r="H1210" s="21"/>
      <c r="I1210" s="511"/>
    </row>
    <row r="1211" spans="1:9">
      <c r="A1211" s="509"/>
      <c r="B1211" s="510"/>
      <c r="C1211" s="23"/>
      <c r="D1211" s="23"/>
      <c r="E1211" s="23"/>
      <c r="F1211" s="21"/>
      <c r="G1211" s="21"/>
      <c r="H1211" s="21"/>
      <c r="I1211" s="511"/>
    </row>
    <row r="1212" spans="1:9">
      <c r="A1212" s="509"/>
      <c r="B1212" s="510"/>
      <c r="C1212" s="23"/>
      <c r="D1212" s="23"/>
      <c r="E1212" s="23"/>
      <c r="F1212" s="21"/>
      <c r="G1212" s="21"/>
      <c r="H1212" s="21"/>
      <c r="I1212" s="511"/>
    </row>
    <row r="1213" spans="1:9">
      <c r="A1213" s="509"/>
      <c r="B1213" s="510"/>
      <c r="C1213" s="23"/>
      <c r="D1213" s="23"/>
      <c r="E1213" s="23"/>
      <c r="F1213" s="21"/>
      <c r="G1213" s="21"/>
      <c r="H1213" s="21"/>
      <c r="I1213" s="511"/>
    </row>
    <row r="1214" spans="1:9">
      <c r="A1214" s="509"/>
      <c r="B1214" s="510"/>
      <c r="C1214" s="23"/>
      <c r="D1214" s="23"/>
      <c r="E1214" s="23"/>
      <c r="F1214" s="21"/>
      <c r="G1214" s="21"/>
      <c r="H1214" s="21"/>
      <c r="I1214" s="511"/>
    </row>
    <row r="1215" spans="1:9">
      <c r="A1215" s="509"/>
      <c r="B1215" s="510"/>
      <c r="C1215" s="23"/>
      <c r="D1215" s="23"/>
      <c r="E1215" s="23"/>
      <c r="F1215" s="21"/>
      <c r="G1215" s="21"/>
      <c r="H1215" s="21"/>
      <c r="I1215" s="511"/>
    </row>
    <row r="1216" spans="1:9">
      <c r="A1216" s="509"/>
      <c r="B1216" s="510"/>
      <c r="C1216" s="23"/>
      <c r="D1216" s="23"/>
      <c r="E1216" s="23"/>
      <c r="F1216" s="21"/>
      <c r="G1216" s="21"/>
      <c r="H1216" s="21"/>
      <c r="I1216" s="511"/>
    </row>
    <row r="1217" spans="1:9">
      <c r="A1217" s="509"/>
      <c r="B1217" s="510"/>
      <c r="C1217" s="23"/>
      <c r="D1217" s="23"/>
      <c r="E1217" s="23"/>
      <c r="F1217" s="21"/>
      <c r="G1217" s="21"/>
      <c r="H1217" s="21"/>
      <c r="I1217" s="511"/>
    </row>
    <row r="1218" spans="1:9">
      <c r="A1218" s="509"/>
      <c r="B1218" s="510"/>
      <c r="C1218" s="23"/>
      <c r="D1218" s="23"/>
      <c r="E1218" s="23"/>
      <c r="F1218" s="21"/>
      <c r="G1218" s="21"/>
      <c r="H1218" s="21"/>
      <c r="I1218" s="511"/>
    </row>
    <row r="1219" spans="1:9">
      <c r="A1219" s="509"/>
      <c r="B1219" s="510"/>
      <c r="C1219" s="23"/>
      <c r="D1219" s="23"/>
      <c r="E1219" s="23"/>
      <c r="F1219" s="21"/>
      <c r="G1219" s="21"/>
      <c r="H1219" s="21"/>
      <c r="I1219" s="511"/>
    </row>
    <row r="1220" spans="1:9">
      <c r="A1220" s="509"/>
      <c r="B1220" s="510"/>
      <c r="C1220" s="23"/>
      <c r="D1220" s="23"/>
      <c r="E1220" s="23"/>
      <c r="F1220" s="21"/>
      <c r="G1220" s="21"/>
      <c r="H1220" s="21"/>
      <c r="I1220" s="511"/>
    </row>
    <row r="1221" spans="1:9">
      <c r="A1221" s="509"/>
      <c r="B1221" s="510"/>
      <c r="C1221" s="23"/>
      <c r="D1221" s="23"/>
      <c r="E1221" s="23"/>
      <c r="F1221" s="21"/>
      <c r="G1221" s="21"/>
      <c r="H1221" s="21"/>
      <c r="I1221" s="511"/>
    </row>
    <row r="1222" spans="1:9">
      <c r="A1222" s="509"/>
      <c r="B1222" s="510"/>
      <c r="C1222" s="23"/>
      <c r="D1222" s="23"/>
      <c r="E1222" s="23"/>
      <c r="F1222" s="21"/>
      <c r="G1222" s="21"/>
      <c r="H1222" s="21"/>
      <c r="I1222" s="511"/>
    </row>
    <row r="1223" spans="1:9">
      <c r="A1223" s="509"/>
      <c r="B1223" s="510"/>
      <c r="C1223" s="23"/>
      <c r="D1223" s="23"/>
      <c r="E1223" s="23"/>
      <c r="F1223" s="21"/>
      <c r="G1223" s="21"/>
      <c r="H1223" s="21"/>
      <c r="I1223" s="511"/>
    </row>
    <row r="1224" spans="1:9">
      <c r="A1224" s="509"/>
      <c r="B1224" s="510"/>
      <c r="C1224" s="23"/>
      <c r="D1224" s="23"/>
      <c r="E1224" s="23"/>
      <c r="F1224" s="21"/>
      <c r="G1224" s="21"/>
      <c r="H1224" s="21"/>
      <c r="I1224" s="511"/>
    </row>
    <row r="1225" spans="1:9">
      <c r="A1225" s="509"/>
      <c r="B1225" s="510"/>
      <c r="C1225" s="23"/>
      <c r="D1225" s="23"/>
      <c r="E1225" s="23"/>
      <c r="F1225" s="21"/>
      <c r="G1225" s="21"/>
      <c r="H1225" s="21"/>
      <c r="I1225" s="511"/>
    </row>
    <row r="1226" spans="1:9">
      <c r="A1226" s="509"/>
      <c r="B1226" s="510"/>
      <c r="C1226" s="23"/>
      <c r="D1226" s="23"/>
      <c r="E1226" s="23"/>
      <c r="F1226" s="21"/>
      <c r="G1226" s="21"/>
      <c r="H1226" s="21"/>
      <c r="I1226" s="511"/>
    </row>
    <row r="1227" spans="1:9">
      <c r="A1227" s="509"/>
      <c r="B1227" s="510"/>
      <c r="C1227" s="23"/>
      <c r="D1227" s="23"/>
      <c r="E1227" s="23"/>
      <c r="F1227" s="21"/>
      <c r="G1227" s="21"/>
      <c r="H1227" s="21"/>
      <c r="I1227" s="511"/>
    </row>
    <row r="1228" spans="1:9">
      <c r="A1228" s="509"/>
      <c r="B1228" s="510"/>
      <c r="C1228" s="23"/>
      <c r="D1228" s="23"/>
      <c r="E1228" s="23"/>
      <c r="F1228" s="21"/>
      <c r="G1228" s="21"/>
      <c r="H1228" s="21"/>
      <c r="I1228" s="511"/>
    </row>
    <row r="1229" spans="1:9">
      <c r="A1229" s="509"/>
      <c r="B1229" s="510"/>
      <c r="C1229" s="23"/>
      <c r="D1229" s="23"/>
      <c r="E1229" s="23"/>
      <c r="F1229" s="21"/>
      <c r="G1229" s="21"/>
      <c r="H1229" s="21"/>
      <c r="I1229" s="511"/>
    </row>
    <row r="1230" spans="1:9">
      <c r="A1230" s="509"/>
      <c r="B1230" s="510"/>
      <c r="C1230" s="23"/>
      <c r="D1230" s="23"/>
      <c r="E1230" s="23"/>
      <c r="F1230" s="21"/>
      <c r="G1230" s="21"/>
      <c r="H1230" s="21"/>
      <c r="I1230" s="511"/>
    </row>
    <row r="1231" spans="1:9">
      <c r="A1231" s="509"/>
      <c r="B1231" s="510"/>
      <c r="C1231" s="23"/>
      <c r="D1231" s="23"/>
      <c r="E1231" s="23"/>
      <c r="F1231" s="21"/>
      <c r="G1231" s="21"/>
      <c r="H1231" s="21"/>
      <c r="I1231" s="511"/>
    </row>
    <row r="1232" spans="1:9">
      <c r="A1232" s="509"/>
      <c r="B1232" s="510"/>
      <c r="C1232" s="23"/>
      <c r="D1232" s="23"/>
      <c r="E1232" s="23"/>
      <c r="F1232" s="21"/>
      <c r="G1232" s="21"/>
      <c r="H1232" s="21"/>
      <c r="I1232" s="511"/>
    </row>
    <row r="1233" spans="1:9">
      <c r="A1233" s="509"/>
      <c r="B1233" s="510"/>
      <c r="C1233" s="23"/>
      <c r="D1233" s="23"/>
      <c r="E1233" s="23"/>
      <c r="F1233" s="21"/>
      <c r="G1233" s="21"/>
      <c r="H1233" s="21"/>
      <c r="I1233" s="511"/>
    </row>
    <row r="1234" spans="1:9">
      <c r="A1234" s="509"/>
      <c r="B1234" s="510"/>
      <c r="C1234" s="23"/>
      <c r="D1234" s="23"/>
      <c r="E1234" s="23"/>
      <c r="F1234" s="21"/>
      <c r="G1234" s="21"/>
      <c r="H1234" s="21"/>
      <c r="I1234" s="511"/>
    </row>
    <row r="1235" spans="1:9">
      <c r="A1235" s="509"/>
      <c r="B1235" s="510"/>
      <c r="C1235" s="23"/>
      <c r="D1235" s="23"/>
      <c r="E1235" s="23"/>
      <c r="F1235" s="21"/>
      <c r="G1235" s="21"/>
      <c r="H1235" s="21"/>
      <c r="I1235" s="511"/>
    </row>
    <row r="1236" spans="1:9">
      <c r="A1236" s="509"/>
      <c r="B1236" s="510"/>
      <c r="C1236" s="23"/>
      <c r="D1236" s="23"/>
      <c r="E1236" s="23"/>
      <c r="F1236" s="21"/>
      <c r="G1236" s="21"/>
      <c r="H1236" s="21"/>
      <c r="I1236" s="511"/>
    </row>
    <row r="1237" spans="1:9">
      <c r="A1237" s="509"/>
      <c r="B1237" s="510"/>
      <c r="C1237" s="23"/>
      <c r="D1237" s="23"/>
      <c r="E1237" s="23"/>
      <c r="F1237" s="21"/>
      <c r="G1237" s="21"/>
      <c r="H1237" s="21"/>
      <c r="I1237" s="511"/>
    </row>
    <row r="1238" spans="1:9">
      <c r="A1238" s="509"/>
      <c r="B1238" s="510"/>
      <c r="C1238" s="23"/>
      <c r="D1238" s="23"/>
      <c r="E1238" s="23"/>
      <c r="F1238" s="21"/>
      <c r="G1238" s="21"/>
      <c r="H1238" s="21"/>
      <c r="I1238" s="511"/>
    </row>
    <row r="1239" spans="1:9">
      <c r="A1239" s="509"/>
      <c r="B1239" s="510"/>
      <c r="C1239" s="23"/>
      <c r="D1239" s="23"/>
      <c r="E1239" s="23"/>
      <c r="F1239" s="21"/>
      <c r="G1239" s="21"/>
      <c r="H1239" s="21"/>
      <c r="I1239" s="511"/>
    </row>
    <row r="1240" spans="1:9">
      <c r="A1240" s="509"/>
      <c r="B1240" s="510"/>
      <c r="C1240" s="23"/>
      <c r="D1240" s="23"/>
      <c r="E1240" s="23"/>
      <c r="F1240" s="21"/>
      <c r="G1240" s="21"/>
      <c r="H1240" s="21"/>
      <c r="I1240" s="511"/>
    </row>
    <row r="1241" spans="1:9">
      <c r="A1241" s="509"/>
      <c r="B1241" s="510"/>
      <c r="C1241" s="23"/>
      <c r="D1241" s="23"/>
      <c r="E1241" s="23"/>
      <c r="F1241" s="21"/>
      <c r="G1241" s="21"/>
      <c r="H1241" s="21"/>
      <c r="I1241" s="511"/>
    </row>
    <row r="1242" spans="1:9">
      <c r="A1242" s="509"/>
      <c r="B1242" s="510"/>
      <c r="C1242" s="23"/>
      <c r="D1242" s="23"/>
      <c r="E1242" s="23"/>
      <c r="F1242" s="21"/>
      <c r="G1242" s="21"/>
      <c r="H1242" s="21"/>
      <c r="I1242" s="511"/>
    </row>
    <row r="1243" spans="1:9">
      <c r="A1243" s="509"/>
      <c r="B1243" s="510"/>
      <c r="C1243" s="23"/>
      <c r="D1243" s="23"/>
      <c r="E1243" s="23"/>
      <c r="F1243" s="21"/>
      <c r="G1243" s="21"/>
      <c r="H1243" s="21"/>
      <c r="I1243" s="511"/>
    </row>
    <row r="1244" spans="1:9">
      <c r="A1244" s="509"/>
      <c r="B1244" s="510"/>
      <c r="C1244" s="23"/>
      <c r="D1244" s="23"/>
      <c r="E1244" s="23"/>
      <c r="F1244" s="21"/>
      <c r="G1244" s="21"/>
      <c r="H1244" s="21"/>
      <c r="I1244" s="511"/>
    </row>
    <row r="1245" spans="1:9">
      <c r="A1245" s="509"/>
      <c r="B1245" s="510"/>
      <c r="C1245" s="23"/>
      <c r="D1245" s="23"/>
      <c r="E1245" s="23"/>
      <c r="F1245" s="21"/>
      <c r="G1245" s="21"/>
      <c r="H1245" s="21"/>
      <c r="I1245" s="511"/>
    </row>
    <row r="1246" spans="1:9">
      <c r="A1246" s="509"/>
      <c r="B1246" s="510"/>
      <c r="C1246" s="23"/>
      <c r="D1246" s="23"/>
      <c r="E1246" s="23"/>
      <c r="F1246" s="21"/>
      <c r="G1246" s="21"/>
      <c r="H1246" s="21"/>
      <c r="I1246" s="511"/>
    </row>
    <row r="1247" spans="1:9">
      <c r="A1247" s="509"/>
      <c r="B1247" s="510"/>
      <c r="C1247" s="23"/>
      <c r="D1247" s="23"/>
      <c r="E1247" s="23"/>
      <c r="F1247" s="21"/>
      <c r="G1247" s="21"/>
      <c r="H1247" s="21"/>
      <c r="I1247" s="511"/>
    </row>
    <row r="1248" spans="1:9">
      <c r="A1248" s="509"/>
      <c r="B1248" s="510"/>
      <c r="C1248" s="23"/>
      <c r="D1248" s="23"/>
      <c r="E1248" s="23"/>
      <c r="F1248" s="21"/>
      <c r="G1248" s="21"/>
      <c r="H1248" s="21"/>
      <c r="I1248" s="511"/>
    </row>
    <row r="1249" spans="1:9">
      <c r="A1249" s="509"/>
      <c r="B1249" s="510"/>
      <c r="C1249" s="23"/>
      <c r="D1249" s="23"/>
      <c r="E1249" s="23"/>
      <c r="F1249" s="21"/>
      <c r="G1249" s="21"/>
      <c r="H1249" s="21"/>
      <c r="I1249" s="511"/>
    </row>
    <row r="1250" spans="1:9">
      <c r="A1250" s="509"/>
      <c r="B1250" s="510"/>
      <c r="C1250" s="23"/>
      <c r="D1250" s="23"/>
      <c r="E1250" s="23"/>
      <c r="F1250" s="21"/>
      <c r="G1250" s="21"/>
      <c r="H1250" s="21"/>
      <c r="I1250" s="511"/>
    </row>
    <row r="1251" spans="1:9">
      <c r="A1251" s="509"/>
      <c r="B1251" s="510"/>
      <c r="C1251" s="23"/>
      <c r="D1251" s="23"/>
      <c r="E1251" s="23"/>
      <c r="F1251" s="21"/>
      <c r="G1251" s="21"/>
      <c r="H1251" s="21"/>
      <c r="I1251" s="511"/>
    </row>
    <row r="1252" spans="1:9">
      <c r="A1252" s="509"/>
      <c r="B1252" s="510"/>
      <c r="C1252" s="23"/>
      <c r="D1252" s="23"/>
      <c r="E1252" s="23"/>
      <c r="F1252" s="21"/>
      <c r="G1252" s="21"/>
      <c r="H1252" s="21"/>
      <c r="I1252" s="511"/>
    </row>
    <row r="1253" spans="1:9">
      <c r="A1253" s="509"/>
      <c r="B1253" s="510"/>
      <c r="C1253" s="23"/>
      <c r="D1253" s="23"/>
      <c r="E1253" s="23"/>
      <c r="F1253" s="21"/>
      <c r="G1253" s="21"/>
      <c r="H1253" s="21"/>
      <c r="I1253" s="511"/>
    </row>
    <row r="1254" spans="1:9">
      <c r="A1254" s="509"/>
      <c r="B1254" s="510"/>
      <c r="C1254" s="23"/>
      <c r="D1254" s="23"/>
      <c r="E1254" s="23"/>
      <c r="F1254" s="21"/>
      <c r="G1254" s="21"/>
      <c r="H1254" s="21"/>
      <c r="I1254" s="511"/>
    </row>
    <row r="1255" spans="1:9">
      <c r="A1255" s="509"/>
      <c r="B1255" s="510"/>
      <c r="C1255" s="23"/>
      <c r="D1255" s="23"/>
      <c r="E1255" s="23"/>
      <c r="F1255" s="21"/>
      <c r="G1255" s="21"/>
      <c r="H1255" s="21"/>
      <c r="I1255" s="511"/>
    </row>
    <row r="1256" spans="1:9">
      <c r="A1256" s="509"/>
      <c r="B1256" s="510"/>
      <c r="C1256" s="23"/>
      <c r="D1256" s="23"/>
      <c r="E1256" s="23"/>
      <c r="F1256" s="21"/>
      <c r="G1256" s="21"/>
      <c r="H1256" s="21"/>
      <c r="I1256" s="511"/>
    </row>
    <row r="1257" spans="1:9">
      <c r="A1257" s="509"/>
      <c r="B1257" s="510"/>
      <c r="C1257" s="23"/>
      <c r="D1257" s="23"/>
      <c r="E1257" s="23"/>
      <c r="F1257" s="21"/>
      <c r="G1257" s="21"/>
      <c r="H1257" s="21"/>
      <c r="I1257" s="511"/>
    </row>
    <row r="1258" spans="1:9">
      <c r="A1258" s="509"/>
      <c r="B1258" s="510"/>
      <c r="C1258" s="23"/>
      <c r="D1258" s="23"/>
      <c r="E1258" s="23"/>
      <c r="F1258" s="21"/>
      <c r="G1258" s="21"/>
      <c r="H1258" s="21"/>
      <c r="I1258" s="511"/>
    </row>
    <row r="1259" spans="1:9">
      <c r="A1259" s="509"/>
      <c r="B1259" s="510"/>
      <c r="C1259" s="23"/>
      <c r="D1259" s="23"/>
      <c r="E1259" s="23"/>
      <c r="F1259" s="21"/>
      <c r="G1259" s="21"/>
      <c r="H1259" s="21"/>
      <c r="I1259" s="511"/>
    </row>
    <row r="1260" spans="1:9">
      <c r="A1260" s="509"/>
      <c r="B1260" s="510"/>
      <c r="C1260" s="23"/>
      <c r="D1260" s="23"/>
      <c r="E1260" s="23"/>
      <c r="F1260" s="21"/>
      <c r="G1260" s="21"/>
      <c r="H1260" s="21"/>
      <c r="I1260" s="511"/>
    </row>
    <row r="1261" spans="1:9">
      <c r="A1261" s="509"/>
      <c r="B1261" s="510"/>
      <c r="C1261" s="23"/>
      <c r="D1261" s="23"/>
      <c r="E1261" s="23"/>
      <c r="F1261" s="21"/>
      <c r="G1261" s="21"/>
      <c r="H1261" s="21"/>
      <c r="I1261" s="511"/>
    </row>
    <row r="1262" spans="1:9">
      <c r="A1262" s="509"/>
      <c r="B1262" s="510"/>
      <c r="C1262" s="23"/>
      <c r="D1262" s="23"/>
      <c r="E1262" s="23"/>
      <c r="F1262" s="21"/>
      <c r="G1262" s="21"/>
      <c r="H1262" s="21"/>
      <c r="I1262" s="511"/>
    </row>
    <row r="1263" spans="1:9">
      <c r="A1263" s="509"/>
      <c r="B1263" s="510"/>
      <c r="C1263" s="23"/>
      <c r="D1263" s="23"/>
      <c r="E1263" s="23"/>
      <c r="F1263" s="21"/>
      <c r="G1263" s="21"/>
      <c r="H1263" s="21"/>
      <c r="I1263" s="511"/>
    </row>
    <row r="1264" spans="1:9">
      <c r="A1264" s="509"/>
      <c r="B1264" s="510"/>
      <c r="C1264" s="23"/>
      <c r="D1264" s="23"/>
      <c r="E1264" s="23"/>
      <c r="F1264" s="21"/>
      <c r="G1264" s="21"/>
      <c r="H1264" s="21"/>
      <c r="I1264" s="511"/>
    </row>
    <row r="1265" spans="1:9">
      <c r="A1265" s="509"/>
      <c r="B1265" s="510"/>
      <c r="C1265" s="23"/>
      <c r="D1265" s="23"/>
      <c r="E1265" s="23"/>
      <c r="F1265" s="21"/>
      <c r="G1265" s="21"/>
      <c r="H1265" s="21"/>
      <c r="I1265" s="511"/>
    </row>
    <row r="1266" spans="1:9">
      <c r="A1266" s="509"/>
      <c r="B1266" s="510"/>
      <c r="C1266" s="23"/>
      <c r="D1266" s="23"/>
      <c r="E1266" s="23"/>
      <c r="F1266" s="21"/>
      <c r="G1266" s="21"/>
      <c r="H1266" s="21"/>
      <c r="I1266" s="511"/>
    </row>
    <row r="1267" spans="1:9">
      <c r="A1267" s="509"/>
      <c r="B1267" s="510"/>
      <c r="C1267" s="23"/>
      <c r="D1267" s="23"/>
      <c r="E1267" s="23"/>
      <c r="F1267" s="21"/>
      <c r="G1267" s="21"/>
      <c r="H1267" s="21"/>
      <c r="I1267" s="511"/>
    </row>
    <row r="1268" spans="1:9">
      <c r="A1268" s="509"/>
      <c r="B1268" s="510"/>
      <c r="C1268" s="23"/>
      <c r="D1268" s="23"/>
      <c r="E1268" s="23"/>
      <c r="F1268" s="21"/>
      <c r="G1268" s="21"/>
      <c r="H1268" s="21"/>
      <c r="I1268" s="511"/>
    </row>
    <row r="1269" spans="1:9">
      <c r="A1269" s="509"/>
      <c r="B1269" s="510"/>
      <c r="C1269" s="23"/>
      <c r="D1269" s="23"/>
      <c r="E1269" s="23"/>
      <c r="F1269" s="21"/>
      <c r="G1269" s="21"/>
      <c r="H1269" s="21"/>
      <c r="I1269" s="511"/>
    </row>
    <row r="1270" spans="1:9">
      <c r="A1270" s="509"/>
      <c r="B1270" s="510"/>
      <c r="C1270" s="23"/>
      <c r="D1270" s="23"/>
      <c r="E1270" s="23"/>
      <c r="F1270" s="21"/>
      <c r="G1270" s="21"/>
      <c r="H1270" s="21"/>
      <c r="I1270" s="511"/>
    </row>
    <row r="1271" spans="1:9">
      <c r="A1271" s="509"/>
      <c r="B1271" s="510"/>
      <c r="C1271" s="23"/>
      <c r="D1271" s="23"/>
      <c r="E1271" s="23"/>
      <c r="F1271" s="21"/>
      <c r="G1271" s="21"/>
      <c r="H1271" s="21"/>
      <c r="I1271" s="511"/>
    </row>
    <row r="1272" spans="1:9">
      <c r="A1272" s="509"/>
      <c r="B1272" s="510"/>
      <c r="C1272" s="23"/>
      <c r="D1272" s="23"/>
      <c r="E1272" s="23"/>
      <c r="F1272" s="21"/>
      <c r="G1272" s="21"/>
      <c r="H1272" s="21"/>
      <c r="I1272" s="511"/>
    </row>
    <row r="1273" spans="1:9">
      <c r="A1273" s="509"/>
      <c r="B1273" s="510"/>
      <c r="C1273" s="23"/>
      <c r="D1273" s="23"/>
      <c r="E1273" s="23"/>
      <c r="F1273" s="21"/>
      <c r="G1273" s="21"/>
      <c r="H1273" s="21"/>
      <c r="I1273" s="511"/>
    </row>
    <row r="1274" spans="1:9">
      <c r="A1274" s="509"/>
      <c r="B1274" s="510"/>
      <c r="C1274" s="23"/>
      <c r="D1274" s="23"/>
      <c r="E1274" s="23"/>
      <c r="F1274" s="21"/>
      <c r="G1274" s="21"/>
      <c r="H1274" s="21"/>
      <c r="I1274" s="511"/>
    </row>
    <row r="1275" spans="1:9">
      <c r="A1275" s="509"/>
      <c r="B1275" s="510"/>
      <c r="C1275" s="23"/>
      <c r="D1275" s="23"/>
      <c r="E1275" s="23"/>
      <c r="F1275" s="21"/>
      <c r="G1275" s="21"/>
      <c r="H1275" s="21"/>
      <c r="I1275" s="511"/>
    </row>
    <row r="1276" spans="1:9">
      <c r="A1276" s="509"/>
      <c r="B1276" s="510"/>
      <c r="C1276" s="23"/>
      <c r="D1276" s="23"/>
      <c r="E1276" s="23"/>
      <c r="F1276" s="21"/>
      <c r="G1276" s="21"/>
      <c r="H1276" s="21"/>
      <c r="I1276" s="511"/>
    </row>
    <row r="1277" spans="1:9">
      <c r="A1277" s="509"/>
      <c r="B1277" s="510"/>
      <c r="C1277" s="23"/>
      <c r="D1277" s="23"/>
      <c r="E1277" s="23"/>
      <c r="F1277" s="21"/>
      <c r="G1277" s="21"/>
      <c r="H1277" s="21"/>
      <c r="I1277" s="511"/>
    </row>
    <row r="1278" spans="1:9">
      <c r="A1278" s="509"/>
      <c r="B1278" s="510"/>
      <c r="C1278" s="23"/>
      <c r="D1278" s="23"/>
      <c r="E1278" s="23"/>
      <c r="F1278" s="21"/>
      <c r="G1278" s="21"/>
      <c r="H1278" s="21"/>
      <c r="I1278" s="511"/>
    </row>
    <row r="1279" spans="1:9">
      <c r="A1279" s="509"/>
      <c r="B1279" s="510"/>
      <c r="C1279" s="23"/>
      <c r="D1279" s="23"/>
      <c r="E1279" s="23"/>
      <c r="F1279" s="21"/>
      <c r="G1279" s="21"/>
      <c r="H1279" s="21"/>
      <c r="I1279" s="511"/>
    </row>
    <row r="1280" spans="1:9">
      <c r="A1280" s="509"/>
      <c r="B1280" s="510"/>
      <c r="C1280" s="23"/>
      <c r="D1280" s="23"/>
      <c r="E1280" s="23"/>
      <c r="F1280" s="21"/>
      <c r="G1280" s="21"/>
      <c r="H1280" s="21"/>
      <c r="I1280" s="511"/>
    </row>
    <row r="1281" spans="1:9">
      <c r="A1281" s="509"/>
      <c r="B1281" s="510"/>
      <c r="C1281" s="23"/>
      <c r="D1281" s="23"/>
      <c r="E1281" s="23"/>
      <c r="F1281" s="21"/>
      <c r="G1281" s="21"/>
      <c r="H1281" s="21"/>
      <c r="I1281" s="511"/>
    </row>
    <row r="1282" spans="1:9">
      <c r="A1282" s="509"/>
      <c r="B1282" s="510"/>
      <c r="C1282" s="23"/>
      <c r="D1282" s="23"/>
      <c r="E1282" s="23"/>
      <c r="F1282" s="21"/>
      <c r="G1282" s="21"/>
      <c r="H1282" s="21"/>
      <c r="I1282" s="511"/>
    </row>
    <row r="1283" spans="1:9">
      <c r="A1283" s="509"/>
      <c r="B1283" s="510"/>
      <c r="C1283" s="23"/>
      <c r="D1283" s="23"/>
      <c r="E1283" s="23"/>
      <c r="F1283" s="21"/>
      <c r="G1283" s="21"/>
      <c r="H1283" s="21"/>
      <c r="I1283" s="511"/>
    </row>
    <row r="1284" spans="1:9">
      <c r="A1284" s="509"/>
      <c r="B1284" s="510"/>
      <c r="C1284" s="23"/>
      <c r="D1284" s="23"/>
      <c r="E1284" s="23"/>
      <c r="F1284" s="21"/>
      <c r="G1284" s="21"/>
      <c r="H1284" s="21"/>
      <c r="I1284" s="511"/>
    </row>
    <row r="1285" spans="1:9">
      <c r="A1285" s="509"/>
      <c r="B1285" s="510"/>
      <c r="C1285" s="23"/>
      <c r="D1285" s="23"/>
      <c r="E1285" s="23"/>
      <c r="F1285" s="21"/>
      <c r="G1285" s="21"/>
      <c r="H1285" s="21"/>
      <c r="I1285" s="511"/>
    </row>
    <row r="1286" spans="1:9">
      <c r="A1286" s="509"/>
      <c r="B1286" s="510"/>
      <c r="C1286" s="23"/>
      <c r="D1286" s="23"/>
      <c r="E1286" s="23"/>
      <c r="F1286" s="21"/>
      <c r="G1286" s="21"/>
      <c r="H1286" s="21"/>
      <c r="I1286" s="511"/>
    </row>
    <row r="1287" spans="1:9">
      <c r="A1287" s="509"/>
      <c r="B1287" s="510"/>
      <c r="C1287" s="23"/>
      <c r="D1287" s="23"/>
      <c r="E1287" s="23"/>
      <c r="F1287" s="21"/>
      <c r="G1287" s="21"/>
      <c r="H1287" s="21"/>
      <c r="I1287" s="511"/>
    </row>
    <row r="1288" spans="1:9">
      <c r="A1288" s="509"/>
      <c r="B1288" s="510"/>
      <c r="C1288" s="23"/>
      <c r="D1288" s="23"/>
      <c r="E1288" s="23"/>
      <c r="F1288" s="21"/>
      <c r="G1288" s="21"/>
      <c r="H1288" s="21"/>
      <c r="I1288" s="511"/>
    </row>
    <row r="1289" spans="1:9">
      <c r="A1289" s="509"/>
      <c r="B1289" s="510"/>
      <c r="C1289" s="23"/>
      <c r="D1289" s="23"/>
      <c r="E1289" s="23"/>
      <c r="F1289" s="21"/>
      <c r="G1289" s="21"/>
      <c r="H1289" s="21"/>
      <c r="I1289" s="511"/>
    </row>
    <row r="1290" spans="1:9">
      <c r="A1290" s="509"/>
      <c r="B1290" s="510"/>
      <c r="C1290" s="23"/>
      <c r="D1290" s="23"/>
      <c r="E1290" s="23"/>
      <c r="F1290" s="21"/>
      <c r="G1290" s="21"/>
      <c r="H1290" s="21"/>
      <c r="I1290" s="511"/>
    </row>
    <row r="1291" spans="1:9">
      <c r="A1291" s="509"/>
      <c r="B1291" s="510"/>
      <c r="C1291" s="23"/>
      <c r="D1291" s="23"/>
      <c r="E1291" s="23"/>
      <c r="F1291" s="21"/>
      <c r="G1291" s="21"/>
      <c r="H1291" s="21"/>
      <c r="I1291" s="511"/>
    </row>
    <row r="1292" spans="1:9">
      <c r="A1292" s="509"/>
      <c r="B1292" s="510"/>
      <c r="C1292" s="23"/>
      <c r="D1292" s="23"/>
      <c r="E1292" s="23"/>
      <c r="F1292" s="21"/>
      <c r="G1292" s="21"/>
      <c r="H1292" s="21"/>
      <c r="I1292" s="511"/>
    </row>
    <row r="1293" spans="1:9">
      <c r="A1293" s="509"/>
      <c r="B1293" s="510"/>
      <c r="C1293" s="23"/>
      <c r="D1293" s="23"/>
      <c r="E1293" s="23"/>
      <c r="F1293" s="21"/>
      <c r="G1293" s="21"/>
      <c r="H1293" s="21"/>
      <c r="I1293" s="511"/>
    </row>
    <row r="1294" spans="1:9">
      <c r="A1294" s="509"/>
      <c r="B1294" s="510"/>
      <c r="C1294" s="23"/>
      <c r="D1294" s="23"/>
      <c r="E1294" s="23"/>
      <c r="F1294" s="21"/>
      <c r="G1294" s="21"/>
      <c r="H1294" s="21"/>
      <c r="I1294" s="511"/>
    </row>
    <row r="1295" spans="1:9">
      <c r="A1295" s="509"/>
      <c r="B1295" s="510"/>
      <c r="C1295" s="23"/>
      <c r="D1295" s="23"/>
      <c r="E1295" s="23"/>
      <c r="F1295" s="21"/>
      <c r="G1295" s="21"/>
      <c r="H1295" s="21"/>
      <c r="I1295" s="511"/>
    </row>
    <row r="1296" spans="1:9">
      <c r="A1296" s="509"/>
      <c r="B1296" s="510"/>
      <c r="C1296" s="23"/>
      <c r="D1296" s="23"/>
      <c r="E1296" s="23"/>
      <c r="F1296" s="21"/>
      <c r="G1296" s="21"/>
      <c r="H1296" s="21"/>
      <c r="I1296" s="511"/>
    </row>
    <row r="1297" spans="1:9">
      <c r="A1297" s="509"/>
      <c r="B1297" s="510"/>
      <c r="C1297" s="23"/>
      <c r="D1297" s="23"/>
      <c r="E1297" s="23"/>
      <c r="F1297" s="21"/>
      <c r="G1297" s="21"/>
      <c r="H1297" s="21"/>
      <c r="I1297" s="511"/>
    </row>
    <row r="1298" spans="1:9">
      <c r="A1298" s="509"/>
      <c r="B1298" s="510"/>
      <c r="C1298" s="23"/>
      <c r="D1298" s="23"/>
      <c r="E1298" s="23"/>
      <c r="F1298" s="21"/>
      <c r="G1298" s="21"/>
      <c r="H1298" s="21"/>
      <c r="I1298" s="511"/>
    </row>
    <row r="1299" spans="1:9">
      <c r="A1299" s="509"/>
      <c r="B1299" s="510"/>
      <c r="C1299" s="23"/>
      <c r="D1299" s="23"/>
      <c r="E1299" s="23"/>
      <c r="F1299" s="21"/>
      <c r="G1299" s="21"/>
      <c r="H1299" s="21"/>
      <c r="I1299" s="511"/>
    </row>
    <row r="1300" spans="1:9">
      <c r="A1300" s="509"/>
      <c r="B1300" s="510"/>
      <c r="C1300" s="23"/>
      <c r="D1300" s="23"/>
      <c r="E1300" s="23"/>
      <c r="F1300" s="21"/>
      <c r="G1300" s="21"/>
      <c r="H1300" s="21"/>
      <c r="I1300" s="511"/>
    </row>
    <row r="1301" spans="1:9">
      <c r="A1301" s="509"/>
      <c r="B1301" s="510"/>
      <c r="C1301" s="23"/>
      <c r="D1301" s="23"/>
      <c r="E1301" s="23"/>
      <c r="F1301" s="21"/>
      <c r="G1301" s="21"/>
      <c r="H1301" s="21"/>
      <c r="I1301" s="511"/>
    </row>
    <row r="1302" spans="1:9">
      <c r="A1302" s="509"/>
      <c r="B1302" s="510"/>
      <c r="C1302" s="23"/>
      <c r="D1302" s="23"/>
      <c r="E1302" s="23"/>
      <c r="F1302" s="21"/>
      <c r="G1302" s="21"/>
      <c r="H1302" s="21"/>
      <c r="I1302" s="511"/>
    </row>
    <row r="1303" spans="1:9">
      <c r="A1303" s="509"/>
      <c r="B1303" s="510"/>
      <c r="C1303" s="23"/>
      <c r="D1303" s="23"/>
      <c r="E1303" s="23"/>
      <c r="F1303" s="21"/>
      <c r="G1303" s="21"/>
      <c r="H1303" s="21"/>
      <c r="I1303" s="511"/>
    </row>
    <row r="1304" spans="1:9">
      <c r="A1304" s="509"/>
      <c r="B1304" s="510"/>
      <c r="C1304" s="23"/>
      <c r="D1304" s="23"/>
      <c r="E1304" s="23"/>
      <c r="F1304" s="21"/>
      <c r="G1304" s="21"/>
      <c r="H1304" s="21"/>
      <c r="I1304" s="511"/>
    </row>
    <row r="1305" spans="1:9">
      <c r="A1305" s="509"/>
      <c r="B1305" s="510"/>
      <c r="C1305" s="23"/>
      <c r="D1305" s="23"/>
      <c r="E1305" s="23"/>
      <c r="F1305" s="21"/>
      <c r="G1305" s="21"/>
      <c r="H1305" s="21"/>
      <c r="I1305" s="511"/>
    </row>
    <row r="1306" spans="1:9">
      <c r="A1306" s="509"/>
      <c r="B1306" s="510"/>
      <c r="C1306" s="23"/>
      <c r="D1306" s="23"/>
      <c r="E1306" s="23"/>
      <c r="F1306" s="21"/>
      <c r="G1306" s="21"/>
      <c r="H1306" s="21"/>
      <c r="I1306" s="511"/>
    </row>
    <row r="1307" spans="1:9">
      <c r="A1307" s="509"/>
      <c r="B1307" s="510"/>
      <c r="C1307" s="23"/>
      <c r="D1307" s="23"/>
      <c r="E1307" s="23"/>
      <c r="F1307" s="21"/>
      <c r="G1307" s="21"/>
      <c r="H1307" s="21"/>
      <c r="I1307" s="511"/>
    </row>
    <row r="1308" spans="1:9">
      <c r="A1308" s="509"/>
      <c r="B1308" s="510"/>
      <c r="C1308" s="23"/>
      <c r="D1308" s="23"/>
      <c r="E1308" s="23"/>
      <c r="F1308" s="21"/>
      <c r="G1308" s="21"/>
      <c r="H1308" s="21"/>
      <c r="I1308" s="511"/>
    </row>
    <row r="1309" spans="1:9">
      <c r="A1309" s="509"/>
      <c r="B1309" s="510"/>
      <c r="C1309" s="23"/>
      <c r="D1309" s="23"/>
      <c r="E1309" s="23"/>
      <c r="F1309" s="21"/>
      <c r="G1309" s="21"/>
      <c r="H1309" s="21"/>
      <c r="I1309" s="511"/>
    </row>
    <row r="1310" spans="1:9">
      <c r="A1310" s="509"/>
      <c r="B1310" s="510"/>
      <c r="C1310" s="23"/>
      <c r="D1310" s="23"/>
      <c r="E1310" s="23"/>
      <c r="F1310" s="21"/>
      <c r="G1310" s="21"/>
      <c r="H1310" s="21"/>
      <c r="I1310" s="511"/>
    </row>
    <row r="1311" spans="1:9">
      <c r="A1311" s="509"/>
      <c r="B1311" s="510"/>
      <c r="C1311" s="23"/>
      <c r="D1311" s="23"/>
      <c r="E1311" s="23"/>
      <c r="F1311" s="21"/>
      <c r="G1311" s="21"/>
      <c r="H1311" s="21"/>
      <c r="I1311" s="511"/>
    </row>
    <row r="1312" spans="1:9">
      <c r="A1312" s="509"/>
      <c r="B1312" s="510"/>
      <c r="C1312" s="23"/>
      <c r="D1312" s="23"/>
      <c r="E1312" s="23"/>
      <c r="F1312" s="21"/>
      <c r="G1312" s="21"/>
      <c r="H1312" s="21"/>
      <c r="I1312" s="511"/>
    </row>
    <row r="1313" spans="1:9">
      <c r="A1313" s="509"/>
      <c r="B1313" s="510"/>
      <c r="C1313" s="23"/>
      <c r="D1313" s="23"/>
      <c r="E1313" s="23"/>
      <c r="F1313" s="21"/>
      <c r="G1313" s="21"/>
      <c r="H1313" s="21"/>
      <c r="I1313" s="511"/>
    </row>
    <row r="1314" spans="1:9">
      <c r="A1314" s="509"/>
      <c r="B1314" s="510"/>
      <c r="C1314" s="23"/>
      <c r="D1314" s="23"/>
      <c r="E1314" s="23"/>
      <c r="F1314" s="21"/>
      <c r="G1314" s="21"/>
      <c r="H1314" s="21"/>
      <c r="I1314" s="511"/>
    </row>
    <row r="1315" spans="1:9">
      <c r="A1315" s="509"/>
      <c r="B1315" s="510"/>
      <c r="C1315" s="23"/>
      <c r="D1315" s="23"/>
      <c r="E1315" s="23"/>
      <c r="F1315" s="21"/>
      <c r="G1315" s="21"/>
      <c r="H1315" s="21"/>
      <c r="I1315" s="511"/>
    </row>
    <row r="1316" spans="1:9">
      <c r="A1316" s="509"/>
      <c r="B1316" s="510"/>
      <c r="C1316" s="23"/>
      <c r="D1316" s="23"/>
      <c r="E1316" s="23"/>
      <c r="F1316" s="21"/>
      <c r="G1316" s="21"/>
      <c r="H1316" s="21"/>
      <c r="I1316" s="511"/>
    </row>
    <row r="1317" spans="1:9">
      <c r="A1317" s="509"/>
      <c r="B1317" s="510"/>
      <c r="C1317" s="23"/>
      <c r="D1317" s="23"/>
      <c r="E1317" s="23"/>
      <c r="F1317" s="21"/>
      <c r="G1317" s="21"/>
      <c r="H1317" s="21"/>
      <c r="I1317" s="511"/>
    </row>
    <row r="1318" spans="1:9">
      <c r="A1318" s="509"/>
      <c r="B1318" s="510"/>
      <c r="C1318" s="23"/>
      <c r="D1318" s="23"/>
      <c r="E1318" s="23"/>
      <c r="F1318" s="21"/>
      <c r="G1318" s="21"/>
      <c r="H1318" s="21"/>
      <c r="I1318" s="511"/>
    </row>
    <row r="1319" spans="1:9">
      <c r="A1319" s="509"/>
      <c r="B1319" s="510"/>
      <c r="C1319" s="23"/>
      <c r="D1319" s="23"/>
      <c r="E1319" s="23"/>
      <c r="F1319" s="21"/>
      <c r="G1319" s="21"/>
      <c r="H1319" s="21"/>
      <c r="I1319" s="511"/>
    </row>
    <row r="1320" spans="1:9">
      <c r="A1320" s="509"/>
      <c r="B1320" s="510"/>
      <c r="C1320" s="23"/>
      <c r="D1320" s="23"/>
      <c r="E1320" s="23"/>
      <c r="F1320" s="21"/>
      <c r="G1320" s="21"/>
      <c r="H1320" s="21"/>
      <c r="I1320" s="511"/>
    </row>
    <row r="1321" spans="1:9">
      <c r="A1321" s="509"/>
      <c r="B1321" s="510"/>
      <c r="C1321" s="23"/>
      <c r="D1321" s="23"/>
      <c r="E1321" s="23"/>
      <c r="F1321" s="21"/>
      <c r="G1321" s="21"/>
      <c r="H1321" s="21"/>
      <c r="I1321" s="511"/>
    </row>
    <row r="1322" spans="1:9">
      <c r="A1322" s="509"/>
      <c r="B1322" s="510"/>
      <c r="C1322" s="23"/>
      <c r="D1322" s="23"/>
      <c r="E1322" s="23"/>
      <c r="F1322" s="21"/>
      <c r="G1322" s="21"/>
      <c r="H1322" s="21"/>
      <c r="I1322" s="511"/>
    </row>
    <row r="1323" spans="1:9">
      <c r="A1323" s="509"/>
      <c r="B1323" s="510"/>
      <c r="C1323" s="23"/>
      <c r="D1323" s="23"/>
      <c r="E1323" s="23"/>
      <c r="F1323" s="21"/>
      <c r="G1323" s="21"/>
      <c r="H1323" s="21"/>
      <c r="I1323" s="511"/>
    </row>
    <row r="1324" spans="1:9">
      <c r="A1324" s="509"/>
      <c r="B1324" s="510"/>
      <c r="C1324" s="23"/>
      <c r="D1324" s="23"/>
      <c r="E1324" s="23"/>
      <c r="F1324" s="21"/>
      <c r="G1324" s="21"/>
      <c r="H1324" s="21"/>
      <c r="I1324" s="511"/>
    </row>
    <row r="1325" spans="1:9">
      <c r="A1325" s="509"/>
      <c r="B1325" s="510"/>
      <c r="C1325" s="23"/>
      <c r="D1325" s="23"/>
      <c r="E1325" s="23"/>
      <c r="F1325" s="21"/>
      <c r="G1325" s="21"/>
      <c r="H1325" s="21"/>
      <c r="I1325" s="511"/>
    </row>
    <row r="1326" spans="1:9">
      <c r="A1326" s="509"/>
      <c r="B1326" s="510"/>
      <c r="C1326" s="23"/>
      <c r="D1326" s="23"/>
      <c r="E1326" s="23"/>
      <c r="F1326" s="21"/>
      <c r="G1326" s="21"/>
      <c r="H1326" s="21"/>
      <c r="I1326" s="511"/>
    </row>
    <row r="1327" spans="1:9">
      <c r="A1327" s="509"/>
      <c r="B1327" s="510"/>
      <c r="C1327" s="23"/>
      <c r="D1327" s="23"/>
      <c r="E1327" s="23"/>
      <c r="F1327" s="21"/>
      <c r="G1327" s="21"/>
      <c r="H1327" s="21"/>
      <c r="I1327" s="511"/>
    </row>
    <row r="1328" spans="1:9">
      <c r="A1328" s="509"/>
      <c r="B1328" s="510"/>
      <c r="C1328" s="23"/>
      <c r="D1328" s="23"/>
      <c r="E1328" s="23"/>
      <c r="F1328" s="21"/>
      <c r="G1328" s="21"/>
      <c r="H1328" s="21"/>
      <c r="I1328" s="511"/>
    </row>
    <row r="1329" spans="1:9">
      <c r="A1329" s="509"/>
      <c r="B1329" s="510"/>
      <c r="C1329" s="23"/>
      <c r="D1329" s="23"/>
      <c r="E1329" s="23"/>
      <c r="F1329" s="21"/>
      <c r="G1329" s="21"/>
      <c r="H1329" s="21"/>
      <c r="I1329" s="511"/>
    </row>
    <row r="1330" spans="1:9">
      <c r="A1330" s="509"/>
      <c r="B1330" s="510"/>
      <c r="C1330" s="23"/>
      <c r="D1330" s="23"/>
      <c r="E1330" s="23"/>
      <c r="F1330" s="21"/>
      <c r="G1330" s="21"/>
      <c r="H1330" s="21"/>
      <c r="I1330" s="511"/>
    </row>
    <row r="1331" spans="1:9">
      <c r="A1331" s="509"/>
      <c r="B1331" s="510"/>
      <c r="C1331" s="23"/>
      <c r="D1331" s="23"/>
      <c r="E1331" s="23"/>
      <c r="F1331" s="21"/>
      <c r="G1331" s="21"/>
      <c r="H1331" s="21"/>
      <c r="I1331" s="511"/>
    </row>
    <row r="1332" spans="1:9">
      <c r="A1332" s="509"/>
      <c r="B1332" s="510"/>
      <c r="C1332" s="23"/>
      <c r="D1332" s="23"/>
      <c r="E1332" s="23"/>
      <c r="F1332" s="21"/>
      <c r="G1332" s="21"/>
      <c r="H1332" s="21"/>
      <c r="I1332" s="511"/>
    </row>
    <row r="1333" spans="1:9">
      <c r="A1333" s="509"/>
      <c r="B1333" s="510"/>
      <c r="C1333" s="23"/>
      <c r="D1333" s="23"/>
      <c r="E1333" s="23"/>
      <c r="F1333" s="21"/>
      <c r="G1333" s="21"/>
      <c r="H1333" s="21"/>
      <c r="I1333" s="511"/>
    </row>
    <row r="1334" spans="1:9">
      <c r="A1334" s="509"/>
      <c r="B1334" s="510"/>
      <c r="C1334" s="23"/>
      <c r="D1334" s="23"/>
      <c r="E1334" s="23"/>
      <c r="F1334" s="21"/>
      <c r="G1334" s="21"/>
      <c r="H1334" s="21"/>
      <c r="I1334" s="511"/>
    </row>
    <row r="1335" spans="1:9">
      <c r="A1335" s="509"/>
      <c r="B1335" s="510"/>
      <c r="C1335" s="23"/>
      <c r="D1335" s="23"/>
      <c r="E1335" s="23"/>
      <c r="F1335" s="21"/>
      <c r="G1335" s="21"/>
      <c r="H1335" s="21"/>
      <c r="I1335" s="511"/>
    </row>
    <row r="1336" spans="1:9">
      <c r="A1336" s="509"/>
      <c r="B1336" s="510"/>
      <c r="C1336" s="23"/>
      <c r="D1336" s="23"/>
      <c r="E1336" s="23"/>
      <c r="F1336" s="21"/>
      <c r="G1336" s="21"/>
      <c r="H1336" s="21"/>
      <c r="I1336" s="511"/>
    </row>
    <row r="1337" spans="1:9">
      <c r="A1337" s="509"/>
      <c r="B1337" s="510"/>
      <c r="C1337" s="23"/>
      <c r="D1337" s="23"/>
      <c r="E1337" s="23"/>
      <c r="F1337" s="21"/>
      <c r="G1337" s="21"/>
      <c r="H1337" s="21"/>
      <c r="I1337" s="511"/>
    </row>
    <row r="1338" spans="1:9">
      <c r="A1338" s="509"/>
      <c r="B1338" s="510"/>
      <c r="C1338" s="23"/>
      <c r="D1338" s="23"/>
      <c r="E1338" s="23"/>
      <c r="F1338" s="21"/>
      <c r="G1338" s="21"/>
      <c r="H1338" s="21"/>
      <c r="I1338" s="511"/>
    </row>
    <row r="1339" spans="1:9">
      <c r="A1339" s="509"/>
      <c r="B1339" s="510"/>
      <c r="C1339" s="23"/>
      <c r="D1339" s="23"/>
      <c r="E1339" s="23"/>
      <c r="F1339" s="21"/>
      <c r="G1339" s="21"/>
      <c r="H1339" s="21"/>
      <c r="I1339" s="511"/>
    </row>
    <row r="1340" spans="1:9">
      <c r="A1340" s="509"/>
      <c r="B1340" s="510"/>
      <c r="C1340" s="23"/>
      <c r="D1340" s="23"/>
      <c r="E1340" s="23"/>
      <c r="F1340" s="21"/>
      <c r="G1340" s="21"/>
      <c r="H1340" s="21"/>
      <c r="I1340" s="511"/>
    </row>
    <row r="1341" spans="1:9">
      <c r="A1341" s="509"/>
      <c r="B1341" s="510"/>
      <c r="C1341" s="23"/>
      <c r="D1341" s="23"/>
      <c r="E1341" s="23"/>
      <c r="F1341" s="21"/>
      <c r="G1341" s="21"/>
      <c r="H1341" s="21"/>
      <c r="I1341" s="511"/>
    </row>
    <row r="1342" spans="1:9">
      <c r="A1342" s="509"/>
      <c r="B1342" s="510"/>
      <c r="C1342" s="23"/>
      <c r="D1342" s="23"/>
      <c r="E1342" s="23"/>
      <c r="F1342" s="21"/>
      <c r="G1342" s="21"/>
      <c r="H1342" s="21"/>
      <c r="I1342" s="511"/>
    </row>
    <row r="1343" spans="1:9">
      <c r="A1343" s="509"/>
      <c r="B1343" s="510"/>
      <c r="C1343" s="23"/>
      <c r="D1343" s="23"/>
      <c r="E1343" s="23"/>
      <c r="F1343" s="21"/>
      <c r="G1343" s="21"/>
      <c r="H1343" s="21"/>
      <c r="I1343" s="511"/>
    </row>
    <row r="1344" spans="1:9">
      <c r="A1344" s="509"/>
      <c r="B1344" s="510"/>
      <c r="C1344" s="23"/>
      <c r="D1344" s="23"/>
      <c r="E1344" s="23"/>
      <c r="F1344" s="21"/>
      <c r="G1344" s="21"/>
      <c r="H1344" s="21"/>
      <c r="I1344" s="511"/>
    </row>
    <row r="1345" spans="1:9">
      <c r="A1345" s="509"/>
      <c r="B1345" s="510"/>
      <c r="C1345" s="23"/>
      <c r="D1345" s="23"/>
      <c r="E1345" s="23"/>
      <c r="F1345" s="21"/>
      <c r="G1345" s="21"/>
      <c r="H1345" s="21"/>
      <c r="I1345" s="511"/>
    </row>
    <row r="1346" spans="1:9">
      <c r="A1346" s="509"/>
      <c r="B1346" s="510"/>
      <c r="C1346" s="23"/>
      <c r="D1346" s="23"/>
      <c r="E1346" s="23"/>
      <c r="F1346" s="21"/>
      <c r="G1346" s="21"/>
      <c r="H1346" s="21"/>
      <c r="I1346" s="511"/>
    </row>
    <row r="1347" spans="1:9">
      <c r="A1347" s="509"/>
      <c r="B1347" s="510"/>
      <c r="C1347" s="23"/>
      <c r="D1347" s="23"/>
      <c r="E1347" s="23"/>
      <c r="F1347" s="21"/>
      <c r="G1347" s="21"/>
      <c r="H1347" s="21"/>
      <c r="I1347" s="511"/>
    </row>
    <row r="1348" spans="1:9">
      <c r="A1348" s="509"/>
      <c r="B1348" s="510"/>
      <c r="C1348" s="23"/>
      <c r="D1348" s="23"/>
      <c r="E1348" s="23"/>
      <c r="F1348" s="21"/>
      <c r="G1348" s="21"/>
      <c r="H1348" s="21"/>
      <c r="I1348" s="511"/>
    </row>
    <row r="1349" spans="1:9">
      <c r="A1349" s="509"/>
      <c r="B1349" s="510"/>
      <c r="C1349" s="23"/>
      <c r="D1349" s="23"/>
      <c r="E1349" s="23"/>
      <c r="F1349" s="21"/>
      <c r="G1349" s="21"/>
      <c r="H1349" s="21"/>
      <c r="I1349" s="511"/>
    </row>
    <row r="1350" spans="1:9">
      <c r="A1350" s="509"/>
      <c r="B1350" s="510"/>
      <c r="C1350" s="23"/>
      <c r="D1350" s="23"/>
      <c r="E1350" s="23"/>
      <c r="F1350" s="21"/>
      <c r="G1350" s="21"/>
      <c r="H1350" s="21"/>
      <c r="I1350" s="511"/>
    </row>
    <row r="1351" spans="1:9">
      <c r="A1351" s="509"/>
      <c r="B1351" s="510"/>
      <c r="C1351" s="23"/>
      <c r="D1351" s="23"/>
      <c r="E1351" s="23"/>
      <c r="F1351" s="21"/>
      <c r="G1351" s="21"/>
      <c r="H1351" s="21"/>
      <c r="I1351" s="511"/>
    </row>
    <row r="1352" spans="1:9">
      <c r="A1352" s="509"/>
      <c r="B1352" s="510"/>
      <c r="C1352" s="23"/>
      <c r="D1352" s="23"/>
      <c r="E1352" s="23"/>
      <c r="F1352" s="21"/>
      <c r="G1352" s="21"/>
      <c r="H1352" s="21"/>
      <c r="I1352" s="511"/>
    </row>
    <row r="1353" spans="1:9">
      <c r="A1353" s="509"/>
      <c r="B1353" s="510"/>
      <c r="C1353" s="23"/>
      <c r="D1353" s="23"/>
      <c r="E1353" s="23"/>
      <c r="F1353" s="21"/>
      <c r="G1353" s="21"/>
      <c r="H1353" s="21"/>
      <c r="I1353" s="511"/>
    </row>
    <row r="1354" spans="1:9">
      <c r="A1354" s="509"/>
      <c r="B1354" s="510"/>
      <c r="C1354" s="23"/>
      <c r="D1354" s="23"/>
      <c r="E1354" s="23"/>
      <c r="F1354" s="21"/>
      <c r="G1354" s="21"/>
      <c r="H1354" s="21"/>
      <c r="I1354" s="511"/>
    </row>
    <row r="1355" spans="1:9">
      <c r="A1355" s="509"/>
      <c r="B1355" s="510"/>
      <c r="C1355" s="23"/>
      <c r="D1355" s="23"/>
      <c r="E1355" s="23"/>
      <c r="F1355" s="21"/>
      <c r="G1355" s="21"/>
      <c r="H1355" s="21"/>
      <c r="I1355" s="511"/>
    </row>
    <row r="1356" spans="1:9">
      <c r="A1356" s="509"/>
      <c r="B1356" s="510"/>
      <c r="C1356" s="23"/>
      <c r="D1356" s="23"/>
      <c r="E1356" s="23"/>
      <c r="F1356" s="21"/>
      <c r="G1356" s="21"/>
      <c r="H1356" s="21"/>
      <c r="I1356" s="511"/>
    </row>
    <row r="1357" spans="1:9">
      <c r="A1357" s="509"/>
      <c r="B1357" s="510"/>
      <c r="C1357" s="23"/>
      <c r="D1357" s="23"/>
      <c r="E1357" s="23"/>
      <c r="F1357" s="21"/>
      <c r="G1357" s="21"/>
      <c r="H1357" s="21"/>
      <c r="I1357" s="511"/>
    </row>
    <row r="1358" spans="1:9">
      <c r="A1358" s="509"/>
      <c r="B1358" s="510"/>
      <c r="C1358" s="23"/>
      <c r="D1358" s="23"/>
      <c r="E1358" s="23"/>
      <c r="F1358" s="21"/>
      <c r="G1358" s="21"/>
      <c r="H1358" s="21"/>
      <c r="I1358" s="511"/>
    </row>
    <row r="1359" spans="1:9">
      <c r="A1359" s="509"/>
      <c r="B1359" s="510"/>
      <c r="C1359" s="23"/>
      <c r="D1359" s="23"/>
      <c r="E1359" s="23"/>
      <c r="F1359" s="21"/>
      <c r="G1359" s="21"/>
      <c r="H1359" s="21"/>
      <c r="I1359" s="511"/>
    </row>
    <row r="1360" spans="1:9">
      <c r="A1360" s="509"/>
      <c r="B1360" s="510"/>
      <c r="C1360" s="23"/>
      <c r="D1360" s="23"/>
      <c r="E1360" s="23"/>
      <c r="F1360" s="21"/>
      <c r="G1360" s="21"/>
      <c r="H1360" s="21"/>
      <c r="I1360" s="511"/>
    </row>
    <row r="1361" spans="1:9">
      <c r="A1361" s="509"/>
      <c r="B1361" s="510"/>
      <c r="C1361" s="23"/>
      <c r="D1361" s="23"/>
      <c r="E1361" s="23"/>
      <c r="F1361" s="21"/>
      <c r="G1361" s="21"/>
      <c r="H1361" s="21"/>
      <c r="I1361" s="511"/>
    </row>
    <row r="1362" spans="1:9">
      <c r="A1362" s="509"/>
      <c r="B1362" s="510"/>
      <c r="C1362" s="23"/>
      <c r="D1362" s="23"/>
      <c r="E1362" s="23"/>
      <c r="F1362" s="21"/>
      <c r="G1362" s="21"/>
      <c r="H1362" s="21"/>
      <c r="I1362" s="511"/>
    </row>
    <row r="1363" spans="1:9">
      <c r="A1363" s="509"/>
      <c r="B1363" s="510"/>
      <c r="C1363" s="23"/>
      <c r="D1363" s="23"/>
      <c r="E1363" s="23"/>
      <c r="F1363" s="21"/>
      <c r="G1363" s="21"/>
      <c r="H1363" s="21"/>
      <c r="I1363" s="511"/>
    </row>
    <row r="1364" spans="1:9">
      <c r="A1364" s="509"/>
      <c r="B1364" s="510"/>
      <c r="C1364" s="23"/>
      <c r="D1364" s="23"/>
      <c r="E1364" s="23"/>
      <c r="F1364" s="21"/>
      <c r="G1364" s="21"/>
      <c r="H1364" s="21"/>
      <c r="I1364" s="511"/>
    </row>
    <row r="1365" spans="1:9">
      <c r="A1365" s="509"/>
      <c r="B1365" s="510"/>
      <c r="C1365" s="23"/>
      <c r="D1365" s="23"/>
      <c r="E1365" s="23"/>
      <c r="F1365" s="21"/>
      <c r="G1365" s="21"/>
      <c r="H1365" s="21"/>
      <c r="I1365" s="511"/>
    </row>
    <row r="1366" spans="1:9">
      <c r="A1366" s="509"/>
      <c r="B1366" s="510"/>
      <c r="C1366" s="23"/>
      <c r="D1366" s="23"/>
      <c r="E1366" s="23"/>
      <c r="F1366" s="21"/>
      <c r="G1366" s="21"/>
      <c r="H1366" s="21"/>
      <c r="I1366" s="511"/>
    </row>
    <row r="1367" spans="1:9">
      <c r="A1367" s="509"/>
      <c r="B1367" s="510"/>
      <c r="C1367" s="23"/>
      <c r="D1367" s="23"/>
      <c r="E1367" s="23"/>
      <c r="F1367" s="21"/>
      <c r="G1367" s="21"/>
      <c r="H1367" s="21"/>
      <c r="I1367" s="511"/>
    </row>
    <row r="1368" spans="1:9">
      <c r="A1368" s="509"/>
      <c r="B1368" s="510"/>
      <c r="C1368" s="23"/>
      <c r="D1368" s="23"/>
      <c r="E1368" s="23"/>
      <c r="F1368" s="21"/>
      <c r="G1368" s="21"/>
      <c r="H1368" s="21"/>
      <c r="I1368" s="511"/>
    </row>
    <row r="1369" spans="1:9">
      <c r="A1369" s="509"/>
      <c r="B1369" s="510"/>
      <c r="C1369" s="23"/>
      <c r="D1369" s="23"/>
      <c r="E1369" s="23"/>
      <c r="F1369" s="21"/>
      <c r="G1369" s="21"/>
      <c r="H1369" s="21"/>
      <c r="I1369" s="511"/>
    </row>
    <row r="1370" spans="1:9">
      <c r="A1370" s="509"/>
      <c r="B1370" s="510"/>
      <c r="C1370" s="23"/>
      <c r="D1370" s="23"/>
      <c r="E1370" s="23"/>
      <c r="F1370" s="21"/>
      <c r="G1370" s="21"/>
      <c r="H1370" s="21"/>
      <c r="I1370" s="511"/>
    </row>
    <row r="1371" spans="1:9">
      <c r="A1371" s="509"/>
      <c r="B1371" s="510"/>
      <c r="C1371" s="23"/>
      <c r="D1371" s="23"/>
      <c r="E1371" s="23"/>
      <c r="F1371" s="21"/>
      <c r="G1371" s="21"/>
      <c r="H1371" s="21"/>
      <c r="I1371" s="511"/>
    </row>
    <row r="1372" spans="1:9">
      <c r="A1372" s="509"/>
      <c r="B1372" s="510"/>
      <c r="C1372" s="23"/>
      <c r="D1372" s="23"/>
      <c r="E1372" s="23"/>
      <c r="F1372" s="21"/>
      <c r="G1372" s="21"/>
      <c r="H1372" s="21"/>
      <c r="I1372" s="511"/>
    </row>
    <row r="1373" spans="1:9">
      <c r="A1373" s="509"/>
      <c r="B1373" s="510"/>
      <c r="C1373" s="23"/>
      <c r="D1373" s="23"/>
      <c r="E1373" s="23"/>
      <c r="F1373" s="21"/>
      <c r="G1373" s="21"/>
      <c r="H1373" s="21"/>
      <c r="I1373" s="511"/>
    </row>
    <row r="1374" spans="1:9">
      <c r="A1374" s="509"/>
      <c r="B1374" s="510"/>
      <c r="C1374" s="23"/>
      <c r="D1374" s="23"/>
      <c r="E1374" s="23"/>
      <c r="F1374" s="21"/>
      <c r="G1374" s="21"/>
      <c r="H1374" s="21"/>
      <c r="I1374" s="511"/>
    </row>
    <row r="1375" spans="1:9">
      <c r="A1375" s="509"/>
      <c r="B1375" s="510"/>
      <c r="C1375" s="23"/>
      <c r="D1375" s="23"/>
      <c r="E1375" s="23"/>
      <c r="F1375" s="21"/>
      <c r="G1375" s="21"/>
      <c r="H1375" s="21"/>
      <c r="I1375" s="511"/>
    </row>
    <row r="1376" spans="1:9">
      <c r="A1376" s="509"/>
      <c r="B1376" s="510"/>
      <c r="C1376" s="23"/>
      <c r="D1376" s="23"/>
      <c r="E1376" s="23"/>
      <c r="F1376" s="21"/>
      <c r="G1376" s="21"/>
      <c r="H1376" s="21"/>
      <c r="I1376" s="511"/>
    </row>
    <row r="1377" spans="1:9">
      <c r="A1377" s="509"/>
      <c r="B1377" s="510"/>
      <c r="C1377" s="23"/>
      <c r="D1377" s="23"/>
      <c r="E1377" s="23"/>
      <c r="F1377" s="21"/>
      <c r="G1377" s="21"/>
      <c r="H1377" s="21"/>
      <c r="I1377" s="511"/>
    </row>
    <row r="1378" spans="1:9">
      <c r="A1378" s="509"/>
      <c r="B1378" s="510"/>
      <c r="C1378" s="23"/>
      <c r="D1378" s="23"/>
      <c r="E1378" s="23"/>
      <c r="F1378" s="21"/>
      <c r="G1378" s="21"/>
      <c r="H1378" s="21"/>
      <c r="I1378" s="511"/>
    </row>
    <row r="1379" spans="1:9">
      <c r="A1379" s="509"/>
      <c r="B1379" s="510"/>
      <c r="C1379" s="23"/>
      <c r="D1379" s="23"/>
      <c r="E1379" s="23"/>
      <c r="F1379" s="21"/>
      <c r="G1379" s="21"/>
      <c r="H1379" s="21"/>
      <c r="I1379" s="511"/>
    </row>
    <row r="1380" spans="1:9">
      <c r="A1380" s="509"/>
      <c r="B1380" s="510"/>
      <c r="C1380" s="23"/>
      <c r="D1380" s="23"/>
      <c r="E1380" s="23"/>
      <c r="F1380" s="21"/>
      <c r="G1380" s="21"/>
      <c r="H1380" s="21"/>
      <c r="I1380" s="511"/>
    </row>
    <row r="1381" spans="1:9">
      <c r="A1381" s="509"/>
      <c r="B1381" s="510"/>
      <c r="C1381" s="23"/>
      <c r="D1381" s="23"/>
      <c r="E1381" s="23"/>
      <c r="F1381" s="21"/>
      <c r="G1381" s="21"/>
      <c r="H1381" s="21"/>
      <c r="I1381" s="511"/>
    </row>
    <row r="1382" spans="1:9">
      <c r="A1382" s="509"/>
      <c r="B1382" s="510"/>
      <c r="C1382" s="23"/>
      <c r="D1382" s="23"/>
      <c r="E1382" s="23"/>
      <c r="F1382" s="21"/>
      <c r="G1382" s="21"/>
      <c r="H1382" s="21"/>
      <c r="I1382" s="511"/>
    </row>
    <row r="1383" spans="1:9">
      <c r="A1383" s="509"/>
      <c r="B1383" s="510"/>
      <c r="C1383" s="23"/>
      <c r="D1383" s="23"/>
      <c r="E1383" s="23"/>
      <c r="F1383" s="21"/>
      <c r="G1383" s="21"/>
      <c r="H1383" s="21"/>
      <c r="I1383" s="511"/>
    </row>
    <row r="1384" spans="1:9">
      <c r="A1384" s="509"/>
      <c r="B1384" s="510"/>
      <c r="C1384" s="23"/>
      <c r="D1384" s="23"/>
      <c r="E1384" s="23"/>
      <c r="F1384" s="21"/>
      <c r="G1384" s="21"/>
      <c r="H1384" s="21"/>
      <c r="I1384" s="511"/>
    </row>
    <row r="1385" spans="1:9">
      <c r="A1385" s="509"/>
      <c r="B1385" s="510"/>
      <c r="C1385" s="23"/>
      <c r="D1385" s="23"/>
      <c r="E1385" s="23"/>
      <c r="F1385" s="21"/>
      <c r="G1385" s="21"/>
      <c r="H1385" s="21"/>
      <c r="I1385" s="511"/>
    </row>
    <row r="1386" spans="1:9">
      <c r="A1386" s="509"/>
      <c r="B1386" s="510"/>
      <c r="C1386" s="23"/>
      <c r="D1386" s="23"/>
      <c r="E1386" s="23"/>
      <c r="F1386" s="21"/>
      <c r="G1386" s="21"/>
      <c r="H1386" s="21"/>
      <c r="I1386" s="511"/>
    </row>
    <row r="1387" spans="1:9">
      <c r="A1387" s="509"/>
      <c r="B1387" s="510"/>
      <c r="C1387" s="23"/>
      <c r="D1387" s="23"/>
      <c r="E1387" s="23"/>
      <c r="F1387" s="21"/>
      <c r="G1387" s="21"/>
      <c r="H1387" s="21"/>
      <c r="I1387" s="511"/>
    </row>
    <row r="1388" spans="1:9">
      <c r="A1388" s="509"/>
      <c r="B1388" s="510"/>
      <c r="C1388" s="23"/>
      <c r="D1388" s="23"/>
      <c r="E1388" s="23"/>
      <c r="F1388" s="21"/>
      <c r="G1388" s="21"/>
      <c r="H1388" s="21"/>
      <c r="I1388" s="511"/>
    </row>
    <row r="1389" spans="1:9">
      <c r="A1389" s="509"/>
      <c r="B1389" s="510"/>
      <c r="C1389" s="23"/>
      <c r="D1389" s="23"/>
      <c r="E1389" s="23"/>
      <c r="F1389" s="21"/>
      <c r="G1389" s="21"/>
      <c r="H1389" s="21"/>
      <c r="I1389" s="511"/>
    </row>
    <row r="1390" spans="1:9">
      <c r="A1390" s="509"/>
      <c r="B1390" s="510"/>
      <c r="C1390" s="23"/>
      <c r="D1390" s="23"/>
      <c r="E1390" s="23"/>
      <c r="F1390" s="21"/>
      <c r="G1390" s="21"/>
      <c r="H1390" s="21"/>
      <c r="I1390" s="511"/>
    </row>
    <row r="1391" spans="1:9">
      <c r="A1391" s="509"/>
      <c r="B1391" s="510"/>
      <c r="C1391" s="23"/>
      <c r="D1391" s="23"/>
      <c r="E1391" s="23"/>
      <c r="F1391" s="21"/>
      <c r="G1391" s="21"/>
      <c r="H1391" s="21"/>
      <c r="I1391" s="511"/>
    </row>
    <row r="1392" spans="1:9">
      <c r="A1392" s="509"/>
      <c r="B1392" s="510"/>
      <c r="C1392" s="23"/>
      <c r="D1392" s="23"/>
      <c r="E1392" s="23"/>
      <c r="F1392" s="21"/>
      <c r="G1392" s="21"/>
      <c r="H1392" s="21"/>
      <c r="I1392" s="511"/>
    </row>
    <row r="1393" spans="1:9">
      <c r="A1393" s="509"/>
      <c r="B1393" s="510"/>
      <c r="C1393" s="23"/>
      <c r="D1393" s="23"/>
      <c r="E1393" s="23"/>
      <c r="F1393" s="21"/>
      <c r="G1393" s="21"/>
      <c r="H1393" s="21"/>
      <c r="I1393" s="511"/>
    </row>
    <row r="1394" spans="1:9">
      <c r="A1394" s="509"/>
      <c r="B1394" s="510"/>
      <c r="C1394" s="23"/>
      <c r="D1394" s="23"/>
      <c r="E1394" s="23"/>
      <c r="F1394" s="21"/>
      <c r="G1394" s="21"/>
      <c r="H1394" s="21"/>
      <c r="I1394" s="511"/>
    </row>
    <row r="1395" spans="1:9">
      <c r="A1395" s="509"/>
      <c r="B1395" s="510"/>
      <c r="C1395" s="23"/>
      <c r="D1395" s="23"/>
      <c r="E1395" s="23"/>
      <c r="F1395" s="21"/>
      <c r="G1395" s="21"/>
      <c r="H1395" s="21"/>
      <c r="I1395" s="511"/>
    </row>
    <row r="1396" spans="1:9">
      <c r="A1396" s="509"/>
      <c r="B1396" s="510"/>
      <c r="C1396" s="23"/>
      <c r="D1396" s="23"/>
      <c r="E1396" s="23"/>
      <c r="F1396" s="21"/>
      <c r="G1396" s="21"/>
      <c r="H1396" s="21"/>
      <c r="I1396" s="511"/>
    </row>
    <row r="1397" spans="1:9">
      <c r="A1397" s="509"/>
      <c r="B1397" s="510"/>
      <c r="C1397" s="23"/>
      <c r="D1397" s="23"/>
      <c r="E1397" s="23"/>
      <c r="F1397" s="21"/>
      <c r="G1397" s="21"/>
      <c r="H1397" s="21"/>
      <c r="I1397" s="511"/>
    </row>
    <row r="1398" spans="1:9">
      <c r="A1398" s="509"/>
      <c r="B1398" s="510"/>
      <c r="C1398" s="23"/>
      <c r="D1398" s="23"/>
      <c r="E1398" s="23"/>
      <c r="F1398" s="21"/>
      <c r="G1398" s="21"/>
      <c r="H1398" s="21"/>
      <c r="I1398" s="511"/>
    </row>
    <row r="1399" spans="1:9">
      <c r="A1399" s="509"/>
      <c r="B1399" s="510"/>
      <c r="C1399" s="23"/>
      <c r="D1399" s="23"/>
      <c r="E1399" s="23"/>
      <c r="F1399" s="21"/>
      <c r="G1399" s="21"/>
      <c r="H1399" s="21"/>
      <c r="I1399" s="511"/>
    </row>
    <row r="1400" spans="1:9">
      <c r="A1400" s="509"/>
      <c r="B1400" s="510"/>
      <c r="C1400" s="23"/>
      <c r="D1400" s="23"/>
      <c r="E1400" s="23"/>
      <c r="F1400" s="21"/>
      <c r="G1400" s="21"/>
      <c r="H1400" s="21"/>
      <c r="I1400" s="511"/>
    </row>
    <row r="1401" spans="1:9">
      <c r="A1401" s="509"/>
      <c r="B1401" s="510"/>
      <c r="C1401" s="23"/>
      <c r="D1401" s="23"/>
      <c r="E1401" s="23"/>
      <c r="F1401" s="21"/>
      <c r="G1401" s="21"/>
      <c r="H1401" s="21"/>
      <c r="I1401" s="511"/>
    </row>
    <row r="1402" spans="1:9">
      <c r="A1402" s="509"/>
      <c r="B1402" s="510"/>
      <c r="C1402" s="23"/>
      <c r="D1402" s="23"/>
      <c r="E1402" s="23"/>
      <c r="F1402" s="21"/>
      <c r="G1402" s="21"/>
      <c r="H1402" s="21"/>
      <c r="I1402" s="511"/>
    </row>
    <row r="1403" spans="1:9">
      <c r="A1403" s="509"/>
      <c r="B1403" s="510"/>
      <c r="C1403" s="23"/>
      <c r="D1403" s="23"/>
      <c r="E1403" s="23"/>
      <c r="F1403" s="21"/>
      <c r="G1403" s="21"/>
      <c r="H1403" s="21"/>
      <c r="I1403" s="511"/>
    </row>
    <row r="1404" spans="1:9">
      <c r="A1404" s="509"/>
      <c r="B1404" s="510"/>
      <c r="C1404" s="23"/>
      <c r="D1404" s="23"/>
      <c r="E1404" s="23"/>
      <c r="F1404" s="21"/>
      <c r="G1404" s="21"/>
      <c r="H1404" s="21"/>
      <c r="I1404" s="511"/>
    </row>
    <row r="1405" spans="1:9">
      <c r="A1405" s="509"/>
      <c r="B1405" s="510"/>
      <c r="C1405" s="23"/>
      <c r="D1405" s="23"/>
      <c r="E1405" s="23"/>
      <c r="F1405" s="21"/>
      <c r="G1405" s="21"/>
      <c r="H1405" s="21"/>
      <c r="I1405" s="511"/>
    </row>
    <row r="1406" spans="1:9">
      <c r="A1406" s="509"/>
      <c r="B1406" s="510"/>
      <c r="C1406" s="23"/>
      <c r="D1406" s="23"/>
      <c r="E1406" s="23"/>
      <c r="F1406" s="21"/>
      <c r="G1406" s="21"/>
      <c r="H1406" s="21"/>
      <c r="I1406" s="511"/>
    </row>
    <row r="1407" spans="1:9">
      <c r="A1407" s="509"/>
      <c r="B1407" s="510"/>
      <c r="C1407" s="23"/>
      <c r="D1407" s="23"/>
      <c r="E1407" s="23"/>
      <c r="F1407" s="21"/>
      <c r="G1407" s="21"/>
      <c r="H1407" s="21"/>
      <c r="I1407" s="511"/>
    </row>
    <row r="1408" spans="1:9">
      <c r="A1408" s="509"/>
      <c r="B1408" s="510"/>
      <c r="C1408" s="23"/>
      <c r="D1408" s="23"/>
      <c r="E1408" s="23"/>
      <c r="F1408" s="21"/>
      <c r="G1408" s="21"/>
      <c r="H1408" s="21"/>
      <c r="I1408" s="511"/>
    </row>
    <row r="1409" spans="1:9">
      <c r="A1409" s="509"/>
      <c r="B1409" s="510"/>
      <c r="C1409" s="23"/>
      <c r="D1409" s="23"/>
      <c r="E1409" s="23"/>
      <c r="F1409" s="21"/>
      <c r="G1409" s="21"/>
      <c r="H1409" s="21"/>
      <c r="I1409" s="511"/>
    </row>
    <row r="1410" spans="1:9">
      <c r="A1410" s="509"/>
      <c r="B1410" s="510"/>
      <c r="C1410" s="23"/>
      <c r="D1410" s="23"/>
      <c r="E1410" s="23"/>
      <c r="F1410" s="21"/>
      <c r="G1410" s="21"/>
      <c r="H1410" s="21"/>
      <c r="I1410" s="511"/>
    </row>
    <row r="1411" spans="1:9">
      <c r="A1411" s="509"/>
      <c r="B1411" s="510"/>
      <c r="C1411" s="23"/>
      <c r="D1411" s="23"/>
      <c r="E1411" s="23"/>
      <c r="F1411" s="21"/>
      <c r="G1411" s="21"/>
      <c r="H1411" s="21"/>
      <c r="I1411" s="511"/>
    </row>
    <row r="1412" spans="1:9">
      <c r="A1412" s="509"/>
      <c r="B1412" s="510"/>
      <c r="C1412" s="23"/>
      <c r="D1412" s="23"/>
      <c r="E1412" s="23"/>
      <c r="F1412" s="21"/>
      <c r="G1412" s="21"/>
      <c r="H1412" s="21"/>
      <c r="I1412" s="511"/>
    </row>
    <row r="1413" spans="1:9">
      <c r="A1413" s="509"/>
      <c r="B1413" s="510"/>
      <c r="C1413" s="23"/>
      <c r="D1413" s="23"/>
      <c r="E1413" s="23"/>
      <c r="F1413" s="21"/>
      <c r="G1413" s="21"/>
      <c r="H1413" s="21"/>
      <c r="I1413" s="511"/>
    </row>
    <row r="1414" spans="1:9">
      <c r="A1414" s="509"/>
      <c r="B1414" s="510"/>
      <c r="C1414" s="23"/>
      <c r="D1414" s="23"/>
      <c r="E1414" s="23"/>
      <c r="F1414" s="21"/>
      <c r="G1414" s="21"/>
      <c r="H1414" s="21"/>
      <c r="I1414" s="511"/>
    </row>
    <row r="1415" spans="1:9">
      <c r="A1415" s="509"/>
      <c r="B1415" s="510"/>
      <c r="C1415" s="23"/>
      <c r="D1415" s="23"/>
      <c r="E1415" s="23"/>
      <c r="F1415" s="21"/>
      <c r="G1415" s="21"/>
      <c r="H1415" s="21"/>
      <c r="I1415" s="511"/>
    </row>
    <row r="1416" spans="1:9">
      <c r="A1416" s="509"/>
      <c r="B1416" s="510"/>
      <c r="C1416" s="23"/>
      <c r="D1416" s="23"/>
      <c r="E1416" s="23"/>
      <c r="F1416" s="21"/>
      <c r="G1416" s="21"/>
      <c r="H1416" s="21"/>
      <c r="I1416" s="511"/>
    </row>
    <row r="1417" spans="1:9">
      <c r="A1417" s="509"/>
      <c r="B1417" s="510"/>
      <c r="C1417" s="23"/>
      <c r="D1417" s="23"/>
      <c r="E1417" s="23"/>
      <c r="F1417" s="21"/>
      <c r="G1417" s="21"/>
      <c r="H1417" s="21"/>
      <c r="I1417" s="511"/>
    </row>
    <row r="1418" spans="1:9">
      <c r="A1418" s="509"/>
      <c r="B1418" s="510"/>
      <c r="C1418" s="23"/>
      <c r="D1418" s="23"/>
      <c r="E1418" s="23"/>
      <c r="F1418" s="21"/>
      <c r="G1418" s="21"/>
      <c r="H1418" s="21"/>
      <c r="I1418" s="511"/>
    </row>
    <row r="1419" spans="1:9">
      <c r="A1419" s="509"/>
      <c r="B1419" s="510"/>
      <c r="C1419" s="23"/>
      <c r="D1419" s="23"/>
      <c r="E1419" s="23"/>
      <c r="F1419" s="21"/>
      <c r="G1419" s="21"/>
      <c r="H1419" s="21"/>
      <c r="I1419" s="511"/>
    </row>
    <row r="1420" spans="1:9">
      <c r="A1420" s="509"/>
      <c r="B1420" s="510"/>
      <c r="C1420" s="23"/>
      <c r="D1420" s="23"/>
      <c r="E1420" s="23"/>
      <c r="F1420" s="21"/>
      <c r="G1420" s="21"/>
      <c r="H1420" s="21"/>
      <c r="I1420" s="511"/>
    </row>
    <row r="1421" spans="1:9">
      <c r="A1421" s="509"/>
      <c r="B1421" s="510"/>
      <c r="C1421" s="23"/>
      <c r="D1421" s="23"/>
      <c r="E1421" s="23"/>
      <c r="F1421" s="21"/>
      <c r="G1421" s="21"/>
      <c r="H1421" s="21"/>
      <c r="I1421" s="511"/>
    </row>
    <row r="1422" spans="1:9">
      <c r="A1422" s="509"/>
      <c r="B1422" s="510"/>
      <c r="C1422" s="23"/>
      <c r="D1422" s="23"/>
      <c r="E1422" s="23"/>
      <c r="F1422" s="21"/>
      <c r="G1422" s="21"/>
      <c r="H1422" s="21"/>
      <c r="I1422" s="511"/>
    </row>
    <row r="1423" spans="1:9">
      <c r="A1423" s="509"/>
      <c r="B1423" s="510"/>
      <c r="C1423" s="23"/>
      <c r="D1423" s="23"/>
      <c r="E1423" s="23"/>
      <c r="F1423" s="21"/>
      <c r="G1423" s="21"/>
      <c r="H1423" s="21"/>
      <c r="I1423" s="511"/>
    </row>
    <row r="1424" spans="1:9">
      <c r="A1424" s="509"/>
      <c r="B1424" s="510"/>
      <c r="C1424" s="23"/>
      <c r="D1424" s="23"/>
      <c r="E1424" s="23"/>
      <c r="F1424" s="21"/>
      <c r="G1424" s="21"/>
      <c r="H1424" s="21"/>
      <c r="I1424" s="511"/>
    </row>
    <row r="1425" spans="1:9">
      <c r="A1425" s="509"/>
      <c r="B1425" s="510"/>
      <c r="C1425" s="23"/>
      <c r="D1425" s="23"/>
      <c r="E1425" s="23"/>
      <c r="F1425" s="21"/>
      <c r="G1425" s="21"/>
      <c r="H1425" s="21"/>
      <c r="I1425" s="511"/>
    </row>
    <row r="1426" spans="1:9">
      <c r="A1426" s="509"/>
      <c r="B1426" s="510"/>
      <c r="C1426" s="23"/>
      <c r="D1426" s="23"/>
      <c r="E1426" s="23"/>
      <c r="F1426" s="21"/>
      <c r="G1426" s="21"/>
      <c r="H1426" s="21"/>
      <c r="I1426" s="511"/>
    </row>
    <row r="1427" spans="1:9">
      <c r="A1427" s="509"/>
      <c r="B1427" s="510"/>
      <c r="C1427" s="23"/>
      <c r="D1427" s="23"/>
      <c r="E1427" s="23"/>
      <c r="F1427" s="21"/>
      <c r="G1427" s="21"/>
      <c r="H1427" s="21"/>
      <c r="I1427" s="511"/>
    </row>
    <row r="1428" spans="1:9">
      <c r="A1428" s="509"/>
      <c r="B1428" s="510"/>
      <c r="C1428" s="23"/>
      <c r="D1428" s="23"/>
      <c r="E1428" s="23"/>
      <c r="F1428" s="21"/>
      <c r="G1428" s="21"/>
      <c r="H1428" s="21"/>
      <c r="I1428" s="511"/>
    </row>
    <row r="1429" spans="1:9">
      <c r="A1429" s="509"/>
      <c r="B1429" s="510"/>
      <c r="C1429" s="23"/>
      <c r="D1429" s="23"/>
      <c r="E1429" s="23"/>
      <c r="F1429" s="21"/>
      <c r="G1429" s="21"/>
      <c r="H1429" s="21"/>
      <c r="I1429" s="511"/>
    </row>
    <row r="1430" spans="1:9">
      <c r="A1430" s="509"/>
      <c r="B1430" s="510"/>
      <c r="C1430" s="23"/>
      <c r="D1430" s="23"/>
      <c r="E1430" s="23"/>
      <c r="F1430" s="21"/>
      <c r="G1430" s="21"/>
      <c r="H1430" s="21"/>
      <c r="I1430" s="511"/>
    </row>
    <row r="1431" spans="1:9">
      <c r="A1431" s="509"/>
      <c r="B1431" s="510"/>
      <c r="C1431" s="23"/>
      <c r="D1431" s="23"/>
      <c r="E1431" s="23"/>
      <c r="F1431" s="21"/>
      <c r="G1431" s="21"/>
      <c r="H1431" s="21"/>
      <c r="I1431" s="511"/>
    </row>
    <row r="1432" spans="1:9">
      <c r="A1432" s="509"/>
      <c r="B1432" s="510"/>
      <c r="C1432" s="23"/>
      <c r="D1432" s="23"/>
      <c r="E1432" s="23"/>
      <c r="F1432" s="21"/>
      <c r="G1432" s="21"/>
      <c r="H1432" s="21"/>
      <c r="I1432" s="511"/>
    </row>
    <row r="1433" spans="1:9">
      <c r="A1433" s="509"/>
      <c r="B1433" s="510"/>
      <c r="C1433" s="23"/>
      <c r="D1433" s="23"/>
      <c r="E1433" s="23"/>
      <c r="F1433" s="21"/>
      <c r="G1433" s="21"/>
      <c r="H1433" s="21"/>
      <c r="I1433" s="511"/>
    </row>
    <row r="1434" spans="1:9">
      <c r="A1434" s="509"/>
      <c r="B1434" s="510"/>
      <c r="C1434" s="23"/>
      <c r="D1434" s="23"/>
      <c r="E1434" s="23"/>
      <c r="F1434" s="21"/>
      <c r="G1434" s="21"/>
      <c r="H1434" s="21"/>
      <c r="I1434" s="511"/>
    </row>
    <row r="1435" spans="1:9">
      <c r="A1435" s="509"/>
      <c r="B1435" s="510"/>
      <c r="C1435" s="23"/>
      <c r="D1435" s="23"/>
      <c r="E1435" s="23"/>
      <c r="F1435" s="21"/>
      <c r="G1435" s="21"/>
      <c r="H1435" s="21"/>
      <c r="I1435" s="511"/>
    </row>
    <row r="1436" spans="1:9">
      <c r="A1436" s="509"/>
      <c r="B1436" s="510"/>
      <c r="C1436" s="23"/>
      <c r="D1436" s="23"/>
      <c r="E1436" s="23"/>
      <c r="F1436" s="21"/>
      <c r="G1436" s="21"/>
      <c r="H1436" s="21"/>
      <c r="I1436" s="511"/>
    </row>
    <row r="1437" spans="1:9">
      <c r="A1437" s="509"/>
      <c r="B1437" s="510"/>
      <c r="C1437" s="23"/>
      <c r="D1437" s="23"/>
      <c r="E1437" s="23"/>
      <c r="F1437" s="21"/>
      <c r="G1437" s="21"/>
      <c r="H1437" s="21"/>
      <c r="I1437" s="511"/>
    </row>
    <row r="1438" spans="1:9">
      <c r="A1438" s="509"/>
      <c r="B1438" s="510"/>
      <c r="C1438" s="23"/>
      <c r="D1438" s="23"/>
      <c r="E1438" s="23"/>
      <c r="F1438" s="21"/>
      <c r="G1438" s="21"/>
      <c r="H1438" s="21"/>
      <c r="I1438" s="511"/>
    </row>
    <row r="1439" spans="1:9">
      <c r="A1439" s="509"/>
      <c r="B1439" s="510"/>
      <c r="C1439" s="23"/>
      <c r="D1439" s="23"/>
      <c r="E1439" s="23"/>
      <c r="F1439" s="21"/>
      <c r="G1439" s="21"/>
      <c r="H1439" s="21"/>
      <c r="I1439" s="511"/>
    </row>
    <row r="1440" spans="1:9">
      <c r="A1440" s="509"/>
      <c r="B1440" s="510"/>
      <c r="C1440" s="23"/>
      <c r="D1440" s="23"/>
      <c r="E1440" s="23"/>
      <c r="F1440" s="21"/>
      <c r="G1440" s="21"/>
      <c r="H1440" s="21"/>
      <c r="I1440" s="511"/>
    </row>
    <row r="1441" spans="1:9">
      <c r="A1441" s="509"/>
      <c r="B1441" s="510"/>
      <c r="C1441" s="23"/>
      <c r="D1441" s="23"/>
      <c r="E1441" s="23"/>
      <c r="F1441" s="21"/>
      <c r="G1441" s="21"/>
      <c r="H1441" s="21"/>
      <c r="I1441" s="511"/>
    </row>
    <row r="1442" spans="1:9">
      <c r="A1442" s="509"/>
      <c r="B1442" s="510"/>
      <c r="C1442" s="23"/>
      <c r="D1442" s="23"/>
      <c r="E1442" s="23"/>
      <c r="F1442" s="21"/>
      <c r="G1442" s="21"/>
      <c r="H1442" s="21"/>
      <c r="I1442" s="511"/>
    </row>
    <row r="1443" spans="1:9">
      <c r="A1443" s="509"/>
      <c r="B1443" s="510"/>
      <c r="C1443" s="23"/>
      <c r="D1443" s="23"/>
      <c r="E1443" s="23"/>
      <c r="F1443" s="21"/>
      <c r="G1443" s="21"/>
      <c r="H1443" s="21"/>
      <c r="I1443" s="511"/>
    </row>
    <row r="1444" spans="1:9">
      <c r="A1444" s="509"/>
      <c r="B1444" s="510"/>
      <c r="C1444" s="23"/>
      <c r="D1444" s="23"/>
      <c r="E1444" s="23"/>
      <c r="F1444" s="21"/>
      <c r="G1444" s="21"/>
      <c r="H1444" s="21"/>
      <c r="I1444" s="511"/>
    </row>
    <row r="1445" spans="1:9">
      <c r="A1445" s="509"/>
      <c r="B1445" s="510"/>
      <c r="C1445" s="23"/>
      <c r="D1445" s="23"/>
      <c r="E1445" s="23"/>
      <c r="F1445" s="21"/>
      <c r="G1445" s="21"/>
      <c r="H1445" s="21"/>
      <c r="I1445" s="511"/>
    </row>
    <row r="1446" spans="1:9">
      <c r="A1446" s="509"/>
      <c r="B1446" s="510"/>
      <c r="C1446" s="23"/>
      <c r="D1446" s="23"/>
      <c r="E1446" s="23"/>
      <c r="F1446" s="21"/>
      <c r="G1446" s="21"/>
      <c r="H1446" s="21"/>
      <c r="I1446" s="511"/>
    </row>
    <row r="1447" spans="1:9">
      <c r="A1447" s="509"/>
      <c r="B1447" s="510"/>
      <c r="C1447" s="23"/>
      <c r="D1447" s="23"/>
      <c r="E1447" s="23"/>
      <c r="F1447" s="21"/>
      <c r="G1447" s="21"/>
      <c r="H1447" s="21"/>
      <c r="I1447" s="511"/>
    </row>
    <row r="1448" spans="1:9">
      <c r="A1448" s="509"/>
      <c r="B1448" s="510"/>
      <c r="C1448" s="23"/>
      <c r="D1448" s="23"/>
      <c r="E1448" s="23"/>
      <c r="F1448" s="21"/>
      <c r="G1448" s="21"/>
      <c r="H1448" s="21"/>
      <c r="I1448" s="511"/>
    </row>
    <row r="1449" spans="1:9">
      <c r="A1449" s="509"/>
      <c r="B1449" s="510"/>
      <c r="C1449" s="23"/>
      <c r="D1449" s="23"/>
      <c r="E1449" s="23"/>
      <c r="F1449" s="21"/>
      <c r="G1449" s="21"/>
      <c r="H1449" s="21"/>
      <c r="I1449" s="511"/>
    </row>
    <row r="1450" spans="1:9">
      <c r="A1450" s="509"/>
      <c r="B1450" s="510"/>
      <c r="C1450" s="23"/>
      <c r="D1450" s="23"/>
      <c r="E1450" s="23"/>
      <c r="F1450" s="21"/>
      <c r="G1450" s="21"/>
      <c r="H1450" s="21"/>
      <c r="I1450" s="511"/>
    </row>
    <row r="1451" spans="1:9">
      <c r="A1451" s="509"/>
      <c r="B1451" s="510"/>
      <c r="C1451" s="23"/>
      <c r="D1451" s="23"/>
      <c r="E1451" s="23"/>
      <c r="F1451" s="21"/>
      <c r="G1451" s="21"/>
      <c r="H1451" s="21"/>
      <c r="I1451" s="511"/>
    </row>
    <row r="1452" spans="1:9">
      <c r="A1452" s="509"/>
      <c r="B1452" s="510"/>
      <c r="C1452" s="23"/>
      <c r="D1452" s="23"/>
      <c r="E1452" s="23"/>
      <c r="F1452" s="21"/>
      <c r="G1452" s="21"/>
      <c r="H1452" s="21"/>
      <c r="I1452" s="511"/>
    </row>
    <row r="1453" spans="1:9">
      <c r="A1453" s="509"/>
      <c r="B1453" s="510"/>
      <c r="C1453" s="23"/>
      <c r="D1453" s="23"/>
      <c r="E1453" s="23"/>
      <c r="F1453" s="21"/>
      <c r="G1453" s="21"/>
      <c r="H1453" s="21"/>
      <c r="I1453" s="511"/>
    </row>
    <row r="1454" spans="1:9">
      <c r="A1454" s="509"/>
      <c r="B1454" s="510"/>
      <c r="C1454" s="23"/>
      <c r="D1454" s="23"/>
      <c r="E1454" s="23"/>
      <c r="F1454" s="21"/>
      <c r="G1454" s="21"/>
      <c r="H1454" s="21"/>
      <c r="I1454" s="511"/>
    </row>
    <row r="1455" spans="1:9">
      <c r="A1455" s="509"/>
      <c r="B1455" s="510"/>
      <c r="C1455" s="23"/>
      <c r="D1455" s="23"/>
      <c r="E1455" s="23"/>
      <c r="F1455" s="21"/>
      <c r="G1455" s="21"/>
      <c r="H1455" s="21"/>
      <c r="I1455" s="511"/>
    </row>
    <row r="1456" spans="1:9">
      <c r="A1456" s="509"/>
      <c r="B1456" s="510"/>
      <c r="C1456" s="23"/>
      <c r="D1456" s="23"/>
      <c r="E1456" s="23"/>
      <c r="F1456" s="21"/>
      <c r="G1456" s="21"/>
      <c r="H1456" s="21"/>
      <c r="I1456" s="511"/>
    </row>
    <row r="1457" spans="1:9">
      <c r="A1457" s="509"/>
      <c r="B1457" s="510"/>
      <c r="C1457" s="23"/>
      <c r="D1457" s="23"/>
      <c r="E1457" s="23"/>
      <c r="F1457" s="21"/>
      <c r="G1457" s="21"/>
      <c r="H1457" s="21"/>
      <c r="I1457" s="511"/>
    </row>
    <row r="1458" spans="1:9">
      <c r="A1458" s="509"/>
      <c r="B1458" s="510"/>
      <c r="C1458" s="23"/>
      <c r="D1458" s="23"/>
      <c r="E1458" s="23"/>
      <c r="F1458" s="21"/>
      <c r="G1458" s="21"/>
      <c r="H1458" s="21"/>
      <c r="I1458" s="511"/>
    </row>
    <row r="1459" spans="1:9">
      <c r="A1459" s="509"/>
      <c r="B1459" s="510"/>
      <c r="C1459" s="23"/>
      <c r="D1459" s="23"/>
      <c r="E1459" s="23"/>
      <c r="F1459" s="21"/>
      <c r="G1459" s="21"/>
      <c r="H1459" s="21"/>
      <c r="I1459" s="511"/>
    </row>
    <row r="1460" spans="1:9">
      <c r="A1460" s="509"/>
      <c r="B1460" s="510"/>
      <c r="C1460" s="23"/>
      <c r="D1460" s="23"/>
      <c r="E1460" s="23"/>
      <c r="F1460" s="21"/>
      <c r="G1460" s="21"/>
      <c r="H1460" s="21"/>
      <c r="I1460" s="511"/>
    </row>
    <row r="1461" spans="1:9">
      <c r="A1461" s="509"/>
      <c r="B1461" s="510"/>
      <c r="C1461" s="23"/>
      <c r="D1461" s="23"/>
      <c r="E1461" s="23"/>
      <c r="F1461" s="21"/>
      <c r="G1461" s="21"/>
      <c r="H1461" s="21"/>
      <c r="I1461" s="511"/>
    </row>
    <row r="1462" spans="1:9">
      <c r="A1462" s="509"/>
      <c r="B1462" s="510"/>
      <c r="C1462" s="23"/>
      <c r="D1462" s="23"/>
      <c r="E1462" s="23"/>
      <c r="F1462" s="21"/>
      <c r="G1462" s="21"/>
      <c r="H1462" s="21"/>
      <c r="I1462" s="511"/>
    </row>
    <row r="1463" spans="1:9">
      <c r="A1463" s="509"/>
      <c r="B1463" s="510"/>
      <c r="C1463" s="23"/>
      <c r="D1463" s="23"/>
      <c r="E1463" s="23"/>
      <c r="F1463" s="21"/>
      <c r="G1463" s="21"/>
      <c r="H1463" s="21"/>
      <c r="I1463" s="511"/>
    </row>
    <row r="1464" spans="1:9">
      <c r="A1464" s="509"/>
      <c r="B1464" s="510"/>
      <c r="C1464" s="23"/>
      <c r="D1464" s="23"/>
      <c r="E1464" s="23"/>
      <c r="F1464" s="21"/>
      <c r="G1464" s="21"/>
      <c r="H1464" s="21"/>
      <c r="I1464" s="511"/>
    </row>
    <row r="1465" spans="1:9">
      <c r="A1465" s="509"/>
      <c r="B1465" s="510"/>
      <c r="C1465" s="23"/>
      <c r="D1465" s="23"/>
      <c r="E1465" s="23"/>
      <c r="F1465" s="21"/>
      <c r="G1465" s="21"/>
      <c r="H1465" s="21"/>
      <c r="I1465" s="511"/>
    </row>
    <row r="1466" spans="1:9">
      <c r="A1466" s="509"/>
      <c r="B1466" s="510"/>
      <c r="C1466" s="23"/>
      <c r="D1466" s="23"/>
      <c r="E1466" s="23"/>
      <c r="F1466" s="21"/>
      <c r="G1466" s="21"/>
      <c r="H1466" s="21"/>
      <c r="I1466" s="511"/>
    </row>
    <row r="1467" spans="1:9">
      <c r="A1467" s="509"/>
      <c r="B1467" s="510"/>
      <c r="C1467" s="23"/>
      <c r="D1467" s="23"/>
      <c r="E1467" s="23"/>
      <c r="F1467" s="21"/>
      <c r="G1467" s="21"/>
      <c r="H1467" s="21"/>
      <c r="I1467" s="511"/>
    </row>
    <row r="1468" spans="1:9">
      <c r="A1468" s="509"/>
      <c r="B1468" s="510"/>
      <c r="C1468" s="23"/>
      <c r="D1468" s="23"/>
      <c r="E1468" s="23"/>
      <c r="F1468" s="21"/>
      <c r="G1468" s="21"/>
      <c r="H1468" s="21"/>
      <c r="I1468" s="511"/>
    </row>
    <row r="1469" spans="1:9">
      <c r="A1469" s="509"/>
      <c r="B1469" s="510"/>
      <c r="C1469" s="23"/>
      <c r="D1469" s="23"/>
      <c r="E1469" s="23"/>
      <c r="F1469" s="21"/>
      <c r="G1469" s="21"/>
      <c r="H1469" s="21"/>
      <c r="I1469" s="511"/>
    </row>
    <row r="1470" spans="1:9">
      <c r="A1470" s="509"/>
      <c r="B1470" s="510"/>
      <c r="C1470" s="23"/>
      <c r="D1470" s="23"/>
      <c r="E1470" s="23"/>
      <c r="F1470" s="21"/>
      <c r="G1470" s="21"/>
      <c r="H1470" s="21"/>
      <c r="I1470" s="511"/>
    </row>
    <row r="1471" spans="1:9">
      <c r="A1471" s="509"/>
      <c r="B1471" s="510"/>
      <c r="C1471" s="23"/>
      <c r="D1471" s="23"/>
      <c r="E1471" s="23"/>
      <c r="F1471" s="21"/>
      <c r="G1471" s="21"/>
      <c r="H1471" s="21"/>
      <c r="I1471" s="511"/>
    </row>
    <row r="1472" spans="1:9">
      <c r="A1472" s="509"/>
      <c r="B1472" s="510"/>
      <c r="C1472" s="23"/>
      <c r="D1472" s="23"/>
      <c r="E1472" s="23"/>
      <c r="F1472" s="21"/>
      <c r="G1472" s="21"/>
      <c r="H1472" s="21"/>
      <c r="I1472" s="511"/>
    </row>
    <row r="1473" spans="1:9">
      <c r="A1473" s="509"/>
      <c r="B1473" s="510"/>
      <c r="C1473" s="23"/>
      <c r="D1473" s="23"/>
      <c r="E1473" s="23"/>
      <c r="F1473" s="21"/>
      <c r="G1473" s="21"/>
      <c r="H1473" s="21"/>
      <c r="I1473" s="511"/>
    </row>
    <row r="1474" spans="1:9">
      <c r="A1474" s="509"/>
      <c r="B1474" s="510"/>
      <c r="C1474" s="23"/>
      <c r="D1474" s="23"/>
      <c r="E1474" s="23"/>
      <c r="F1474" s="21"/>
      <c r="G1474" s="21"/>
      <c r="H1474" s="21"/>
      <c r="I1474" s="511"/>
    </row>
    <row r="1475" spans="1:9">
      <c r="A1475" s="509"/>
      <c r="B1475" s="510"/>
      <c r="C1475" s="23"/>
      <c r="D1475" s="23"/>
      <c r="E1475" s="23"/>
      <c r="F1475" s="21"/>
      <c r="G1475" s="21"/>
      <c r="H1475" s="21"/>
      <c r="I1475" s="511"/>
    </row>
    <row r="1476" spans="1:9">
      <c r="A1476" s="509"/>
      <c r="B1476" s="510"/>
      <c r="C1476" s="23"/>
      <c r="D1476" s="23"/>
      <c r="E1476" s="23"/>
      <c r="F1476" s="21"/>
      <c r="G1476" s="21"/>
      <c r="H1476" s="21"/>
      <c r="I1476" s="511"/>
    </row>
    <row r="1477" spans="1:9">
      <c r="A1477" s="509"/>
      <c r="B1477" s="510"/>
      <c r="C1477" s="23"/>
      <c r="D1477" s="23"/>
      <c r="E1477" s="23"/>
      <c r="F1477" s="21"/>
      <c r="G1477" s="21"/>
      <c r="H1477" s="21"/>
      <c r="I1477" s="511"/>
    </row>
    <row r="1478" spans="1:9">
      <c r="A1478" s="509"/>
      <c r="B1478" s="510"/>
      <c r="C1478" s="23"/>
      <c r="D1478" s="23"/>
      <c r="E1478" s="23"/>
      <c r="F1478" s="21"/>
      <c r="G1478" s="21"/>
      <c r="H1478" s="21"/>
      <c r="I1478" s="511"/>
    </row>
    <row r="1479" spans="1:9">
      <c r="A1479" s="509"/>
      <c r="B1479" s="510"/>
      <c r="C1479" s="23"/>
      <c r="D1479" s="23"/>
      <c r="E1479" s="23"/>
      <c r="F1479" s="21"/>
      <c r="G1479" s="21"/>
      <c r="H1479" s="21"/>
      <c r="I1479" s="511"/>
    </row>
    <row r="1480" spans="1:9">
      <c r="A1480" s="509"/>
      <c r="B1480" s="510"/>
      <c r="C1480" s="23"/>
      <c r="D1480" s="23"/>
      <c r="E1480" s="23"/>
      <c r="F1480" s="21"/>
      <c r="G1480" s="21"/>
      <c r="H1480" s="21"/>
      <c r="I1480" s="511"/>
    </row>
    <row r="1481" spans="1:9">
      <c r="A1481" s="509"/>
      <c r="B1481" s="510"/>
      <c r="C1481" s="23"/>
      <c r="D1481" s="23"/>
      <c r="E1481" s="23"/>
      <c r="F1481" s="21"/>
      <c r="G1481" s="21"/>
      <c r="H1481" s="21"/>
      <c r="I1481" s="511"/>
    </row>
    <row r="1482" spans="1:9">
      <c r="A1482" s="509"/>
      <c r="B1482" s="510"/>
      <c r="C1482" s="23"/>
      <c r="D1482" s="23"/>
      <c r="E1482" s="23"/>
      <c r="F1482" s="21"/>
      <c r="G1482" s="21"/>
      <c r="H1482" s="21"/>
      <c r="I1482" s="511"/>
    </row>
    <row r="1483" spans="1:9">
      <c r="A1483" s="509"/>
      <c r="B1483" s="510"/>
      <c r="C1483" s="23"/>
      <c r="D1483" s="23"/>
      <c r="E1483" s="23"/>
      <c r="F1483" s="21"/>
      <c r="G1483" s="21"/>
      <c r="H1483" s="21"/>
      <c r="I1483" s="511"/>
    </row>
    <row r="1484" spans="1:9">
      <c r="A1484" s="509"/>
      <c r="B1484" s="510"/>
      <c r="C1484" s="23"/>
      <c r="D1484" s="23"/>
      <c r="E1484" s="23"/>
      <c r="F1484" s="21"/>
      <c r="G1484" s="21"/>
      <c r="H1484" s="21"/>
      <c r="I1484" s="511"/>
    </row>
    <row r="1485" spans="1:9">
      <c r="A1485" s="509"/>
      <c r="B1485" s="510"/>
      <c r="C1485" s="23"/>
      <c r="D1485" s="23"/>
      <c r="E1485" s="23"/>
      <c r="F1485" s="21"/>
      <c r="G1485" s="21"/>
      <c r="H1485" s="21"/>
      <c r="I1485" s="511"/>
    </row>
    <row r="1486" spans="1:9">
      <c r="A1486" s="509"/>
      <c r="B1486" s="510"/>
      <c r="C1486" s="23"/>
      <c r="D1486" s="23"/>
      <c r="E1486" s="23"/>
      <c r="F1486" s="21"/>
      <c r="G1486" s="21"/>
      <c r="H1486" s="21"/>
      <c r="I1486" s="511"/>
    </row>
    <row r="1487" spans="1:9">
      <c r="A1487" s="509"/>
      <c r="B1487" s="510"/>
      <c r="C1487" s="23"/>
      <c r="D1487" s="23"/>
      <c r="E1487" s="23"/>
      <c r="F1487" s="21"/>
      <c r="G1487" s="21"/>
      <c r="H1487" s="21"/>
      <c r="I1487" s="511"/>
    </row>
    <row r="1488" spans="1:9">
      <c r="A1488" s="509"/>
      <c r="B1488" s="510"/>
      <c r="C1488" s="23"/>
      <c r="D1488" s="23"/>
      <c r="E1488" s="23"/>
      <c r="F1488" s="21"/>
      <c r="G1488" s="21"/>
      <c r="H1488" s="21"/>
      <c r="I1488" s="511"/>
    </row>
    <row r="1489" spans="1:9">
      <c r="A1489" s="509"/>
      <c r="B1489" s="510"/>
      <c r="C1489" s="23"/>
      <c r="D1489" s="23"/>
      <c r="E1489" s="23"/>
      <c r="F1489" s="21"/>
      <c r="G1489" s="21"/>
      <c r="H1489" s="21"/>
      <c r="I1489" s="511"/>
    </row>
    <row r="1490" spans="1:9">
      <c r="A1490" s="509"/>
      <c r="B1490" s="510"/>
      <c r="C1490" s="23"/>
      <c r="D1490" s="23"/>
      <c r="E1490" s="23"/>
      <c r="F1490" s="21"/>
      <c r="G1490" s="21"/>
      <c r="H1490" s="21"/>
      <c r="I1490" s="511"/>
    </row>
    <row r="1491" spans="1:9">
      <c r="A1491" s="509"/>
      <c r="B1491" s="510"/>
      <c r="C1491" s="23"/>
      <c r="D1491" s="23"/>
      <c r="E1491" s="23"/>
      <c r="F1491" s="21"/>
      <c r="G1491" s="21"/>
      <c r="H1491" s="21"/>
      <c r="I1491" s="511"/>
    </row>
    <row r="1492" spans="1:9">
      <c r="A1492" s="509"/>
      <c r="B1492" s="510"/>
      <c r="C1492" s="23"/>
      <c r="D1492" s="23"/>
      <c r="E1492" s="23"/>
      <c r="F1492" s="21"/>
      <c r="G1492" s="21"/>
      <c r="H1492" s="21"/>
      <c r="I1492" s="511"/>
    </row>
    <row r="1493" spans="1:9">
      <c r="A1493" s="509"/>
      <c r="B1493" s="510"/>
      <c r="C1493" s="23"/>
      <c r="D1493" s="23"/>
      <c r="E1493" s="23"/>
      <c r="F1493" s="21"/>
      <c r="G1493" s="21"/>
      <c r="H1493" s="21"/>
      <c r="I1493" s="511"/>
    </row>
    <row r="1494" spans="1:9">
      <c r="A1494" s="509"/>
      <c r="B1494" s="510"/>
      <c r="C1494" s="23"/>
      <c r="D1494" s="23"/>
      <c r="E1494" s="23"/>
      <c r="F1494" s="21"/>
      <c r="G1494" s="21"/>
      <c r="H1494" s="21"/>
      <c r="I1494" s="511"/>
    </row>
    <row r="1495" spans="1:9">
      <c r="A1495" s="509"/>
      <c r="B1495" s="510"/>
      <c r="C1495" s="23"/>
      <c r="D1495" s="23"/>
      <c r="E1495" s="23"/>
      <c r="F1495" s="21"/>
      <c r="G1495" s="21"/>
      <c r="H1495" s="21"/>
      <c r="I1495" s="511"/>
    </row>
    <row r="1496" spans="1:9">
      <c r="A1496" s="509"/>
      <c r="B1496" s="510"/>
      <c r="C1496" s="23"/>
      <c r="D1496" s="23"/>
      <c r="E1496" s="23"/>
      <c r="F1496" s="21"/>
      <c r="G1496" s="21"/>
      <c r="H1496" s="21"/>
      <c r="I1496" s="511"/>
    </row>
    <row r="1497" spans="1:9">
      <c r="A1497" s="509"/>
      <c r="B1497" s="510"/>
      <c r="C1497" s="23"/>
      <c r="D1497" s="23"/>
      <c r="E1497" s="23"/>
      <c r="F1497" s="21"/>
      <c r="G1497" s="21"/>
      <c r="H1497" s="21"/>
      <c r="I1497" s="511"/>
    </row>
    <row r="1498" spans="1:9">
      <c r="A1498" s="509"/>
      <c r="B1498" s="510"/>
      <c r="C1498" s="23"/>
      <c r="D1498" s="23"/>
      <c r="E1498" s="23"/>
      <c r="F1498" s="21"/>
      <c r="G1498" s="21"/>
      <c r="H1498" s="21"/>
      <c r="I1498" s="511"/>
    </row>
    <row r="1499" spans="1:9">
      <c r="A1499" s="509"/>
      <c r="B1499" s="510"/>
      <c r="C1499" s="23"/>
      <c r="D1499" s="23"/>
      <c r="E1499" s="23"/>
      <c r="F1499" s="21"/>
      <c r="G1499" s="21"/>
      <c r="H1499" s="21"/>
      <c r="I1499" s="511"/>
    </row>
    <row r="1500" spans="1:9">
      <c r="A1500" s="509"/>
      <c r="B1500" s="510"/>
      <c r="C1500" s="23"/>
      <c r="D1500" s="23"/>
      <c r="E1500" s="23"/>
      <c r="F1500" s="21"/>
      <c r="G1500" s="21"/>
      <c r="H1500" s="21"/>
      <c r="I1500" s="511"/>
    </row>
    <row r="1501" spans="1:9">
      <c r="A1501" s="509"/>
      <c r="B1501" s="510"/>
      <c r="C1501" s="23"/>
      <c r="D1501" s="23"/>
      <c r="E1501" s="23"/>
      <c r="F1501" s="21"/>
      <c r="G1501" s="21"/>
      <c r="H1501" s="21"/>
      <c r="I1501" s="511"/>
    </row>
    <row r="1502" spans="1:9">
      <c r="A1502" s="509"/>
      <c r="B1502" s="510"/>
      <c r="C1502" s="23"/>
      <c r="D1502" s="23"/>
      <c r="E1502" s="23"/>
      <c r="F1502" s="21"/>
      <c r="G1502" s="21"/>
      <c r="H1502" s="21"/>
      <c r="I1502" s="511"/>
    </row>
    <row r="1503" spans="1:9">
      <c r="A1503" s="509"/>
      <c r="B1503" s="510"/>
      <c r="C1503" s="23"/>
      <c r="D1503" s="23"/>
      <c r="E1503" s="23"/>
      <c r="F1503" s="21"/>
      <c r="G1503" s="21"/>
      <c r="H1503" s="21"/>
      <c r="I1503" s="511"/>
    </row>
    <row r="1504" spans="1:9">
      <c r="A1504" s="509"/>
      <c r="B1504" s="510"/>
      <c r="C1504" s="23"/>
      <c r="D1504" s="23"/>
      <c r="E1504" s="23"/>
      <c r="F1504" s="21"/>
      <c r="G1504" s="21"/>
      <c r="H1504" s="21"/>
      <c r="I1504" s="511"/>
    </row>
    <row r="1505" spans="1:9">
      <c r="A1505" s="509"/>
      <c r="B1505" s="510"/>
      <c r="C1505" s="23"/>
      <c r="D1505" s="23"/>
      <c r="E1505" s="23"/>
      <c r="F1505" s="21"/>
      <c r="G1505" s="21"/>
      <c r="H1505" s="21"/>
      <c r="I1505" s="511"/>
    </row>
    <row r="1506" spans="1:9">
      <c r="A1506" s="509"/>
      <c r="B1506" s="510"/>
      <c r="C1506" s="23"/>
      <c r="D1506" s="23"/>
      <c r="E1506" s="23"/>
      <c r="F1506" s="21"/>
      <c r="G1506" s="21"/>
      <c r="H1506" s="21"/>
      <c r="I1506" s="511"/>
    </row>
    <row r="1507" spans="1:9">
      <c r="A1507" s="509"/>
      <c r="B1507" s="510"/>
      <c r="C1507" s="23"/>
      <c r="D1507" s="23"/>
      <c r="E1507" s="23"/>
      <c r="F1507" s="21"/>
      <c r="G1507" s="21"/>
      <c r="H1507" s="21"/>
      <c r="I1507" s="511"/>
    </row>
    <row r="1508" spans="1:9">
      <c r="A1508" s="509"/>
      <c r="B1508" s="510"/>
      <c r="C1508" s="23"/>
      <c r="D1508" s="23"/>
      <c r="E1508" s="23"/>
      <c r="F1508" s="21"/>
      <c r="G1508" s="21"/>
      <c r="H1508" s="21"/>
      <c r="I1508" s="511"/>
    </row>
    <row r="1509" spans="1:9">
      <c r="A1509" s="509"/>
      <c r="B1509" s="510"/>
      <c r="C1509" s="23"/>
      <c r="D1509" s="23"/>
      <c r="E1509" s="23"/>
      <c r="F1509" s="21"/>
      <c r="G1509" s="21"/>
      <c r="H1509" s="21"/>
      <c r="I1509" s="511"/>
    </row>
    <row r="1510" spans="1:9">
      <c r="A1510" s="509"/>
      <c r="B1510" s="510"/>
      <c r="C1510" s="23"/>
      <c r="D1510" s="23"/>
      <c r="E1510" s="23"/>
      <c r="F1510" s="21"/>
      <c r="G1510" s="21"/>
      <c r="H1510" s="21"/>
      <c r="I1510" s="511"/>
    </row>
    <row r="1511" spans="1:9">
      <c r="A1511" s="509"/>
      <c r="B1511" s="510"/>
      <c r="C1511" s="23"/>
      <c r="D1511" s="23"/>
      <c r="E1511" s="23"/>
      <c r="F1511" s="21"/>
      <c r="G1511" s="21"/>
      <c r="H1511" s="21"/>
      <c r="I1511" s="511"/>
    </row>
    <row r="1512" spans="1:9">
      <c r="A1512" s="509"/>
      <c r="B1512" s="510"/>
      <c r="C1512" s="23"/>
      <c r="D1512" s="23"/>
      <c r="E1512" s="23"/>
      <c r="F1512" s="21"/>
      <c r="G1512" s="21"/>
      <c r="H1512" s="21"/>
      <c r="I1512" s="511"/>
    </row>
    <row r="1513" spans="1:9">
      <c r="A1513" s="509"/>
      <c r="B1513" s="510"/>
      <c r="C1513" s="23"/>
      <c r="D1513" s="23"/>
      <c r="E1513" s="23"/>
      <c r="F1513" s="21"/>
      <c r="G1513" s="21"/>
      <c r="H1513" s="21"/>
      <c r="I1513" s="511"/>
    </row>
    <row r="1514" spans="1:9">
      <c r="A1514" s="509"/>
      <c r="B1514" s="510"/>
      <c r="C1514" s="23"/>
      <c r="D1514" s="23"/>
      <c r="E1514" s="23"/>
      <c r="F1514" s="21"/>
      <c r="G1514" s="21"/>
      <c r="H1514" s="21"/>
      <c r="I1514" s="511"/>
    </row>
    <row r="1515" spans="1:9">
      <c r="A1515" s="509"/>
      <c r="B1515" s="510"/>
      <c r="C1515" s="23"/>
      <c r="D1515" s="23"/>
      <c r="E1515" s="23"/>
      <c r="F1515" s="21"/>
      <c r="G1515" s="21"/>
      <c r="H1515" s="21"/>
      <c r="I1515" s="511"/>
    </row>
    <row r="1516" spans="1:9">
      <c r="A1516" s="509"/>
      <c r="B1516" s="510"/>
      <c r="C1516" s="23"/>
      <c r="D1516" s="23"/>
      <c r="E1516" s="23"/>
      <c r="F1516" s="21"/>
      <c r="G1516" s="21"/>
      <c r="H1516" s="21"/>
      <c r="I1516" s="511"/>
    </row>
    <row r="1517" spans="1:9">
      <c r="A1517" s="509"/>
      <c r="B1517" s="510"/>
      <c r="C1517" s="23"/>
      <c r="D1517" s="23"/>
      <c r="E1517" s="23"/>
      <c r="F1517" s="21"/>
      <c r="G1517" s="21"/>
      <c r="H1517" s="21"/>
      <c r="I1517" s="511"/>
    </row>
    <row r="1518" spans="1:9">
      <c r="A1518" s="509"/>
      <c r="B1518" s="510"/>
      <c r="C1518" s="23"/>
      <c r="D1518" s="23"/>
      <c r="E1518" s="23"/>
      <c r="F1518" s="21"/>
      <c r="G1518" s="21"/>
      <c r="H1518" s="21"/>
      <c r="I1518" s="511"/>
    </row>
    <row r="1519" spans="1:9">
      <c r="A1519" s="509"/>
      <c r="B1519" s="510"/>
      <c r="C1519" s="23"/>
      <c r="D1519" s="23"/>
      <c r="E1519" s="23"/>
      <c r="F1519" s="21"/>
      <c r="G1519" s="21"/>
      <c r="H1519" s="21"/>
      <c r="I1519" s="511"/>
    </row>
    <row r="1520" spans="1:9">
      <c r="A1520" s="509"/>
      <c r="B1520" s="510"/>
      <c r="C1520" s="23"/>
      <c r="D1520" s="23"/>
      <c r="E1520" s="23"/>
      <c r="F1520" s="21"/>
      <c r="G1520" s="21"/>
      <c r="H1520" s="21"/>
      <c r="I1520" s="511"/>
    </row>
    <row r="1521" spans="1:9">
      <c r="A1521" s="509"/>
      <c r="B1521" s="510"/>
      <c r="C1521" s="23"/>
      <c r="D1521" s="23"/>
      <c r="E1521" s="23"/>
      <c r="F1521" s="21"/>
      <c r="G1521" s="21"/>
      <c r="H1521" s="21"/>
      <c r="I1521" s="511"/>
    </row>
    <row r="1522" spans="1:9">
      <c r="A1522" s="509"/>
      <c r="B1522" s="510"/>
      <c r="C1522" s="23"/>
      <c r="D1522" s="23"/>
      <c r="E1522" s="23"/>
      <c r="F1522" s="21"/>
      <c r="G1522" s="21"/>
      <c r="H1522" s="21"/>
      <c r="I1522" s="511"/>
    </row>
    <row r="1523" spans="1:9">
      <c r="A1523" s="509"/>
      <c r="B1523" s="510"/>
      <c r="C1523" s="23"/>
      <c r="D1523" s="23"/>
      <c r="E1523" s="23"/>
      <c r="F1523" s="21"/>
      <c r="G1523" s="21"/>
      <c r="H1523" s="21"/>
      <c r="I1523" s="511"/>
    </row>
    <row r="1524" spans="1:9">
      <c r="A1524" s="509"/>
      <c r="B1524" s="510"/>
      <c r="C1524" s="23"/>
      <c r="D1524" s="23"/>
      <c r="E1524" s="23"/>
      <c r="F1524" s="21"/>
      <c r="G1524" s="21"/>
      <c r="H1524" s="21"/>
      <c r="I1524" s="511"/>
    </row>
    <row r="1525" spans="1:9">
      <c r="A1525" s="509"/>
      <c r="B1525" s="510"/>
      <c r="C1525" s="23"/>
      <c r="D1525" s="23"/>
      <c r="E1525" s="23"/>
      <c r="F1525" s="21"/>
      <c r="G1525" s="21"/>
      <c r="H1525" s="21"/>
      <c r="I1525" s="511"/>
    </row>
    <row r="1526" spans="1:9">
      <c r="A1526" s="509"/>
      <c r="B1526" s="510"/>
      <c r="C1526" s="23"/>
      <c r="D1526" s="23"/>
      <c r="E1526" s="23"/>
      <c r="F1526" s="21"/>
      <c r="G1526" s="21"/>
      <c r="H1526" s="21"/>
      <c r="I1526" s="511"/>
    </row>
    <row r="1527" spans="1:9">
      <c r="A1527" s="509"/>
      <c r="B1527" s="510"/>
      <c r="C1527" s="23"/>
      <c r="D1527" s="23"/>
      <c r="E1527" s="23"/>
      <c r="F1527" s="21"/>
      <c r="G1527" s="21"/>
      <c r="H1527" s="21"/>
      <c r="I1527" s="511"/>
    </row>
    <row r="1528" spans="1:9">
      <c r="A1528" s="509"/>
      <c r="B1528" s="510"/>
      <c r="C1528" s="23"/>
      <c r="D1528" s="23"/>
      <c r="E1528" s="23"/>
      <c r="F1528" s="21"/>
      <c r="G1528" s="21"/>
      <c r="H1528" s="21"/>
      <c r="I1528" s="511"/>
    </row>
    <row r="1529" spans="1:9">
      <c r="A1529" s="509"/>
      <c r="B1529" s="510"/>
      <c r="C1529" s="23"/>
      <c r="D1529" s="23"/>
      <c r="E1529" s="23"/>
      <c r="F1529" s="21"/>
      <c r="G1529" s="21"/>
      <c r="H1529" s="21"/>
      <c r="I1529" s="511"/>
    </row>
    <row r="1530" spans="1:9">
      <c r="A1530" s="509"/>
      <c r="B1530" s="510"/>
      <c r="C1530" s="23"/>
      <c r="D1530" s="23"/>
      <c r="E1530" s="23"/>
      <c r="F1530" s="21"/>
      <c r="G1530" s="21"/>
      <c r="H1530" s="21"/>
      <c r="I1530" s="511"/>
    </row>
    <row r="1531" spans="1:9">
      <c r="A1531" s="509"/>
      <c r="B1531" s="510"/>
      <c r="C1531" s="23"/>
      <c r="D1531" s="23"/>
      <c r="E1531" s="23"/>
      <c r="F1531" s="21"/>
      <c r="G1531" s="21"/>
      <c r="H1531" s="21"/>
      <c r="I1531" s="511"/>
    </row>
    <row r="1532" spans="1:9">
      <c r="A1532" s="509"/>
      <c r="B1532" s="510"/>
      <c r="C1532" s="23"/>
      <c r="D1532" s="23"/>
      <c r="E1532" s="23"/>
      <c r="F1532" s="21"/>
      <c r="G1532" s="21"/>
      <c r="H1532" s="21"/>
      <c r="I1532" s="511"/>
    </row>
    <row r="1533" spans="1:9">
      <c r="A1533" s="509"/>
      <c r="B1533" s="510"/>
      <c r="C1533" s="23"/>
      <c r="D1533" s="23"/>
      <c r="E1533" s="23"/>
      <c r="F1533" s="21"/>
      <c r="G1533" s="21"/>
      <c r="H1533" s="21"/>
      <c r="I1533" s="511"/>
    </row>
    <row r="1534" spans="1:9">
      <c r="A1534" s="509"/>
      <c r="B1534" s="510"/>
      <c r="C1534" s="23"/>
      <c r="D1534" s="23"/>
      <c r="E1534" s="23"/>
      <c r="F1534" s="21"/>
      <c r="G1534" s="21"/>
      <c r="H1534" s="21"/>
      <c r="I1534" s="511"/>
    </row>
    <row r="1535" spans="1:9">
      <c r="A1535" s="509"/>
      <c r="B1535" s="510"/>
      <c r="C1535" s="23"/>
      <c r="D1535" s="23"/>
      <c r="E1535" s="23"/>
      <c r="F1535" s="21"/>
      <c r="G1535" s="21"/>
      <c r="H1535" s="21"/>
      <c r="I1535" s="511"/>
    </row>
    <row r="1536" spans="1:9">
      <c r="A1536" s="509"/>
      <c r="B1536" s="510"/>
      <c r="C1536" s="23"/>
      <c r="D1536" s="23"/>
      <c r="E1536" s="23"/>
      <c r="F1536" s="21"/>
      <c r="G1536" s="21"/>
      <c r="H1536" s="21"/>
      <c r="I1536" s="511"/>
    </row>
    <row r="1537" spans="1:9">
      <c r="A1537" s="509"/>
      <c r="B1537" s="510"/>
      <c r="C1537" s="23"/>
      <c r="D1537" s="23"/>
      <c r="E1537" s="23"/>
      <c r="F1537" s="21"/>
      <c r="G1537" s="21"/>
      <c r="H1537" s="21"/>
      <c r="I1537" s="511"/>
    </row>
    <row r="1538" spans="1:9">
      <c r="A1538" s="509"/>
      <c r="B1538" s="510"/>
      <c r="C1538" s="23"/>
      <c r="D1538" s="23"/>
      <c r="E1538" s="23"/>
      <c r="F1538" s="21"/>
      <c r="G1538" s="21"/>
      <c r="H1538" s="21"/>
      <c r="I1538" s="511"/>
    </row>
    <row r="1539" spans="1:9">
      <c r="A1539" s="509"/>
      <c r="B1539" s="510"/>
      <c r="C1539" s="23"/>
      <c r="D1539" s="23"/>
      <c r="E1539" s="23"/>
      <c r="F1539" s="21"/>
      <c r="G1539" s="21"/>
      <c r="H1539" s="21"/>
      <c r="I1539" s="511"/>
    </row>
    <row r="1540" spans="1:9">
      <c r="A1540" s="509"/>
      <c r="B1540" s="510"/>
      <c r="C1540" s="23"/>
      <c r="D1540" s="23"/>
      <c r="E1540" s="23"/>
      <c r="F1540" s="21"/>
      <c r="G1540" s="21"/>
      <c r="H1540" s="21"/>
      <c r="I1540" s="511"/>
    </row>
    <row r="1541" spans="1:9">
      <c r="A1541" s="509"/>
      <c r="B1541" s="510"/>
      <c r="C1541" s="23"/>
      <c r="D1541" s="23"/>
      <c r="E1541" s="23"/>
      <c r="F1541" s="21"/>
      <c r="G1541" s="21"/>
      <c r="H1541" s="21"/>
      <c r="I1541" s="511"/>
    </row>
    <row r="1542" spans="1:9">
      <c r="A1542" s="509"/>
      <c r="B1542" s="510"/>
      <c r="C1542" s="23"/>
      <c r="D1542" s="23"/>
      <c r="E1542" s="23"/>
      <c r="F1542" s="21"/>
      <c r="G1542" s="21"/>
      <c r="H1542" s="21"/>
      <c r="I1542" s="511"/>
    </row>
    <row r="1543" spans="1:9">
      <c r="A1543" s="509"/>
      <c r="B1543" s="510"/>
      <c r="C1543" s="23"/>
      <c r="D1543" s="23"/>
      <c r="E1543" s="23"/>
      <c r="F1543" s="21"/>
      <c r="G1543" s="21"/>
      <c r="H1543" s="21"/>
      <c r="I1543" s="511"/>
    </row>
    <row r="1544" spans="1:9">
      <c r="A1544" s="509"/>
      <c r="B1544" s="510"/>
      <c r="C1544" s="23"/>
      <c r="D1544" s="23"/>
      <c r="E1544" s="23"/>
      <c r="F1544" s="21"/>
      <c r="G1544" s="21"/>
      <c r="H1544" s="21"/>
      <c r="I1544" s="511"/>
    </row>
    <row r="1545" spans="1:9">
      <c r="A1545" s="509"/>
      <c r="B1545" s="510"/>
      <c r="C1545" s="23"/>
      <c r="D1545" s="23"/>
      <c r="E1545" s="23"/>
      <c r="F1545" s="21"/>
      <c r="G1545" s="21"/>
      <c r="H1545" s="21"/>
      <c r="I1545" s="511"/>
    </row>
    <row r="1546" spans="1:9">
      <c r="A1546" s="509"/>
      <c r="B1546" s="510"/>
      <c r="C1546" s="23"/>
      <c r="D1546" s="23"/>
      <c r="E1546" s="23"/>
      <c r="F1546" s="21"/>
      <c r="G1546" s="21"/>
      <c r="H1546" s="21"/>
      <c r="I1546" s="511"/>
    </row>
    <row r="1547" spans="1:9">
      <c r="A1547" s="509"/>
      <c r="B1547" s="510"/>
      <c r="C1547" s="23"/>
      <c r="D1547" s="23"/>
      <c r="E1547" s="23"/>
      <c r="F1547" s="21"/>
      <c r="G1547" s="21"/>
      <c r="H1547" s="21"/>
      <c r="I1547" s="511"/>
    </row>
    <row r="1548" spans="1:9">
      <c r="A1548" s="509"/>
      <c r="B1548" s="510"/>
      <c r="C1548" s="23"/>
      <c r="D1548" s="23"/>
      <c r="E1548" s="23"/>
      <c r="F1548" s="21"/>
      <c r="G1548" s="21"/>
      <c r="H1548" s="21"/>
      <c r="I1548" s="511"/>
    </row>
    <row r="1549" spans="1:9">
      <c r="A1549" s="509"/>
      <c r="B1549" s="510"/>
      <c r="C1549" s="23"/>
      <c r="D1549" s="23"/>
      <c r="E1549" s="23"/>
      <c r="F1549" s="21"/>
      <c r="G1549" s="21"/>
      <c r="H1549" s="21"/>
      <c r="I1549" s="511"/>
    </row>
    <row r="1550" spans="1:9">
      <c r="A1550" s="509"/>
      <c r="B1550" s="510"/>
      <c r="C1550" s="23"/>
      <c r="D1550" s="23"/>
      <c r="E1550" s="23"/>
      <c r="F1550" s="21"/>
      <c r="G1550" s="21"/>
      <c r="H1550" s="21"/>
      <c r="I1550" s="511"/>
    </row>
    <row r="1551" spans="1:9">
      <c r="A1551" s="509"/>
      <c r="B1551" s="510"/>
      <c r="C1551" s="23"/>
      <c r="D1551" s="23"/>
      <c r="E1551" s="23"/>
      <c r="F1551" s="21"/>
      <c r="G1551" s="21"/>
      <c r="H1551" s="21"/>
      <c r="I1551" s="511"/>
    </row>
    <row r="1552" spans="1:9">
      <c r="A1552" s="509"/>
      <c r="B1552" s="510"/>
      <c r="C1552" s="23"/>
      <c r="D1552" s="23"/>
      <c r="E1552" s="23"/>
      <c r="F1552" s="21"/>
      <c r="G1552" s="21"/>
      <c r="H1552" s="21"/>
      <c r="I1552" s="511"/>
    </row>
    <row r="1553" spans="1:9">
      <c r="A1553" s="509"/>
      <c r="B1553" s="510"/>
      <c r="C1553" s="23"/>
      <c r="D1553" s="23"/>
      <c r="E1553" s="23"/>
      <c r="F1553" s="21"/>
      <c r="G1553" s="21"/>
      <c r="H1553" s="21"/>
      <c r="I1553" s="511"/>
    </row>
    <row r="1554" spans="1:9">
      <c r="A1554" s="509"/>
      <c r="B1554" s="510"/>
      <c r="C1554" s="23"/>
      <c r="D1554" s="23"/>
      <c r="E1554" s="23"/>
      <c r="F1554" s="21"/>
      <c r="G1554" s="21"/>
      <c r="H1554" s="21"/>
      <c r="I1554" s="511"/>
    </row>
    <row r="1555" spans="1:9">
      <c r="A1555" s="509"/>
      <c r="B1555" s="510"/>
      <c r="C1555" s="23"/>
      <c r="D1555" s="23"/>
      <c r="E1555" s="23"/>
      <c r="F1555" s="21"/>
      <c r="G1555" s="21"/>
      <c r="H1555" s="21"/>
      <c r="I1555" s="511"/>
    </row>
    <row r="1556" spans="1:9">
      <c r="A1556" s="509"/>
      <c r="B1556" s="510"/>
      <c r="C1556" s="23"/>
      <c r="D1556" s="23"/>
      <c r="E1556" s="23"/>
      <c r="F1556" s="21"/>
      <c r="G1556" s="21"/>
      <c r="H1556" s="21"/>
      <c r="I1556" s="511"/>
    </row>
    <row r="1557" spans="1:9">
      <c r="A1557" s="509"/>
      <c r="B1557" s="510"/>
      <c r="C1557" s="23"/>
      <c r="D1557" s="23"/>
      <c r="E1557" s="23"/>
      <c r="F1557" s="21"/>
      <c r="G1557" s="21"/>
      <c r="H1557" s="21"/>
      <c r="I1557" s="511"/>
    </row>
    <row r="1558" spans="1:9">
      <c r="A1558" s="509"/>
      <c r="B1558" s="510"/>
      <c r="C1558" s="23"/>
      <c r="D1558" s="23"/>
      <c r="E1558" s="23"/>
      <c r="F1558" s="21"/>
      <c r="G1558" s="21"/>
      <c r="H1558" s="21"/>
      <c r="I1558" s="511"/>
    </row>
    <row r="1559" spans="1:9">
      <c r="A1559" s="509"/>
      <c r="B1559" s="510"/>
      <c r="C1559" s="23"/>
      <c r="D1559" s="23"/>
      <c r="E1559" s="23"/>
      <c r="F1559" s="21"/>
      <c r="G1559" s="21"/>
      <c r="H1559" s="21"/>
      <c r="I1559" s="511"/>
    </row>
    <row r="1560" spans="1:9">
      <c r="A1560" s="509"/>
      <c r="B1560" s="510"/>
      <c r="C1560" s="23"/>
      <c r="D1560" s="23"/>
      <c r="E1560" s="23"/>
      <c r="F1560" s="21"/>
      <c r="G1560" s="21"/>
      <c r="H1560" s="21"/>
      <c r="I1560" s="511"/>
    </row>
    <row r="1561" spans="1:9">
      <c r="A1561" s="509"/>
      <c r="B1561" s="510"/>
      <c r="C1561" s="23"/>
      <c r="D1561" s="23"/>
      <c r="E1561" s="23"/>
      <c r="F1561" s="21"/>
      <c r="G1561" s="21"/>
      <c r="H1561" s="21"/>
      <c r="I1561" s="511"/>
    </row>
    <row r="1562" spans="1:9">
      <c r="A1562" s="509"/>
      <c r="B1562" s="510"/>
      <c r="C1562" s="23"/>
      <c r="D1562" s="23"/>
      <c r="E1562" s="23"/>
      <c r="F1562" s="21"/>
      <c r="G1562" s="21"/>
      <c r="H1562" s="21"/>
      <c r="I1562" s="511"/>
    </row>
    <row r="1563" spans="1:9">
      <c r="A1563" s="509"/>
      <c r="B1563" s="510"/>
      <c r="C1563" s="23"/>
      <c r="D1563" s="23"/>
      <c r="E1563" s="23"/>
      <c r="F1563" s="21"/>
      <c r="G1563" s="21"/>
      <c r="H1563" s="21"/>
      <c r="I1563" s="511"/>
    </row>
    <row r="1564" spans="1:9">
      <c r="A1564" s="509"/>
      <c r="B1564" s="510"/>
      <c r="C1564" s="23"/>
      <c r="D1564" s="23"/>
      <c r="E1564" s="23"/>
      <c r="F1564" s="21"/>
      <c r="G1564" s="21"/>
      <c r="H1564" s="21"/>
      <c r="I1564" s="511"/>
    </row>
    <row r="1565" spans="1:9">
      <c r="A1565" s="509"/>
      <c r="B1565" s="510"/>
      <c r="C1565" s="23"/>
      <c r="D1565" s="23"/>
      <c r="E1565" s="23"/>
      <c r="F1565" s="21"/>
      <c r="G1565" s="21"/>
      <c r="H1565" s="21"/>
      <c r="I1565" s="511"/>
    </row>
    <row r="1566" spans="1:9">
      <c r="A1566" s="509"/>
      <c r="B1566" s="510"/>
      <c r="C1566" s="23"/>
      <c r="D1566" s="23"/>
      <c r="E1566" s="23"/>
      <c r="F1566" s="21"/>
      <c r="G1566" s="21"/>
      <c r="H1566" s="21"/>
      <c r="I1566" s="511"/>
    </row>
    <row r="1567" spans="1:9">
      <c r="A1567" s="509"/>
      <c r="B1567" s="510"/>
      <c r="C1567" s="23"/>
      <c r="D1567" s="23"/>
      <c r="E1567" s="23"/>
      <c r="F1567" s="21"/>
      <c r="G1567" s="21"/>
      <c r="H1567" s="21"/>
      <c r="I1567" s="511"/>
    </row>
    <row r="1568" spans="1:9">
      <c r="A1568" s="509"/>
      <c r="B1568" s="510"/>
      <c r="C1568" s="23"/>
      <c r="D1568" s="23"/>
      <c r="E1568" s="23"/>
      <c r="F1568" s="21"/>
      <c r="G1568" s="21"/>
      <c r="H1568" s="21"/>
      <c r="I1568" s="511"/>
    </row>
    <row r="1569" spans="1:9">
      <c r="A1569" s="509"/>
      <c r="B1569" s="510"/>
      <c r="C1569" s="23"/>
      <c r="D1569" s="23"/>
      <c r="E1569" s="23"/>
      <c r="F1569" s="21"/>
      <c r="G1569" s="21"/>
      <c r="H1569" s="21"/>
      <c r="I1569" s="511"/>
    </row>
    <row r="1570" spans="1:9">
      <c r="A1570" s="509"/>
      <c r="B1570" s="510"/>
      <c r="C1570" s="23"/>
      <c r="D1570" s="23"/>
      <c r="E1570" s="23"/>
      <c r="F1570" s="21"/>
      <c r="G1570" s="21"/>
      <c r="H1570" s="21"/>
      <c r="I1570" s="511"/>
    </row>
    <row r="1571" spans="1:9">
      <c r="A1571" s="509"/>
      <c r="B1571" s="510"/>
      <c r="C1571" s="23"/>
      <c r="D1571" s="23"/>
      <c r="E1571" s="23"/>
      <c r="F1571" s="21"/>
      <c r="G1571" s="21"/>
      <c r="H1571" s="21"/>
      <c r="I1571" s="511"/>
    </row>
    <row r="1572" spans="1:9">
      <c r="A1572" s="509"/>
      <c r="B1572" s="510"/>
      <c r="C1572" s="23"/>
      <c r="D1572" s="23"/>
      <c r="E1572" s="23"/>
      <c r="F1572" s="21"/>
      <c r="G1572" s="21"/>
      <c r="H1572" s="21"/>
      <c r="I1572" s="511"/>
    </row>
    <row r="1573" spans="1:9">
      <c r="A1573" s="509"/>
      <c r="B1573" s="510"/>
      <c r="C1573" s="23"/>
      <c r="D1573" s="23"/>
      <c r="E1573" s="23"/>
      <c r="F1573" s="21"/>
      <c r="G1573" s="21"/>
      <c r="H1573" s="21"/>
      <c r="I1573" s="511"/>
    </row>
    <row r="1574" spans="1:9">
      <c r="A1574" s="509"/>
      <c r="B1574" s="510"/>
      <c r="C1574" s="23"/>
      <c r="D1574" s="23"/>
      <c r="E1574" s="23"/>
      <c r="F1574" s="21"/>
      <c r="G1574" s="21"/>
      <c r="H1574" s="21"/>
      <c r="I1574" s="511"/>
    </row>
    <row r="1575" spans="1:9">
      <c r="A1575" s="509"/>
      <c r="B1575" s="510"/>
      <c r="C1575" s="23"/>
      <c r="D1575" s="23"/>
      <c r="E1575" s="23"/>
      <c r="F1575" s="21"/>
      <c r="G1575" s="21"/>
      <c r="H1575" s="21"/>
      <c r="I1575" s="511"/>
    </row>
    <row r="1576" spans="1:9">
      <c r="A1576" s="509"/>
      <c r="B1576" s="510"/>
      <c r="C1576" s="23"/>
      <c r="D1576" s="23"/>
      <c r="E1576" s="23"/>
      <c r="F1576" s="21"/>
      <c r="G1576" s="21"/>
      <c r="H1576" s="21"/>
      <c r="I1576" s="511"/>
    </row>
    <row r="1577" spans="1:9">
      <c r="A1577" s="509"/>
      <c r="B1577" s="510"/>
      <c r="C1577" s="23"/>
      <c r="D1577" s="23"/>
      <c r="E1577" s="23"/>
      <c r="F1577" s="21"/>
      <c r="G1577" s="21"/>
      <c r="H1577" s="21"/>
      <c r="I1577" s="511"/>
    </row>
    <row r="1578" spans="1:9">
      <c r="A1578" s="509"/>
      <c r="B1578" s="510"/>
      <c r="C1578" s="23"/>
      <c r="D1578" s="23"/>
      <c r="E1578" s="23"/>
      <c r="F1578" s="21"/>
      <c r="G1578" s="21"/>
      <c r="H1578" s="21"/>
      <c r="I1578" s="511"/>
    </row>
    <row r="1579" spans="1:9">
      <c r="A1579" s="509"/>
      <c r="B1579" s="510"/>
      <c r="C1579" s="23"/>
      <c r="D1579" s="23"/>
      <c r="E1579" s="23"/>
      <c r="F1579" s="21"/>
      <c r="G1579" s="21"/>
      <c r="H1579" s="21"/>
      <c r="I1579" s="511"/>
    </row>
    <row r="1580" spans="1:9">
      <c r="A1580" s="509"/>
      <c r="B1580" s="510"/>
      <c r="C1580" s="23"/>
      <c r="D1580" s="23"/>
      <c r="E1580" s="23"/>
      <c r="F1580" s="21"/>
      <c r="G1580" s="21"/>
      <c r="H1580" s="21"/>
      <c r="I1580" s="511"/>
    </row>
    <row r="1581" spans="1:9">
      <c r="A1581" s="509"/>
      <c r="B1581" s="510"/>
      <c r="C1581" s="23"/>
      <c r="D1581" s="23"/>
      <c r="E1581" s="23"/>
      <c r="F1581" s="21"/>
      <c r="G1581" s="21"/>
      <c r="H1581" s="21"/>
      <c r="I1581" s="511"/>
    </row>
    <row r="1582" spans="1:9">
      <c r="A1582" s="509"/>
      <c r="B1582" s="510"/>
      <c r="C1582" s="23"/>
      <c r="D1582" s="23"/>
      <c r="E1582" s="23"/>
      <c r="F1582" s="21"/>
      <c r="G1582" s="21"/>
      <c r="H1582" s="21"/>
      <c r="I1582" s="511"/>
    </row>
    <row r="1583" spans="1:9">
      <c r="A1583" s="509"/>
      <c r="B1583" s="510"/>
      <c r="C1583" s="23"/>
      <c r="D1583" s="23"/>
      <c r="E1583" s="23"/>
      <c r="F1583" s="21"/>
      <c r="G1583" s="21"/>
      <c r="H1583" s="21"/>
      <c r="I1583" s="511"/>
    </row>
    <row r="1584" spans="1:9">
      <c r="A1584" s="509"/>
      <c r="B1584" s="510"/>
      <c r="C1584" s="23"/>
      <c r="D1584" s="23"/>
      <c r="E1584" s="23"/>
      <c r="F1584" s="21"/>
      <c r="G1584" s="21"/>
      <c r="H1584" s="21"/>
      <c r="I1584" s="511"/>
    </row>
    <row r="1585" spans="1:9">
      <c r="A1585" s="509"/>
      <c r="B1585" s="510"/>
      <c r="C1585" s="23"/>
      <c r="D1585" s="23"/>
      <c r="E1585" s="23"/>
      <c r="F1585" s="21"/>
      <c r="G1585" s="21"/>
      <c r="H1585" s="21"/>
      <c r="I1585" s="511"/>
    </row>
    <row r="1586" spans="1:9">
      <c r="A1586" s="509"/>
      <c r="B1586" s="510"/>
      <c r="C1586" s="23"/>
      <c r="D1586" s="23"/>
      <c r="E1586" s="23"/>
      <c r="F1586" s="21"/>
      <c r="G1586" s="21"/>
      <c r="H1586" s="21"/>
      <c r="I1586" s="511"/>
    </row>
    <row r="1587" spans="1:9">
      <c r="A1587" s="509"/>
      <c r="B1587" s="510"/>
      <c r="C1587" s="23"/>
      <c r="D1587" s="23"/>
      <c r="E1587" s="23"/>
      <c r="F1587" s="21"/>
      <c r="G1587" s="21"/>
      <c r="H1587" s="21"/>
      <c r="I1587" s="511"/>
    </row>
    <row r="1588" spans="1:9">
      <c r="A1588" s="509"/>
      <c r="B1588" s="510"/>
      <c r="C1588" s="23"/>
      <c r="D1588" s="23"/>
      <c r="E1588" s="23"/>
      <c r="F1588" s="21"/>
      <c r="G1588" s="21"/>
      <c r="H1588" s="21"/>
      <c r="I1588" s="511"/>
    </row>
    <row r="1589" spans="1:9">
      <c r="A1589" s="509"/>
      <c r="B1589" s="510"/>
      <c r="C1589" s="23"/>
      <c r="D1589" s="23"/>
      <c r="E1589" s="23"/>
      <c r="F1589" s="21"/>
      <c r="G1589" s="21"/>
      <c r="H1589" s="21"/>
      <c r="I1589" s="511"/>
    </row>
    <row r="1590" spans="1:9">
      <c r="A1590" s="509"/>
      <c r="B1590" s="510"/>
      <c r="C1590" s="23"/>
      <c r="D1590" s="23"/>
      <c r="E1590" s="23"/>
      <c r="F1590" s="21"/>
      <c r="G1590" s="21"/>
      <c r="H1590" s="21"/>
      <c r="I1590" s="511"/>
    </row>
    <row r="1591" spans="1:9">
      <c r="A1591" s="509"/>
      <c r="B1591" s="510"/>
      <c r="C1591" s="23"/>
      <c r="D1591" s="23"/>
      <c r="E1591" s="23"/>
      <c r="F1591" s="21"/>
      <c r="G1591" s="21"/>
      <c r="H1591" s="21"/>
      <c r="I1591" s="511"/>
    </row>
    <row r="1592" spans="1:9">
      <c r="A1592" s="509"/>
      <c r="B1592" s="510"/>
      <c r="C1592" s="23"/>
      <c r="D1592" s="23"/>
      <c r="E1592" s="23"/>
      <c r="F1592" s="21"/>
      <c r="G1592" s="21"/>
      <c r="H1592" s="21"/>
      <c r="I1592" s="511"/>
    </row>
    <row r="1593" spans="1:9">
      <c r="A1593" s="509"/>
      <c r="B1593" s="510"/>
      <c r="C1593" s="23"/>
      <c r="D1593" s="23"/>
      <c r="E1593" s="23"/>
      <c r="F1593" s="21"/>
      <c r="G1593" s="21"/>
      <c r="H1593" s="21"/>
      <c r="I1593" s="511"/>
    </row>
    <row r="1594" spans="1:9">
      <c r="A1594" s="509"/>
      <c r="B1594" s="510"/>
      <c r="C1594" s="23"/>
      <c r="D1594" s="23"/>
      <c r="E1594" s="23"/>
      <c r="F1594" s="21"/>
      <c r="G1594" s="21"/>
      <c r="H1594" s="21"/>
      <c r="I1594" s="511"/>
    </row>
    <row r="1595" spans="1:9">
      <c r="A1595" s="509"/>
      <c r="B1595" s="510"/>
      <c r="C1595" s="23"/>
      <c r="D1595" s="23"/>
      <c r="E1595" s="23"/>
      <c r="F1595" s="21"/>
      <c r="G1595" s="21"/>
      <c r="H1595" s="21"/>
      <c r="I1595" s="511"/>
    </row>
    <row r="1596" spans="1:9">
      <c r="A1596" s="509"/>
      <c r="B1596" s="510"/>
      <c r="C1596" s="23"/>
      <c r="D1596" s="23"/>
      <c r="E1596" s="23"/>
      <c r="F1596" s="21"/>
      <c r="G1596" s="21"/>
      <c r="H1596" s="21"/>
      <c r="I1596" s="511"/>
    </row>
    <row r="1597" spans="1:9">
      <c r="A1597" s="509"/>
      <c r="B1597" s="510"/>
      <c r="C1597" s="23"/>
      <c r="D1597" s="23"/>
      <c r="E1597" s="23"/>
      <c r="F1597" s="21"/>
      <c r="G1597" s="21"/>
      <c r="H1597" s="21"/>
      <c r="I1597" s="511"/>
    </row>
    <row r="1598" spans="1:9">
      <c r="A1598" s="509"/>
      <c r="B1598" s="510"/>
      <c r="C1598" s="23"/>
      <c r="D1598" s="23"/>
      <c r="E1598" s="23"/>
      <c r="F1598" s="21"/>
      <c r="G1598" s="21"/>
      <c r="H1598" s="21"/>
      <c r="I1598" s="511"/>
    </row>
    <row r="1599" spans="1:9">
      <c r="A1599" s="509"/>
      <c r="B1599" s="510"/>
      <c r="C1599" s="23"/>
      <c r="D1599" s="23"/>
      <c r="E1599" s="23"/>
      <c r="F1599" s="21"/>
      <c r="G1599" s="21"/>
      <c r="H1599" s="21"/>
      <c r="I1599" s="511"/>
    </row>
    <row r="1600" spans="1:9">
      <c r="A1600" s="509"/>
      <c r="B1600" s="510"/>
      <c r="C1600" s="23"/>
      <c r="D1600" s="23"/>
      <c r="E1600" s="23"/>
      <c r="F1600" s="21"/>
      <c r="G1600" s="21"/>
      <c r="H1600" s="21"/>
      <c r="I1600" s="511"/>
    </row>
    <row r="1601" spans="1:9">
      <c r="A1601" s="509"/>
      <c r="B1601" s="510"/>
      <c r="C1601" s="23"/>
      <c r="D1601" s="23"/>
      <c r="E1601" s="23"/>
      <c r="F1601" s="21"/>
      <c r="G1601" s="21"/>
      <c r="H1601" s="21"/>
      <c r="I1601" s="511"/>
    </row>
    <row r="1602" spans="1:9">
      <c r="A1602" s="509"/>
      <c r="B1602" s="510"/>
      <c r="C1602" s="23"/>
      <c r="D1602" s="23"/>
      <c r="E1602" s="23"/>
      <c r="F1602" s="21"/>
      <c r="G1602" s="21"/>
      <c r="H1602" s="21"/>
      <c r="I1602" s="511"/>
    </row>
    <row r="1603" spans="1:9">
      <c r="A1603" s="509"/>
      <c r="B1603" s="510"/>
      <c r="C1603" s="23"/>
      <c r="D1603" s="23"/>
      <c r="E1603" s="23"/>
      <c r="F1603" s="21"/>
      <c r="G1603" s="21"/>
      <c r="H1603" s="21"/>
      <c r="I1603" s="511"/>
    </row>
    <row r="1604" spans="1:9">
      <c r="A1604" s="509"/>
      <c r="B1604" s="510"/>
      <c r="C1604" s="23"/>
      <c r="D1604" s="23"/>
      <c r="E1604" s="23"/>
      <c r="F1604" s="21"/>
      <c r="G1604" s="21"/>
      <c r="H1604" s="21"/>
      <c r="I1604" s="511"/>
    </row>
    <row r="1605" spans="1:9">
      <c r="A1605" s="509"/>
      <c r="B1605" s="510"/>
      <c r="C1605" s="23"/>
      <c r="D1605" s="23"/>
      <c r="E1605" s="23"/>
      <c r="F1605" s="21"/>
      <c r="G1605" s="21"/>
      <c r="H1605" s="21"/>
      <c r="I1605" s="511"/>
    </row>
    <row r="1606" spans="1:9">
      <c r="A1606" s="509"/>
      <c r="B1606" s="510"/>
      <c r="C1606" s="23"/>
      <c r="D1606" s="23"/>
      <c r="E1606" s="23"/>
      <c r="F1606" s="21"/>
      <c r="G1606" s="21"/>
      <c r="H1606" s="21"/>
      <c r="I1606" s="511"/>
    </row>
    <row r="1607" spans="1:9">
      <c r="A1607" s="509"/>
      <c r="B1607" s="510"/>
      <c r="C1607" s="23"/>
      <c r="D1607" s="23"/>
      <c r="E1607" s="23"/>
      <c r="F1607" s="21"/>
      <c r="G1607" s="21"/>
      <c r="H1607" s="21"/>
      <c r="I1607" s="511"/>
    </row>
    <row r="1608" spans="1:9">
      <c r="A1608" s="509"/>
      <c r="B1608" s="510"/>
      <c r="C1608" s="23"/>
      <c r="D1608" s="23"/>
      <c r="E1608" s="23"/>
      <c r="F1608" s="21"/>
      <c r="G1608" s="21"/>
      <c r="H1608" s="21"/>
      <c r="I1608" s="511"/>
    </row>
    <row r="1609" spans="1:9">
      <c r="A1609" s="509"/>
      <c r="B1609" s="510"/>
      <c r="C1609" s="23"/>
      <c r="D1609" s="23"/>
      <c r="E1609" s="23"/>
      <c r="F1609" s="21"/>
      <c r="G1609" s="21"/>
      <c r="H1609" s="21"/>
      <c r="I1609" s="511"/>
    </row>
    <row r="1610" spans="1:9">
      <c r="A1610" s="509"/>
      <c r="B1610" s="510"/>
      <c r="C1610" s="23"/>
      <c r="D1610" s="23"/>
      <c r="E1610" s="23"/>
      <c r="F1610" s="21"/>
      <c r="G1610" s="21"/>
      <c r="H1610" s="21"/>
      <c r="I1610" s="511"/>
    </row>
    <row r="1611" spans="1:9">
      <c r="A1611" s="509"/>
      <c r="B1611" s="510"/>
      <c r="C1611" s="23"/>
      <c r="D1611" s="23"/>
      <c r="E1611" s="23"/>
      <c r="F1611" s="21"/>
      <c r="G1611" s="21"/>
      <c r="H1611" s="21"/>
      <c r="I1611" s="511"/>
    </row>
    <row r="1612" spans="1:9">
      <c r="A1612" s="509"/>
      <c r="B1612" s="510"/>
      <c r="C1612" s="23"/>
      <c r="D1612" s="23"/>
      <c r="E1612" s="23"/>
      <c r="F1612" s="21"/>
      <c r="G1612" s="21"/>
      <c r="H1612" s="21"/>
      <c r="I1612" s="511"/>
    </row>
    <row r="1613" spans="1:9">
      <c r="A1613" s="509"/>
      <c r="B1613" s="510"/>
      <c r="C1613" s="23"/>
      <c r="D1613" s="23"/>
      <c r="E1613" s="23"/>
      <c r="F1613" s="21"/>
      <c r="G1613" s="21"/>
      <c r="H1613" s="21"/>
      <c r="I1613" s="511"/>
    </row>
    <row r="1614" spans="1:9">
      <c r="A1614" s="509"/>
      <c r="B1614" s="510"/>
      <c r="C1614" s="23"/>
      <c r="D1614" s="23"/>
      <c r="E1614" s="23"/>
      <c r="F1614" s="21"/>
      <c r="G1614" s="21"/>
      <c r="H1614" s="21"/>
      <c r="I1614" s="511"/>
    </row>
    <row r="1615" spans="1:9">
      <c r="A1615" s="509"/>
      <c r="B1615" s="510"/>
      <c r="C1615" s="23"/>
      <c r="D1615" s="23"/>
      <c r="E1615" s="23"/>
      <c r="F1615" s="21"/>
      <c r="G1615" s="21"/>
      <c r="H1615" s="21"/>
      <c r="I1615" s="511"/>
    </row>
    <row r="1616" spans="1:9">
      <c r="A1616" s="509"/>
      <c r="B1616" s="510"/>
      <c r="C1616" s="23"/>
      <c r="D1616" s="23"/>
      <c r="E1616" s="23"/>
      <c r="F1616" s="21"/>
      <c r="G1616" s="21"/>
      <c r="H1616" s="21"/>
      <c r="I1616" s="511"/>
    </row>
    <row r="1617" spans="1:9">
      <c r="A1617" s="509"/>
      <c r="B1617" s="510"/>
      <c r="C1617" s="23"/>
      <c r="D1617" s="23"/>
      <c r="E1617" s="23"/>
      <c r="F1617" s="21"/>
      <c r="G1617" s="21"/>
      <c r="H1617" s="21"/>
      <c r="I1617" s="511"/>
    </row>
    <row r="1618" spans="1:9">
      <c r="A1618" s="509"/>
      <c r="B1618" s="510"/>
      <c r="C1618" s="23"/>
      <c r="D1618" s="23"/>
      <c r="E1618" s="23"/>
      <c r="F1618" s="21"/>
      <c r="G1618" s="21"/>
      <c r="H1618" s="21"/>
      <c r="I1618" s="511"/>
    </row>
    <row r="1619" spans="1:9">
      <c r="A1619" s="509"/>
      <c r="B1619" s="510"/>
      <c r="C1619" s="23"/>
      <c r="D1619" s="23"/>
      <c r="E1619" s="23"/>
      <c r="F1619" s="21"/>
      <c r="G1619" s="21"/>
      <c r="H1619" s="21"/>
      <c r="I1619" s="511"/>
    </row>
    <row r="1620" spans="1:9">
      <c r="A1620" s="509"/>
      <c r="B1620" s="510"/>
      <c r="C1620" s="23"/>
      <c r="D1620" s="23"/>
      <c r="E1620" s="23"/>
      <c r="F1620" s="21"/>
      <c r="G1620" s="21"/>
      <c r="H1620" s="21"/>
      <c r="I1620" s="511"/>
    </row>
    <row r="1621" spans="1:9">
      <c r="A1621" s="509"/>
      <c r="B1621" s="510"/>
      <c r="C1621" s="23"/>
      <c r="D1621" s="23"/>
      <c r="E1621" s="23"/>
      <c r="F1621" s="21"/>
      <c r="G1621" s="21"/>
      <c r="H1621" s="21"/>
      <c r="I1621" s="511"/>
    </row>
    <row r="1622" spans="1:9">
      <c r="A1622" s="509"/>
      <c r="B1622" s="510"/>
      <c r="C1622" s="23"/>
      <c r="D1622" s="23"/>
      <c r="E1622" s="23"/>
      <c r="F1622" s="21"/>
      <c r="G1622" s="21"/>
      <c r="H1622" s="21"/>
      <c r="I1622" s="511"/>
    </row>
    <row r="1623" spans="1:9">
      <c r="A1623" s="509"/>
      <c r="B1623" s="510"/>
      <c r="C1623" s="23"/>
      <c r="D1623" s="23"/>
      <c r="E1623" s="23"/>
      <c r="F1623" s="21"/>
      <c r="G1623" s="21"/>
      <c r="H1623" s="21"/>
      <c r="I1623" s="511"/>
    </row>
    <row r="1624" spans="1:9">
      <c r="A1624" s="509"/>
      <c r="B1624" s="510"/>
      <c r="C1624" s="23"/>
      <c r="D1624" s="23"/>
      <c r="E1624" s="23"/>
      <c r="F1624" s="21"/>
      <c r="G1624" s="21"/>
      <c r="H1624" s="21"/>
      <c r="I1624" s="511"/>
    </row>
    <row r="1625" spans="1:9">
      <c r="A1625" s="509"/>
      <c r="B1625" s="510"/>
      <c r="C1625" s="23"/>
      <c r="D1625" s="23"/>
      <c r="E1625" s="23"/>
      <c r="F1625" s="21"/>
      <c r="G1625" s="21"/>
      <c r="H1625" s="21"/>
      <c r="I1625" s="511"/>
    </row>
    <row r="1626" spans="1:9">
      <c r="A1626" s="509"/>
      <c r="B1626" s="510"/>
      <c r="C1626" s="23"/>
      <c r="D1626" s="23"/>
      <c r="E1626" s="23"/>
      <c r="F1626" s="21"/>
      <c r="G1626" s="21"/>
      <c r="H1626" s="21"/>
      <c r="I1626" s="511"/>
    </row>
    <row r="1627" spans="1:9">
      <c r="A1627" s="509"/>
      <c r="B1627" s="510"/>
      <c r="C1627" s="23"/>
      <c r="D1627" s="23"/>
      <c r="E1627" s="23"/>
      <c r="F1627" s="21"/>
      <c r="G1627" s="21"/>
      <c r="H1627" s="21"/>
      <c r="I1627" s="511"/>
    </row>
    <row r="1628" spans="1:9">
      <c r="A1628" s="509"/>
      <c r="B1628" s="510"/>
      <c r="C1628" s="23"/>
      <c r="D1628" s="23"/>
      <c r="E1628" s="23"/>
      <c r="F1628" s="21"/>
      <c r="G1628" s="21"/>
      <c r="H1628" s="21"/>
      <c r="I1628" s="511"/>
    </row>
    <row r="1629" spans="1:9">
      <c r="A1629" s="509"/>
      <c r="B1629" s="510"/>
      <c r="C1629" s="23"/>
      <c r="D1629" s="23"/>
      <c r="E1629" s="23"/>
      <c r="F1629" s="21"/>
      <c r="G1629" s="21"/>
      <c r="H1629" s="21"/>
      <c r="I1629" s="511"/>
    </row>
    <row r="1630" spans="1:9">
      <c r="A1630" s="509"/>
      <c r="B1630" s="510"/>
      <c r="C1630" s="23"/>
      <c r="D1630" s="23"/>
      <c r="E1630" s="23"/>
      <c r="F1630" s="21"/>
      <c r="G1630" s="21"/>
      <c r="H1630" s="21"/>
      <c r="I1630" s="511"/>
    </row>
    <row r="1631" spans="1:9">
      <c r="A1631" s="509"/>
      <c r="B1631" s="510"/>
      <c r="C1631" s="23"/>
      <c r="D1631" s="23"/>
      <c r="E1631" s="23"/>
      <c r="F1631" s="21"/>
      <c r="G1631" s="21"/>
      <c r="H1631" s="21"/>
      <c r="I1631" s="511"/>
    </row>
    <row r="1632" spans="1:9">
      <c r="A1632" s="509"/>
      <c r="B1632" s="510"/>
      <c r="C1632" s="23"/>
      <c r="D1632" s="23"/>
      <c r="E1632" s="23"/>
      <c r="F1632" s="21"/>
      <c r="G1632" s="21"/>
      <c r="H1632" s="21"/>
      <c r="I1632" s="511"/>
    </row>
    <row r="1633" spans="1:9">
      <c r="A1633" s="509"/>
      <c r="B1633" s="510"/>
      <c r="C1633" s="23"/>
      <c r="D1633" s="23"/>
      <c r="E1633" s="23"/>
      <c r="F1633" s="21"/>
      <c r="G1633" s="21"/>
      <c r="H1633" s="21"/>
      <c r="I1633" s="511"/>
    </row>
    <row r="1634" spans="1:9">
      <c r="A1634" s="509"/>
      <c r="B1634" s="510"/>
      <c r="C1634" s="23"/>
      <c r="D1634" s="23"/>
      <c r="E1634" s="23"/>
      <c r="F1634" s="21"/>
      <c r="G1634" s="21"/>
      <c r="H1634" s="21"/>
      <c r="I1634" s="511"/>
    </row>
    <row r="1635" spans="1:9">
      <c r="A1635" s="509"/>
      <c r="B1635" s="510"/>
      <c r="C1635" s="23"/>
      <c r="D1635" s="23"/>
      <c r="E1635" s="23"/>
      <c r="F1635" s="21"/>
      <c r="G1635" s="21"/>
      <c r="H1635" s="21"/>
      <c r="I1635" s="511"/>
    </row>
    <row r="1636" spans="1:9">
      <c r="A1636" s="509"/>
      <c r="B1636" s="510"/>
      <c r="C1636" s="23"/>
      <c r="D1636" s="23"/>
      <c r="E1636" s="23"/>
      <c r="F1636" s="21"/>
      <c r="G1636" s="21"/>
      <c r="H1636" s="21"/>
      <c r="I1636" s="511"/>
    </row>
    <row r="1637" spans="1:9">
      <c r="A1637" s="509"/>
      <c r="B1637" s="510"/>
      <c r="C1637" s="23"/>
      <c r="D1637" s="23"/>
      <c r="E1637" s="23"/>
      <c r="F1637" s="21"/>
      <c r="G1637" s="21"/>
      <c r="H1637" s="21"/>
      <c r="I1637" s="511"/>
    </row>
    <row r="1638" spans="1:9">
      <c r="A1638" s="509"/>
      <c r="B1638" s="510"/>
      <c r="C1638" s="23"/>
      <c r="D1638" s="23"/>
      <c r="E1638" s="23"/>
      <c r="F1638" s="21"/>
      <c r="G1638" s="21"/>
      <c r="H1638" s="21"/>
      <c r="I1638" s="511"/>
    </row>
    <row r="1639" spans="1:9">
      <c r="A1639" s="509"/>
      <c r="B1639" s="510"/>
      <c r="C1639" s="23"/>
      <c r="D1639" s="23"/>
      <c r="E1639" s="23"/>
      <c r="F1639" s="21"/>
      <c r="G1639" s="21"/>
      <c r="H1639" s="21"/>
      <c r="I1639" s="511"/>
    </row>
    <row r="1640" spans="1:9">
      <c r="A1640" s="509"/>
      <c r="B1640" s="510"/>
      <c r="C1640" s="23"/>
      <c r="D1640" s="23"/>
      <c r="E1640" s="23"/>
      <c r="F1640" s="21"/>
      <c r="G1640" s="21"/>
      <c r="H1640" s="21"/>
      <c r="I1640" s="511"/>
    </row>
    <row r="1641" spans="1:9">
      <c r="A1641" s="509"/>
      <c r="B1641" s="510"/>
      <c r="C1641" s="23"/>
      <c r="D1641" s="23"/>
      <c r="E1641" s="23"/>
      <c r="F1641" s="21"/>
      <c r="G1641" s="21"/>
      <c r="H1641" s="21"/>
      <c r="I1641" s="511"/>
    </row>
    <row r="1642" spans="1:9">
      <c r="A1642" s="509"/>
      <c r="B1642" s="510"/>
      <c r="C1642" s="23"/>
      <c r="D1642" s="23"/>
      <c r="E1642" s="23"/>
      <c r="F1642" s="21"/>
      <c r="G1642" s="21"/>
      <c r="H1642" s="21"/>
      <c r="I1642" s="511"/>
    </row>
    <row r="1643" spans="1:9">
      <c r="A1643" s="509"/>
      <c r="B1643" s="510"/>
      <c r="C1643" s="23"/>
      <c r="D1643" s="23"/>
      <c r="E1643" s="23"/>
      <c r="F1643" s="21"/>
      <c r="G1643" s="21"/>
      <c r="H1643" s="21"/>
      <c r="I1643" s="511"/>
    </row>
    <row r="1644" spans="1:9">
      <c r="A1644" s="509"/>
      <c r="B1644" s="510"/>
      <c r="C1644" s="23"/>
      <c r="D1644" s="23"/>
      <c r="E1644" s="23"/>
      <c r="F1644" s="21"/>
      <c r="G1644" s="21"/>
      <c r="H1644" s="21"/>
      <c r="I1644" s="511"/>
    </row>
    <row r="1645" spans="1:9">
      <c r="A1645" s="509"/>
      <c r="B1645" s="510"/>
      <c r="C1645" s="23"/>
      <c r="D1645" s="23"/>
      <c r="E1645" s="23"/>
      <c r="F1645" s="21"/>
      <c r="G1645" s="21"/>
      <c r="H1645" s="21"/>
      <c r="I1645" s="511"/>
    </row>
    <row r="1646" spans="1:9">
      <c r="A1646" s="509"/>
      <c r="B1646" s="510"/>
      <c r="C1646" s="23"/>
      <c r="D1646" s="23"/>
      <c r="E1646" s="23"/>
      <c r="F1646" s="21"/>
      <c r="G1646" s="21"/>
      <c r="H1646" s="21"/>
      <c r="I1646" s="511"/>
    </row>
    <row r="1647" spans="1:9">
      <c r="A1647" s="509"/>
      <c r="B1647" s="510"/>
      <c r="C1647" s="23"/>
      <c r="D1647" s="23"/>
      <c r="E1647" s="23"/>
      <c r="F1647" s="21"/>
      <c r="G1647" s="21"/>
      <c r="H1647" s="21"/>
      <c r="I1647" s="511"/>
    </row>
    <row r="1648" spans="1:9">
      <c r="A1648" s="509"/>
      <c r="B1648" s="510"/>
      <c r="C1648" s="23"/>
      <c r="D1648" s="23"/>
      <c r="E1648" s="23"/>
      <c r="F1648" s="21"/>
      <c r="G1648" s="21"/>
      <c r="H1648" s="21"/>
      <c r="I1648" s="511"/>
    </row>
    <row r="1649" spans="1:9">
      <c r="A1649" s="509"/>
      <c r="B1649" s="510"/>
      <c r="C1649" s="23"/>
      <c r="D1649" s="23"/>
      <c r="E1649" s="23"/>
      <c r="F1649" s="21"/>
      <c r="G1649" s="21"/>
      <c r="H1649" s="21"/>
      <c r="I1649" s="511"/>
    </row>
    <row r="1650" spans="1:9">
      <c r="A1650" s="509"/>
      <c r="B1650" s="510"/>
      <c r="C1650" s="23"/>
      <c r="D1650" s="23"/>
      <c r="E1650" s="23"/>
      <c r="F1650" s="21"/>
      <c r="G1650" s="21"/>
      <c r="H1650" s="21"/>
      <c r="I1650" s="511"/>
    </row>
    <row r="1651" spans="1:9">
      <c r="A1651" s="509"/>
      <c r="B1651" s="510"/>
      <c r="C1651" s="23"/>
      <c r="D1651" s="23"/>
      <c r="E1651" s="23"/>
      <c r="F1651" s="21"/>
      <c r="G1651" s="21"/>
      <c r="H1651" s="21"/>
      <c r="I1651" s="511"/>
    </row>
    <row r="1652" spans="1:9">
      <c r="A1652" s="509"/>
      <c r="B1652" s="510"/>
      <c r="C1652" s="23"/>
      <c r="D1652" s="23"/>
      <c r="E1652" s="23"/>
      <c r="F1652" s="21"/>
      <c r="G1652" s="21"/>
      <c r="H1652" s="21"/>
      <c r="I1652" s="511"/>
    </row>
    <row r="1653" spans="1:9">
      <c r="A1653" s="509"/>
      <c r="B1653" s="510"/>
      <c r="C1653" s="23"/>
      <c r="D1653" s="23"/>
      <c r="E1653" s="23"/>
      <c r="F1653" s="21"/>
      <c r="G1653" s="21"/>
      <c r="H1653" s="21"/>
      <c r="I1653" s="511"/>
    </row>
    <row r="1654" spans="1:9">
      <c r="A1654" s="509"/>
      <c r="B1654" s="510"/>
      <c r="C1654" s="23"/>
      <c r="D1654" s="23"/>
      <c r="E1654" s="23"/>
      <c r="F1654" s="21"/>
      <c r="G1654" s="21"/>
      <c r="H1654" s="21"/>
      <c r="I1654" s="511"/>
    </row>
    <row r="1655" spans="1:9">
      <c r="A1655" s="509"/>
      <c r="B1655" s="510"/>
      <c r="C1655" s="23"/>
      <c r="D1655" s="23"/>
      <c r="E1655" s="23"/>
      <c r="F1655" s="21"/>
      <c r="G1655" s="21"/>
      <c r="H1655" s="21"/>
      <c r="I1655" s="511"/>
    </row>
    <row r="1656" spans="1:9">
      <c r="A1656" s="509"/>
      <c r="B1656" s="510"/>
      <c r="C1656" s="23"/>
      <c r="D1656" s="23"/>
      <c r="E1656" s="23"/>
      <c r="F1656" s="21"/>
      <c r="G1656" s="21"/>
      <c r="H1656" s="21"/>
      <c r="I1656" s="511"/>
    </row>
    <row r="1657" spans="1:9">
      <c r="A1657" s="509"/>
      <c r="B1657" s="510"/>
      <c r="C1657" s="23"/>
      <c r="D1657" s="23"/>
      <c r="E1657" s="23"/>
      <c r="F1657" s="21"/>
      <c r="G1657" s="21"/>
      <c r="H1657" s="21"/>
      <c r="I1657" s="511"/>
    </row>
    <row r="1658" spans="1:9">
      <c r="A1658" s="509"/>
      <c r="B1658" s="510"/>
      <c r="C1658" s="23"/>
      <c r="D1658" s="23"/>
      <c r="E1658" s="23"/>
      <c r="F1658" s="21"/>
      <c r="G1658" s="21"/>
      <c r="H1658" s="21"/>
      <c r="I1658" s="511"/>
    </row>
    <row r="1659" spans="1:9">
      <c r="A1659" s="509"/>
      <c r="B1659" s="510"/>
      <c r="C1659" s="23"/>
      <c r="D1659" s="23"/>
      <c r="E1659" s="23"/>
      <c r="F1659" s="21"/>
      <c r="G1659" s="21"/>
      <c r="H1659" s="21"/>
      <c r="I1659" s="511"/>
    </row>
    <row r="1660" spans="1:9">
      <c r="A1660" s="509"/>
      <c r="B1660" s="510"/>
      <c r="C1660" s="23"/>
      <c r="D1660" s="23"/>
      <c r="E1660" s="23"/>
      <c r="F1660" s="21"/>
      <c r="G1660" s="21"/>
      <c r="H1660" s="21"/>
      <c r="I1660" s="511"/>
    </row>
    <row r="1661" spans="1:9">
      <c r="A1661" s="509"/>
      <c r="B1661" s="510"/>
      <c r="C1661" s="23"/>
      <c r="D1661" s="23"/>
      <c r="E1661" s="23"/>
      <c r="F1661" s="21"/>
      <c r="G1661" s="21"/>
      <c r="H1661" s="21"/>
      <c r="I1661" s="511"/>
    </row>
    <row r="1662" spans="1:9">
      <c r="A1662" s="509"/>
      <c r="B1662" s="510"/>
      <c r="C1662" s="23"/>
      <c r="D1662" s="23"/>
      <c r="E1662" s="23"/>
      <c r="F1662" s="21"/>
      <c r="G1662" s="21"/>
      <c r="H1662" s="21"/>
      <c r="I1662" s="511"/>
    </row>
    <row r="1663" spans="1:9">
      <c r="A1663" s="509"/>
      <c r="B1663" s="510"/>
      <c r="C1663" s="23"/>
      <c r="D1663" s="23"/>
      <c r="E1663" s="23"/>
      <c r="F1663" s="21"/>
      <c r="G1663" s="21"/>
      <c r="H1663" s="21"/>
      <c r="I1663" s="511"/>
    </row>
    <row r="1664" spans="1:9">
      <c r="A1664" s="509"/>
      <c r="B1664" s="510"/>
      <c r="C1664" s="23"/>
      <c r="D1664" s="23"/>
      <c r="E1664" s="23"/>
      <c r="F1664" s="21"/>
      <c r="G1664" s="21"/>
      <c r="H1664" s="21"/>
      <c r="I1664" s="511"/>
    </row>
    <row r="1665" spans="1:9">
      <c r="A1665" s="509"/>
      <c r="B1665" s="510"/>
      <c r="C1665" s="23"/>
      <c r="D1665" s="23"/>
      <c r="E1665" s="23"/>
      <c r="F1665" s="21"/>
      <c r="G1665" s="21"/>
      <c r="H1665" s="21"/>
      <c r="I1665" s="511"/>
    </row>
    <row r="1666" spans="1:9">
      <c r="A1666" s="509"/>
      <c r="B1666" s="510"/>
      <c r="C1666" s="23"/>
      <c r="D1666" s="23"/>
      <c r="E1666" s="23"/>
      <c r="F1666" s="21"/>
      <c r="G1666" s="21"/>
      <c r="H1666" s="21"/>
      <c r="I1666" s="511"/>
    </row>
    <row r="1667" spans="1:9">
      <c r="A1667" s="509"/>
      <c r="B1667" s="510"/>
      <c r="C1667" s="23"/>
      <c r="D1667" s="23"/>
      <c r="E1667" s="23"/>
      <c r="F1667" s="21"/>
      <c r="G1667" s="21"/>
      <c r="H1667" s="21"/>
      <c r="I1667" s="511"/>
    </row>
    <row r="1668" spans="1:9">
      <c r="A1668" s="509"/>
      <c r="B1668" s="510"/>
      <c r="C1668" s="23"/>
      <c r="D1668" s="23"/>
      <c r="E1668" s="23"/>
      <c r="F1668" s="21"/>
      <c r="G1668" s="21"/>
      <c r="H1668" s="21"/>
      <c r="I1668" s="511"/>
    </row>
    <row r="1669" spans="1:9">
      <c r="A1669" s="509"/>
      <c r="B1669" s="510"/>
      <c r="C1669" s="23"/>
      <c r="D1669" s="23"/>
      <c r="E1669" s="23"/>
      <c r="F1669" s="21"/>
      <c r="G1669" s="21"/>
      <c r="H1669" s="21"/>
      <c r="I1669" s="511"/>
    </row>
    <row r="1670" spans="1:9">
      <c r="A1670" s="509"/>
      <c r="B1670" s="510"/>
      <c r="C1670" s="23"/>
      <c r="D1670" s="23"/>
      <c r="E1670" s="23"/>
      <c r="F1670" s="21"/>
      <c r="G1670" s="21"/>
      <c r="H1670" s="21"/>
      <c r="I1670" s="511"/>
    </row>
    <row r="1671" spans="1:9">
      <c r="A1671" s="509"/>
      <c r="B1671" s="510"/>
      <c r="C1671" s="23"/>
      <c r="D1671" s="23"/>
      <c r="E1671" s="23"/>
      <c r="F1671" s="21"/>
      <c r="G1671" s="21"/>
      <c r="H1671" s="21"/>
      <c r="I1671" s="511"/>
    </row>
    <row r="1672" spans="1:9">
      <c r="A1672" s="509"/>
      <c r="B1672" s="510"/>
      <c r="C1672" s="23"/>
      <c r="D1672" s="23"/>
      <c r="E1672" s="23"/>
      <c r="F1672" s="21"/>
      <c r="G1672" s="21"/>
      <c r="H1672" s="21"/>
      <c r="I1672" s="511"/>
    </row>
    <row r="1673" spans="1:9">
      <c r="A1673" s="509"/>
      <c r="B1673" s="510"/>
      <c r="C1673" s="23"/>
      <c r="D1673" s="23"/>
      <c r="E1673" s="23"/>
      <c r="F1673" s="21"/>
      <c r="G1673" s="21"/>
      <c r="H1673" s="21"/>
      <c r="I1673" s="511"/>
    </row>
    <row r="1674" spans="1:9">
      <c r="A1674" s="509"/>
      <c r="B1674" s="510"/>
      <c r="C1674" s="23"/>
      <c r="D1674" s="23"/>
      <c r="E1674" s="23"/>
      <c r="F1674" s="21"/>
      <c r="G1674" s="21"/>
      <c r="H1674" s="21"/>
      <c r="I1674" s="511"/>
    </row>
    <row r="1675" spans="1:9">
      <c r="A1675" s="509"/>
      <c r="B1675" s="510"/>
      <c r="C1675" s="23"/>
      <c r="D1675" s="23"/>
      <c r="E1675" s="23"/>
      <c r="F1675" s="21"/>
      <c r="G1675" s="21"/>
      <c r="H1675" s="21"/>
      <c r="I1675" s="511"/>
    </row>
    <row r="1676" spans="1:9">
      <c r="A1676" s="509"/>
      <c r="B1676" s="510"/>
      <c r="C1676" s="23"/>
      <c r="D1676" s="23"/>
      <c r="E1676" s="23"/>
      <c r="F1676" s="21"/>
      <c r="G1676" s="21"/>
      <c r="H1676" s="21"/>
      <c r="I1676" s="511"/>
    </row>
    <row r="1677" spans="1:9">
      <c r="A1677" s="509"/>
      <c r="B1677" s="510"/>
      <c r="C1677" s="23"/>
      <c r="D1677" s="23"/>
      <c r="E1677" s="23"/>
      <c r="F1677" s="21"/>
      <c r="G1677" s="21"/>
      <c r="H1677" s="21"/>
      <c r="I1677" s="511"/>
    </row>
    <row r="1678" spans="1:9">
      <c r="A1678" s="509"/>
      <c r="B1678" s="510"/>
      <c r="C1678" s="23"/>
      <c r="D1678" s="23"/>
      <c r="E1678" s="23"/>
      <c r="F1678" s="21"/>
      <c r="G1678" s="21"/>
      <c r="H1678" s="21"/>
      <c r="I1678" s="511"/>
    </row>
    <row r="1679" spans="1:9">
      <c r="A1679" s="509"/>
      <c r="B1679" s="510"/>
      <c r="C1679" s="23"/>
      <c r="D1679" s="23"/>
      <c r="E1679" s="23"/>
      <c r="F1679" s="21"/>
      <c r="G1679" s="21"/>
      <c r="H1679" s="21"/>
      <c r="I1679" s="511"/>
    </row>
    <row r="1680" spans="1:9">
      <c r="A1680" s="509"/>
      <c r="B1680" s="510"/>
      <c r="C1680" s="23"/>
      <c r="D1680" s="23"/>
      <c r="E1680" s="23"/>
      <c r="F1680" s="21"/>
      <c r="G1680" s="21"/>
      <c r="H1680" s="21"/>
      <c r="I1680" s="511"/>
    </row>
    <row r="1681" spans="1:9">
      <c r="A1681" s="509"/>
      <c r="B1681" s="510"/>
      <c r="C1681" s="23"/>
      <c r="D1681" s="23"/>
      <c r="E1681" s="23"/>
      <c r="F1681" s="21"/>
      <c r="G1681" s="21"/>
      <c r="H1681" s="21"/>
      <c r="I1681" s="511"/>
    </row>
    <row r="1682" spans="1:9">
      <c r="A1682" s="509"/>
      <c r="B1682" s="510"/>
      <c r="C1682" s="23"/>
      <c r="D1682" s="23"/>
      <c r="E1682" s="23"/>
      <c r="F1682" s="21"/>
      <c r="G1682" s="21"/>
      <c r="H1682" s="21"/>
      <c r="I1682" s="511"/>
    </row>
    <row r="1683" spans="1:9">
      <c r="A1683" s="509"/>
      <c r="B1683" s="510"/>
      <c r="C1683" s="23"/>
      <c r="D1683" s="23"/>
      <c r="E1683" s="23"/>
      <c r="F1683" s="21"/>
      <c r="G1683" s="21"/>
      <c r="H1683" s="21"/>
      <c r="I1683" s="511"/>
    </row>
    <row r="1684" spans="1:9">
      <c r="A1684" s="509"/>
      <c r="B1684" s="510"/>
      <c r="C1684" s="23"/>
      <c r="D1684" s="23"/>
      <c r="E1684" s="23"/>
      <c r="F1684" s="21"/>
      <c r="G1684" s="21"/>
      <c r="H1684" s="21"/>
      <c r="I1684" s="511"/>
    </row>
    <row r="1685" spans="1:9">
      <c r="A1685" s="509"/>
      <c r="B1685" s="510"/>
      <c r="C1685" s="23"/>
      <c r="D1685" s="23"/>
      <c r="E1685" s="23"/>
      <c r="F1685" s="21"/>
      <c r="G1685" s="21"/>
      <c r="H1685" s="21"/>
      <c r="I1685" s="511"/>
    </row>
    <row r="1686" spans="1:9">
      <c r="A1686" s="509"/>
      <c r="B1686" s="510"/>
      <c r="C1686" s="23"/>
      <c r="D1686" s="23"/>
      <c r="E1686" s="23"/>
      <c r="F1686" s="21"/>
      <c r="G1686" s="21"/>
      <c r="H1686" s="21"/>
      <c r="I1686" s="511"/>
    </row>
    <row r="1687" spans="1:9">
      <c r="A1687" s="509"/>
      <c r="B1687" s="510"/>
      <c r="C1687" s="23"/>
      <c r="D1687" s="23"/>
      <c r="E1687" s="23"/>
      <c r="F1687" s="21"/>
      <c r="G1687" s="21"/>
      <c r="H1687" s="21"/>
      <c r="I1687" s="511"/>
    </row>
    <row r="1688" spans="1:9">
      <c r="A1688" s="509"/>
      <c r="B1688" s="510"/>
      <c r="C1688" s="23"/>
      <c r="D1688" s="23"/>
      <c r="E1688" s="23"/>
      <c r="F1688" s="21"/>
      <c r="G1688" s="21"/>
      <c r="H1688" s="21"/>
      <c r="I1688" s="511"/>
    </row>
    <row r="1689" spans="1:9">
      <c r="A1689" s="509"/>
      <c r="B1689" s="510"/>
      <c r="C1689" s="23"/>
      <c r="D1689" s="23"/>
      <c r="E1689" s="23"/>
      <c r="F1689" s="21"/>
      <c r="G1689" s="21"/>
      <c r="H1689" s="21"/>
      <c r="I1689" s="511"/>
    </row>
    <row r="1690" spans="1:9">
      <c r="A1690" s="509"/>
      <c r="B1690" s="510"/>
      <c r="C1690" s="23"/>
      <c r="D1690" s="23"/>
      <c r="E1690" s="23"/>
      <c r="F1690" s="21"/>
      <c r="G1690" s="21"/>
      <c r="H1690" s="21"/>
      <c r="I1690" s="511"/>
    </row>
    <row r="1691" spans="1:9">
      <c r="A1691" s="509"/>
      <c r="B1691" s="510"/>
      <c r="C1691" s="23"/>
      <c r="D1691" s="23"/>
      <c r="E1691" s="23"/>
      <c r="F1691" s="21"/>
      <c r="G1691" s="21"/>
      <c r="H1691" s="21"/>
      <c r="I1691" s="511"/>
    </row>
    <row r="1692" spans="1:9">
      <c r="A1692" s="509"/>
      <c r="B1692" s="510"/>
      <c r="C1692" s="23"/>
      <c r="D1692" s="23"/>
      <c r="E1692" s="23"/>
      <c r="F1692" s="21"/>
      <c r="G1692" s="21"/>
      <c r="H1692" s="21"/>
      <c r="I1692" s="511"/>
    </row>
    <row r="1693" spans="1:9">
      <c r="A1693" s="509"/>
      <c r="B1693" s="510"/>
      <c r="C1693" s="23"/>
      <c r="D1693" s="23"/>
      <c r="E1693" s="23"/>
      <c r="F1693" s="21"/>
      <c r="G1693" s="21"/>
      <c r="H1693" s="21"/>
      <c r="I1693" s="511"/>
    </row>
    <row r="1694" spans="1:9">
      <c r="A1694" s="509"/>
      <c r="B1694" s="510"/>
      <c r="C1694" s="23"/>
      <c r="D1694" s="23"/>
      <c r="E1694" s="23"/>
      <c r="F1694" s="21"/>
      <c r="G1694" s="21"/>
      <c r="H1694" s="21"/>
      <c r="I1694" s="511"/>
    </row>
    <row r="1695" spans="1:9">
      <c r="A1695" s="509"/>
      <c r="B1695" s="510"/>
      <c r="C1695" s="23"/>
      <c r="D1695" s="23"/>
      <c r="E1695" s="23"/>
      <c r="F1695" s="21"/>
      <c r="G1695" s="21"/>
      <c r="H1695" s="21"/>
      <c r="I1695" s="511"/>
    </row>
    <row r="1696" spans="1:9">
      <c r="A1696" s="509"/>
      <c r="B1696" s="510"/>
      <c r="C1696" s="23"/>
      <c r="D1696" s="23"/>
      <c r="E1696" s="23"/>
      <c r="F1696" s="21"/>
      <c r="G1696" s="21"/>
      <c r="H1696" s="21"/>
      <c r="I1696" s="511"/>
    </row>
    <row r="1697" spans="1:9">
      <c r="A1697" s="509"/>
      <c r="B1697" s="510"/>
      <c r="C1697" s="23"/>
      <c r="D1697" s="23"/>
      <c r="E1697" s="23"/>
      <c r="F1697" s="21"/>
      <c r="G1697" s="21"/>
      <c r="H1697" s="21"/>
      <c r="I1697" s="511"/>
    </row>
    <row r="1698" spans="1:9">
      <c r="A1698" s="509"/>
      <c r="B1698" s="510"/>
      <c r="C1698" s="23"/>
      <c r="D1698" s="23"/>
      <c r="E1698" s="23"/>
      <c r="F1698" s="21"/>
      <c r="G1698" s="21"/>
      <c r="H1698" s="21"/>
      <c r="I1698" s="511"/>
    </row>
    <row r="1699" spans="1:9">
      <c r="A1699" s="509"/>
      <c r="B1699" s="510"/>
      <c r="C1699" s="23"/>
      <c r="D1699" s="23"/>
      <c r="E1699" s="23"/>
      <c r="F1699" s="21"/>
      <c r="G1699" s="21"/>
      <c r="H1699" s="21"/>
      <c r="I1699" s="511"/>
    </row>
    <row r="1700" spans="1:9">
      <c r="A1700" s="509"/>
      <c r="B1700" s="510"/>
      <c r="C1700" s="23"/>
      <c r="D1700" s="23"/>
      <c r="E1700" s="23"/>
      <c r="F1700" s="21"/>
      <c r="G1700" s="21"/>
      <c r="H1700" s="21"/>
      <c r="I1700" s="511"/>
    </row>
    <row r="1701" spans="1:9">
      <c r="A1701" s="509"/>
      <c r="B1701" s="510"/>
      <c r="C1701" s="23"/>
      <c r="D1701" s="23"/>
      <c r="E1701" s="23"/>
      <c r="F1701" s="21"/>
      <c r="G1701" s="21"/>
      <c r="H1701" s="21"/>
      <c r="I1701" s="511"/>
    </row>
    <row r="1702" spans="1:9">
      <c r="A1702" s="509"/>
      <c r="B1702" s="510"/>
      <c r="C1702" s="23"/>
      <c r="D1702" s="23"/>
      <c r="E1702" s="23"/>
      <c r="F1702" s="21"/>
      <c r="G1702" s="21"/>
      <c r="H1702" s="21"/>
      <c r="I1702" s="511"/>
    </row>
    <row r="1703" spans="1:9">
      <c r="A1703" s="509"/>
      <c r="B1703" s="510"/>
      <c r="C1703" s="23"/>
      <c r="D1703" s="23"/>
      <c r="E1703" s="23"/>
      <c r="F1703" s="21"/>
      <c r="G1703" s="21"/>
      <c r="H1703" s="21"/>
      <c r="I1703" s="511"/>
    </row>
    <row r="1704" spans="1:9">
      <c r="A1704" s="509"/>
      <c r="B1704" s="510"/>
      <c r="C1704" s="23"/>
      <c r="D1704" s="23"/>
      <c r="E1704" s="23"/>
      <c r="F1704" s="21"/>
      <c r="G1704" s="21"/>
      <c r="H1704" s="21"/>
      <c r="I1704" s="511"/>
    </row>
    <row r="1705" spans="1:9">
      <c r="A1705" s="509"/>
      <c r="B1705" s="510"/>
      <c r="C1705" s="23"/>
      <c r="D1705" s="23"/>
      <c r="E1705" s="23"/>
      <c r="F1705" s="21"/>
      <c r="G1705" s="21"/>
      <c r="H1705" s="21"/>
      <c r="I1705" s="511"/>
    </row>
    <row r="1706" spans="1:9">
      <c r="A1706" s="509"/>
      <c r="B1706" s="510"/>
      <c r="C1706" s="23"/>
      <c r="D1706" s="23"/>
      <c r="E1706" s="23"/>
      <c r="F1706" s="21"/>
      <c r="G1706" s="21"/>
      <c r="H1706" s="21"/>
      <c r="I1706" s="511"/>
    </row>
    <row r="1707" spans="1:9">
      <c r="A1707" s="509"/>
      <c r="B1707" s="510"/>
      <c r="C1707" s="23"/>
      <c r="D1707" s="23"/>
      <c r="E1707" s="23"/>
      <c r="F1707" s="21"/>
      <c r="G1707" s="21"/>
      <c r="H1707" s="21"/>
      <c r="I1707" s="511"/>
    </row>
    <row r="1708" spans="1:9">
      <c r="A1708" s="509"/>
      <c r="B1708" s="510"/>
      <c r="C1708" s="23"/>
      <c r="D1708" s="23"/>
      <c r="E1708" s="23"/>
      <c r="F1708" s="21"/>
      <c r="G1708" s="21"/>
      <c r="H1708" s="21"/>
      <c r="I1708" s="511"/>
    </row>
    <row r="1709" spans="1:9">
      <c r="A1709" s="509"/>
      <c r="B1709" s="510"/>
      <c r="C1709" s="23"/>
      <c r="D1709" s="23"/>
      <c r="E1709" s="23"/>
      <c r="F1709" s="21"/>
      <c r="G1709" s="21"/>
      <c r="H1709" s="21"/>
      <c r="I1709" s="511"/>
    </row>
    <row r="1710" spans="1:9">
      <c r="A1710" s="509"/>
      <c r="B1710" s="510"/>
      <c r="C1710" s="23"/>
      <c r="D1710" s="23"/>
      <c r="E1710" s="23"/>
      <c r="F1710" s="21"/>
      <c r="G1710" s="21"/>
      <c r="H1710" s="21"/>
      <c r="I1710" s="511"/>
    </row>
    <row r="1711" spans="1:9">
      <c r="A1711" s="509"/>
      <c r="B1711" s="510"/>
      <c r="C1711" s="23"/>
      <c r="D1711" s="23"/>
      <c r="E1711" s="23"/>
      <c r="F1711" s="21"/>
      <c r="G1711" s="21"/>
      <c r="H1711" s="21"/>
      <c r="I1711" s="511"/>
    </row>
    <row r="1712" spans="1:9">
      <c r="A1712" s="509"/>
      <c r="B1712" s="510"/>
      <c r="C1712" s="23"/>
      <c r="D1712" s="23"/>
      <c r="E1712" s="23"/>
      <c r="F1712" s="21"/>
      <c r="G1712" s="21"/>
      <c r="H1712" s="21"/>
      <c r="I1712" s="511"/>
    </row>
    <row r="1713" spans="1:9">
      <c r="A1713" s="509"/>
      <c r="B1713" s="510"/>
      <c r="C1713" s="23"/>
      <c r="D1713" s="23"/>
      <c r="E1713" s="23"/>
      <c r="F1713" s="21"/>
      <c r="G1713" s="21"/>
      <c r="H1713" s="21"/>
      <c r="I1713" s="511"/>
    </row>
    <row r="1714" spans="1:9">
      <c r="A1714" s="509"/>
      <c r="B1714" s="510"/>
      <c r="C1714" s="23"/>
      <c r="D1714" s="23"/>
      <c r="E1714" s="23"/>
      <c r="F1714" s="21"/>
      <c r="G1714" s="21"/>
      <c r="H1714" s="21"/>
      <c r="I1714" s="511"/>
    </row>
    <row r="1715" spans="1:9">
      <c r="A1715" s="509"/>
      <c r="B1715" s="510"/>
      <c r="C1715" s="23"/>
      <c r="D1715" s="23"/>
      <c r="E1715" s="23"/>
      <c r="F1715" s="21"/>
      <c r="G1715" s="21"/>
      <c r="H1715" s="21"/>
      <c r="I1715" s="511"/>
    </row>
    <row r="1716" spans="1:9">
      <c r="A1716" s="509"/>
      <c r="B1716" s="510"/>
      <c r="C1716" s="23"/>
      <c r="D1716" s="23"/>
      <c r="E1716" s="23"/>
      <c r="F1716" s="21"/>
      <c r="G1716" s="21"/>
      <c r="H1716" s="21"/>
      <c r="I1716" s="511"/>
    </row>
    <row r="1717" spans="1:9">
      <c r="A1717" s="509"/>
      <c r="B1717" s="510"/>
      <c r="C1717" s="23"/>
      <c r="D1717" s="23"/>
      <c r="E1717" s="23"/>
      <c r="F1717" s="21"/>
      <c r="G1717" s="21"/>
      <c r="H1717" s="21"/>
      <c r="I1717" s="511"/>
    </row>
    <row r="1718" spans="1:9">
      <c r="A1718" s="509"/>
      <c r="B1718" s="510"/>
      <c r="C1718" s="23"/>
      <c r="D1718" s="23"/>
      <c r="E1718" s="23"/>
      <c r="F1718" s="21"/>
      <c r="G1718" s="21"/>
      <c r="H1718" s="21"/>
      <c r="I1718" s="511"/>
    </row>
    <row r="1719" spans="1:9">
      <c r="A1719" s="509"/>
      <c r="B1719" s="510"/>
      <c r="C1719" s="23"/>
      <c r="D1719" s="23"/>
      <c r="E1719" s="23"/>
      <c r="F1719" s="21"/>
      <c r="G1719" s="21"/>
      <c r="H1719" s="21"/>
      <c r="I1719" s="511"/>
    </row>
    <row r="1720" spans="1:9">
      <c r="A1720" s="509"/>
      <c r="B1720" s="510"/>
      <c r="C1720" s="23"/>
      <c r="D1720" s="23"/>
      <c r="E1720" s="23"/>
      <c r="F1720" s="21"/>
      <c r="G1720" s="21"/>
      <c r="H1720" s="21"/>
      <c r="I1720" s="511"/>
    </row>
    <row r="1721" spans="1:9">
      <c r="A1721" s="509"/>
      <c r="B1721" s="510"/>
      <c r="C1721" s="23"/>
      <c r="D1721" s="23"/>
      <c r="E1721" s="23"/>
      <c r="F1721" s="21"/>
      <c r="G1721" s="21"/>
      <c r="H1721" s="21"/>
      <c r="I1721" s="511"/>
    </row>
    <row r="1722" spans="1:9">
      <c r="A1722" s="509"/>
      <c r="B1722" s="510"/>
      <c r="C1722" s="23"/>
      <c r="D1722" s="23"/>
      <c r="E1722" s="23"/>
      <c r="F1722" s="21"/>
      <c r="G1722" s="21"/>
      <c r="H1722" s="21"/>
      <c r="I1722" s="511"/>
    </row>
    <row r="1723" spans="1:9">
      <c r="A1723" s="509"/>
      <c r="B1723" s="510"/>
      <c r="C1723" s="23"/>
      <c r="D1723" s="23"/>
      <c r="E1723" s="23"/>
      <c r="F1723" s="21"/>
      <c r="G1723" s="21"/>
      <c r="H1723" s="21"/>
      <c r="I1723" s="511"/>
    </row>
    <row r="1724" spans="1:9">
      <c r="A1724" s="509"/>
      <c r="B1724" s="510"/>
      <c r="C1724" s="23"/>
      <c r="D1724" s="23"/>
      <c r="E1724" s="23"/>
      <c r="F1724" s="21"/>
      <c r="G1724" s="21"/>
      <c r="H1724" s="21"/>
      <c r="I1724" s="511"/>
    </row>
    <row r="1725" spans="1:9">
      <c r="A1725" s="509"/>
      <c r="B1725" s="510"/>
      <c r="C1725" s="23"/>
      <c r="D1725" s="23"/>
      <c r="E1725" s="23"/>
      <c r="F1725" s="21"/>
      <c r="G1725" s="21"/>
      <c r="H1725" s="21"/>
      <c r="I1725" s="511"/>
    </row>
    <row r="1726" spans="1:9">
      <c r="A1726" s="509"/>
      <c r="B1726" s="510"/>
      <c r="C1726" s="23"/>
      <c r="D1726" s="23"/>
      <c r="E1726" s="23"/>
      <c r="F1726" s="21"/>
      <c r="G1726" s="21"/>
      <c r="H1726" s="21"/>
      <c r="I1726" s="511"/>
    </row>
    <row r="1727" spans="1:9">
      <c r="A1727" s="509"/>
      <c r="B1727" s="510"/>
      <c r="C1727" s="23"/>
      <c r="D1727" s="23"/>
      <c r="E1727" s="23"/>
      <c r="F1727" s="21"/>
      <c r="G1727" s="21"/>
      <c r="H1727" s="21"/>
      <c r="I1727" s="511"/>
    </row>
    <row r="1728" spans="1:9">
      <c r="A1728" s="509"/>
      <c r="B1728" s="510"/>
      <c r="C1728" s="23"/>
      <c r="D1728" s="23"/>
      <c r="E1728" s="23"/>
      <c r="F1728" s="21"/>
      <c r="G1728" s="21"/>
      <c r="H1728" s="21"/>
      <c r="I1728" s="511"/>
    </row>
    <row r="1729" spans="1:9">
      <c r="A1729" s="509"/>
      <c r="B1729" s="510"/>
      <c r="C1729" s="23"/>
      <c r="D1729" s="23"/>
      <c r="E1729" s="23"/>
      <c r="F1729" s="21"/>
      <c r="G1729" s="21"/>
      <c r="H1729" s="21"/>
      <c r="I1729" s="511"/>
    </row>
    <row r="1730" spans="1:9">
      <c r="A1730" s="509"/>
      <c r="B1730" s="510"/>
      <c r="C1730" s="23"/>
      <c r="D1730" s="23"/>
      <c r="E1730" s="23"/>
      <c r="F1730" s="21"/>
      <c r="G1730" s="21"/>
      <c r="H1730" s="21"/>
      <c r="I1730" s="511"/>
    </row>
    <row r="1731" spans="1:9">
      <c r="A1731" s="509"/>
      <c r="B1731" s="510"/>
      <c r="C1731" s="23"/>
      <c r="D1731" s="23"/>
      <c r="E1731" s="23"/>
      <c r="F1731" s="21"/>
      <c r="G1731" s="21"/>
      <c r="H1731" s="21"/>
      <c r="I1731" s="511"/>
    </row>
    <row r="1732" spans="1:9">
      <c r="A1732" s="509"/>
      <c r="B1732" s="510"/>
      <c r="C1732" s="23"/>
      <c r="D1732" s="23"/>
      <c r="E1732" s="23"/>
      <c r="F1732" s="21"/>
      <c r="G1732" s="21"/>
      <c r="H1732" s="21"/>
      <c r="I1732" s="511"/>
    </row>
    <row r="1733" spans="1:9">
      <c r="A1733" s="509"/>
      <c r="B1733" s="510"/>
      <c r="C1733" s="23"/>
      <c r="D1733" s="23"/>
      <c r="E1733" s="23"/>
      <c r="F1733" s="21"/>
      <c r="G1733" s="21"/>
      <c r="H1733" s="21"/>
      <c r="I1733" s="511"/>
    </row>
    <row r="1734" spans="1:9">
      <c r="A1734" s="509"/>
      <c r="B1734" s="510"/>
      <c r="C1734" s="23"/>
      <c r="D1734" s="23"/>
      <c r="E1734" s="23"/>
      <c r="F1734" s="21"/>
      <c r="G1734" s="21"/>
      <c r="H1734" s="21"/>
      <c r="I1734" s="511"/>
    </row>
    <row r="1735" spans="1:9">
      <c r="A1735" s="509"/>
      <c r="B1735" s="510"/>
      <c r="C1735" s="23"/>
      <c r="D1735" s="23"/>
      <c r="E1735" s="23"/>
      <c r="F1735" s="21"/>
      <c r="G1735" s="21"/>
      <c r="H1735" s="21"/>
      <c r="I1735" s="511"/>
    </row>
    <row r="1736" spans="1:9">
      <c r="A1736" s="509"/>
      <c r="B1736" s="510"/>
      <c r="C1736" s="23"/>
      <c r="D1736" s="23"/>
      <c r="E1736" s="23"/>
      <c r="F1736" s="21"/>
      <c r="G1736" s="21"/>
      <c r="H1736" s="21"/>
      <c r="I1736" s="511"/>
    </row>
    <row r="1737" spans="1:9">
      <c r="A1737" s="509"/>
      <c r="B1737" s="510"/>
      <c r="C1737" s="23"/>
      <c r="D1737" s="23"/>
      <c r="E1737" s="23"/>
      <c r="F1737" s="21"/>
      <c r="G1737" s="21"/>
      <c r="H1737" s="21"/>
      <c r="I1737" s="511"/>
    </row>
    <row r="1738" spans="1:9">
      <c r="A1738" s="509"/>
      <c r="B1738" s="510"/>
      <c r="C1738" s="23"/>
      <c r="D1738" s="23"/>
      <c r="E1738" s="23"/>
      <c r="F1738" s="21"/>
      <c r="G1738" s="21"/>
      <c r="H1738" s="21"/>
      <c r="I1738" s="511"/>
    </row>
    <row r="1739" spans="1:9">
      <c r="A1739" s="509"/>
      <c r="B1739" s="510"/>
      <c r="C1739" s="23"/>
      <c r="D1739" s="23"/>
      <c r="E1739" s="23"/>
      <c r="F1739" s="21"/>
      <c r="G1739" s="21"/>
      <c r="H1739" s="21"/>
      <c r="I1739" s="511"/>
    </row>
    <row r="1740" spans="1:9">
      <c r="A1740" s="509"/>
      <c r="B1740" s="510"/>
      <c r="C1740" s="23"/>
      <c r="D1740" s="23"/>
      <c r="E1740" s="23"/>
      <c r="F1740" s="21"/>
      <c r="G1740" s="21"/>
      <c r="H1740" s="21"/>
      <c r="I1740" s="511"/>
    </row>
    <row r="1741" spans="1:9">
      <c r="A1741" s="509"/>
      <c r="B1741" s="510"/>
      <c r="C1741" s="23"/>
      <c r="D1741" s="23"/>
      <c r="E1741" s="23"/>
      <c r="F1741" s="21"/>
      <c r="G1741" s="21"/>
      <c r="H1741" s="21"/>
      <c r="I1741" s="511"/>
    </row>
    <row r="1742" spans="1:9">
      <c r="A1742" s="509"/>
      <c r="B1742" s="510"/>
      <c r="C1742" s="23"/>
      <c r="D1742" s="23"/>
      <c r="E1742" s="23"/>
      <c r="F1742" s="21"/>
      <c r="G1742" s="21"/>
      <c r="H1742" s="21"/>
      <c r="I1742" s="511"/>
    </row>
    <row r="1743" spans="1:9">
      <c r="A1743" s="509"/>
      <c r="B1743" s="510"/>
      <c r="C1743" s="23"/>
      <c r="D1743" s="23"/>
      <c r="E1743" s="23"/>
      <c r="F1743" s="21"/>
      <c r="G1743" s="21"/>
      <c r="H1743" s="21"/>
      <c r="I1743" s="511"/>
    </row>
    <row r="1744" spans="1:9">
      <c r="A1744" s="509"/>
      <c r="B1744" s="510"/>
      <c r="C1744" s="23"/>
      <c r="D1744" s="23"/>
      <c r="E1744" s="23"/>
      <c r="F1744" s="21"/>
      <c r="G1744" s="21"/>
      <c r="H1744" s="21"/>
      <c r="I1744" s="511"/>
    </row>
    <row r="1745" spans="1:9">
      <c r="A1745" s="509"/>
      <c r="B1745" s="510"/>
      <c r="C1745" s="23"/>
      <c r="D1745" s="23"/>
      <c r="E1745" s="23"/>
      <c r="F1745" s="21"/>
      <c r="G1745" s="21"/>
      <c r="H1745" s="21"/>
      <c r="I1745" s="511"/>
    </row>
    <row r="1746" spans="1:9">
      <c r="A1746" s="509"/>
      <c r="B1746" s="510"/>
      <c r="C1746" s="23"/>
      <c r="D1746" s="23"/>
      <c r="E1746" s="23"/>
      <c r="F1746" s="21"/>
      <c r="G1746" s="21"/>
      <c r="H1746" s="21"/>
      <c r="I1746" s="511"/>
    </row>
    <row r="1747" spans="1:9">
      <c r="A1747" s="509"/>
      <c r="B1747" s="510"/>
      <c r="C1747" s="23"/>
      <c r="D1747" s="23"/>
      <c r="E1747" s="23"/>
      <c r="F1747" s="21"/>
      <c r="G1747" s="21"/>
      <c r="H1747" s="21"/>
      <c r="I1747" s="511"/>
    </row>
    <row r="1748" spans="1:9">
      <c r="A1748" s="509"/>
      <c r="B1748" s="510"/>
      <c r="C1748" s="23"/>
      <c r="D1748" s="23"/>
      <c r="E1748" s="23"/>
      <c r="F1748" s="21"/>
      <c r="G1748" s="21"/>
      <c r="H1748" s="21"/>
      <c r="I1748" s="511"/>
    </row>
    <row r="1749" spans="1:9">
      <c r="A1749" s="509"/>
      <c r="B1749" s="510"/>
      <c r="C1749" s="23"/>
      <c r="D1749" s="23"/>
      <c r="E1749" s="23"/>
      <c r="F1749" s="21"/>
      <c r="G1749" s="21"/>
      <c r="H1749" s="21"/>
      <c r="I1749" s="511"/>
    </row>
    <row r="1750" spans="1:9">
      <c r="A1750" s="509"/>
      <c r="B1750" s="510"/>
      <c r="C1750" s="23"/>
      <c r="D1750" s="23"/>
      <c r="E1750" s="23"/>
      <c r="F1750" s="21"/>
      <c r="G1750" s="21"/>
      <c r="H1750" s="21"/>
      <c r="I1750" s="511"/>
    </row>
    <row r="1751" spans="1:9">
      <c r="A1751" s="509"/>
      <c r="B1751" s="510"/>
      <c r="C1751" s="23"/>
      <c r="D1751" s="23"/>
      <c r="E1751" s="23"/>
      <c r="F1751" s="21"/>
      <c r="G1751" s="21"/>
      <c r="H1751" s="21"/>
      <c r="I1751" s="511"/>
    </row>
    <row r="1752" spans="1:9">
      <c r="A1752" s="509"/>
      <c r="B1752" s="510"/>
      <c r="C1752" s="23"/>
      <c r="D1752" s="23"/>
      <c r="E1752" s="23"/>
      <c r="F1752" s="21"/>
      <c r="G1752" s="21"/>
      <c r="H1752" s="21"/>
      <c r="I1752" s="511"/>
    </row>
    <row r="1753" spans="1:9">
      <c r="A1753" s="509"/>
      <c r="B1753" s="510"/>
      <c r="C1753" s="23"/>
      <c r="D1753" s="23"/>
      <c r="E1753" s="23"/>
      <c r="F1753" s="21"/>
      <c r="G1753" s="21"/>
      <c r="H1753" s="21"/>
      <c r="I1753" s="511"/>
    </row>
    <row r="1754" spans="1:9">
      <c r="A1754" s="509"/>
      <c r="B1754" s="510"/>
      <c r="C1754" s="23"/>
      <c r="D1754" s="23"/>
      <c r="E1754" s="23"/>
      <c r="F1754" s="21"/>
      <c r="G1754" s="21"/>
      <c r="H1754" s="21"/>
      <c r="I1754" s="511"/>
    </row>
    <row r="1755" spans="1:9">
      <c r="A1755" s="509"/>
      <c r="B1755" s="510"/>
      <c r="C1755" s="23"/>
      <c r="D1755" s="23"/>
      <c r="E1755" s="23"/>
      <c r="F1755" s="21"/>
      <c r="G1755" s="21"/>
      <c r="H1755" s="21"/>
      <c r="I1755" s="511"/>
    </row>
    <row r="1756" spans="1:9">
      <c r="A1756" s="509"/>
      <c r="B1756" s="510"/>
      <c r="C1756" s="23"/>
      <c r="D1756" s="23"/>
      <c r="E1756" s="23"/>
      <c r="F1756" s="21"/>
      <c r="G1756" s="21"/>
      <c r="H1756" s="21"/>
      <c r="I1756" s="511"/>
    </row>
    <row r="1757" spans="1:9">
      <c r="A1757" s="509"/>
      <c r="B1757" s="510"/>
      <c r="C1757" s="23"/>
      <c r="D1757" s="23"/>
      <c r="E1757" s="23"/>
      <c r="F1757" s="21"/>
      <c r="G1757" s="21"/>
      <c r="H1757" s="21"/>
      <c r="I1757" s="511"/>
    </row>
    <row r="1758" spans="1:9">
      <c r="A1758" s="509"/>
      <c r="B1758" s="510"/>
      <c r="C1758" s="23"/>
      <c r="D1758" s="23"/>
      <c r="E1758" s="23"/>
      <c r="F1758" s="21"/>
      <c r="G1758" s="21"/>
      <c r="H1758" s="21"/>
      <c r="I1758" s="511"/>
    </row>
    <row r="1759" spans="1:9">
      <c r="A1759" s="509"/>
      <c r="B1759" s="510"/>
      <c r="C1759" s="23"/>
      <c r="D1759" s="23"/>
      <c r="E1759" s="23"/>
      <c r="F1759" s="21"/>
      <c r="G1759" s="21"/>
      <c r="H1759" s="21"/>
      <c r="I1759" s="511"/>
    </row>
    <row r="1760" spans="1:9">
      <c r="A1760" s="509"/>
      <c r="B1760" s="510"/>
      <c r="C1760" s="23"/>
      <c r="D1760" s="23"/>
      <c r="E1760" s="23"/>
      <c r="F1760" s="21"/>
      <c r="G1760" s="21"/>
      <c r="H1760" s="21"/>
      <c r="I1760" s="511"/>
    </row>
    <row r="1761" spans="1:9">
      <c r="A1761" s="509"/>
      <c r="B1761" s="510"/>
      <c r="C1761" s="23"/>
      <c r="D1761" s="23"/>
      <c r="E1761" s="23"/>
      <c r="F1761" s="21"/>
      <c r="G1761" s="21"/>
      <c r="H1761" s="21"/>
      <c r="I1761" s="511"/>
    </row>
    <row r="1762" spans="1:9">
      <c r="A1762" s="509"/>
      <c r="B1762" s="510"/>
      <c r="C1762" s="23"/>
      <c r="D1762" s="23"/>
      <c r="E1762" s="23"/>
      <c r="F1762" s="21"/>
      <c r="G1762" s="21"/>
      <c r="H1762" s="21"/>
      <c r="I1762" s="511"/>
    </row>
    <row r="1763" spans="1:9">
      <c r="A1763" s="509"/>
      <c r="B1763" s="510"/>
      <c r="C1763" s="23"/>
      <c r="D1763" s="23"/>
      <c r="E1763" s="23"/>
      <c r="F1763" s="21"/>
      <c r="G1763" s="21"/>
      <c r="H1763" s="21"/>
      <c r="I1763" s="511"/>
    </row>
    <row r="1764" spans="1:9">
      <c r="A1764" s="509"/>
      <c r="B1764" s="510"/>
      <c r="C1764" s="23"/>
      <c r="D1764" s="23"/>
      <c r="E1764" s="23"/>
      <c r="F1764" s="21"/>
      <c r="G1764" s="21"/>
      <c r="H1764" s="21"/>
      <c r="I1764" s="511"/>
    </row>
    <row r="1765" spans="1:9">
      <c r="A1765" s="509"/>
      <c r="B1765" s="510"/>
      <c r="C1765" s="23"/>
      <c r="D1765" s="23"/>
      <c r="E1765" s="23"/>
      <c r="F1765" s="21"/>
      <c r="G1765" s="21"/>
      <c r="H1765" s="21"/>
      <c r="I1765" s="511"/>
    </row>
    <row r="1766" spans="1:9">
      <c r="A1766" s="509"/>
      <c r="B1766" s="510"/>
      <c r="C1766" s="23"/>
      <c r="D1766" s="23"/>
      <c r="E1766" s="23"/>
      <c r="F1766" s="21"/>
      <c r="G1766" s="21"/>
      <c r="H1766" s="21"/>
      <c r="I1766" s="511"/>
    </row>
    <row r="1767" spans="1:9">
      <c r="A1767" s="509"/>
      <c r="B1767" s="510"/>
      <c r="C1767" s="23"/>
      <c r="D1767" s="23"/>
      <c r="E1767" s="23"/>
      <c r="F1767" s="21"/>
      <c r="G1767" s="21"/>
      <c r="H1767" s="21"/>
      <c r="I1767" s="511"/>
    </row>
    <row r="1768" spans="1:9">
      <c r="A1768" s="509"/>
      <c r="B1768" s="510"/>
      <c r="C1768" s="23"/>
      <c r="D1768" s="23"/>
      <c r="E1768" s="23"/>
      <c r="F1768" s="21"/>
      <c r="G1768" s="21"/>
      <c r="H1768" s="21"/>
      <c r="I1768" s="511"/>
    </row>
    <row r="1769" spans="1:9">
      <c r="A1769" s="509"/>
      <c r="B1769" s="510"/>
      <c r="C1769" s="23"/>
      <c r="D1769" s="23"/>
      <c r="E1769" s="23"/>
      <c r="F1769" s="21"/>
      <c r="G1769" s="21"/>
      <c r="H1769" s="21"/>
      <c r="I1769" s="511"/>
    </row>
    <row r="1770" spans="1:9">
      <c r="A1770" s="509"/>
      <c r="B1770" s="510"/>
      <c r="C1770" s="23"/>
      <c r="D1770" s="23"/>
      <c r="E1770" s="23"/>
      <c r="F1770" s="21"/>
      <c r="G1770" s="21"/>
      <c r="H1770" s="21"/>
      <c r="I1770" s="511"/>
    </row>
    <row r="1771" spans="1:9">
      <c r="A1771" s="509"/>
      <c r="B1771" s="510"/>
      <c r="C1771" s="23"/>
      <c r="D1771" s="23"/>
      <c r="E1771" s="23"/>
      <c r="F1771" s="21"/>
      <c r="G1771" s="21"/>
      <c r="H1771" s="21"/>
      <c r="I1771" s="511"/>
    </row>
    <row r="1772" spans="1:9">
      <c r="A1772" s="509"/>
      <c r="B1772" s="510"/>
      <c r="C1772" s="23"/>
      <c r="D1772" s="23"/>
      <c r="E1772" s="23"/>
      <c r="F1772" s="21"/>
      <c r="G1772" s="21"/>
      <c r="H1772" s="21"/>
      <c r="I1772" s="511"/>
    </row>
    <row r="1773" spans="1:9">
      <c r="A1773" s="509"/>
      <c r="B1773" s="510"/>
      <c r="C1773" s="23"/>
      <c r="D1773" s="23"/>
      <c r="E1773" s="23"/>
      <c r="F1773" s="21"/>
      <c r="G1773" s="21"/>
      <c r="H1773" s="21"/>
      <c r="I1773" s="511"/>
    </row>
    <row r="1774" spans="1:9">
      <c r="A1774" s="509"/>
      <c r="B1774" s="510"/>
      <c r="C1774" s="23"/>
      <c r="D1774" s="23"/>
      <c r="E1774" s="23"/>
      <c r="F1774" s="21"/>
      <c r="G1774" s="21"/>
      <c r="H1774" s="21"/>
      <c r="I1774" s="511"/>
    </row>
    <row r="1775" spans="1:9">
      <c r="A1775" s="509"/>
      <c r="B1775" s="510"/>
      <c r="C1775" s="23"/>
      <c r="D1775" s="23"/>
      <c r="E1775" s="23"/>
      <c r="F1775" s="21"/>
      <c r="G1775" s="21"/>
      <c r="H1775" s="21"/>
      <c r="I1775" s="511"/>
    </row>
    <row r="1776" spans="1:9">
      <c r="A1776" s="509"/>
      <c r="B1776" s="510"/>
      <c r="C1776" s="23"/>
      <c r="D1776" s="23"/>
      <c r="E1776" s="23"/>
      <c r="F1776" s="21"/>
      <c r="G1776" s="21"/>
      <c r="H1776" s="21"/>
      <c r="I1776" s="511"/>
    </row>
    <row r="1777" spans="1:9">
      <c r="A1777" s="509"/>
      <c r="B1777" s="510"/>
      <c r="C1777" s="23"/>
      <c r="D1777" s="23"/>
      <c r="E1777" s="23"/>
      <c r="F1777" s="21"/>
      <c r="G1777" s="21"/>
      <c r="H1777" s="21"/>
      <c r="I1777" s="511"/>
    </row>
    <row r="1778" spans="1:9">
      <c r="A1778" s="509"/>
      <c r="B1778" s="510"/>
      <c r="C1778" s="23"/>
      <c r="D1778" s="23"/>
      <c r="E1778" s="23"/>
      <c r="F1778" s="21"/>
      <c r="G1778" s="21"/>
      <c r="H1778" s="21"/>
      <c r="I1778" s="511"/>
    </row>
    <row r="1779" spans="1:9">
      <c r="A1779" s="509"/>
      <c r="B1779" s="510"/>
      <c r="C1779" s="23"/>
      <c r="D1779" s="23"/>
      <c r="E1779" s="23"/>
      <c r="F1779" s="21"/>
      <c r="G1779" s="21"/>
      <c r="H1779" s="21"/>
      <c r="I1779" s="511"/>
    </row>
    <row r="1780" spans="1:9">
      <c r="A1780" s="509"/>
      <c r="B1780" s="510"/>
      <c r="C1780" s="23"/>
      <c r="D1780" s="23"/>
      <c r="E1780" s="23"/>
      <c r="F1780" s="21"/>
      <c r="G1780" s="21"/>
      <c r="H1780" s="21"/>
      <c r="I1780" s="511"/>
    </row>
    <row r="1781" spans="1:9">
      <c r="A1781" s="509"/>
      <c r="B1781" s="510"/>
      <c r="C1781" s="23"/>
      <c r="D1781" s="23"/>
      <c r="E1781" s="23"/>
      <c r="F1781" s="21"/>
      <c r="G1781" s="21"/>
      <c r="H1781" s="21"/>
      <c r="I1781" s="511"/>
    </row>
    <row r="1782" spans="1:9">
      <c r="A1782" s="509"/>
      <c r="B1782" s="510"/>
      <c r="C1782" s="23"/>
      <c r="D1782" s="23"/>
      <c r="E1782" s="23"/>
      <c r="F1782" s="21"/>
      <c r="G1782" s="21"/>
      <c r="H1782" s="21"/>
      <c r="I1782" s="511"/>
    </row>
    <row r="1783" spans="1:9">
      <c r="A1783" s="509"/>
      <c r="B1783" s="510"/>
      <c r="C1783" s="23"/>
      <c r="D1783" s="23"/>
      <c r="E1783" s="23"/>
      <c r="F1783" s="21"/>
      <c r="G1783" s="21"/>
      <c r="H1783" s="21"/>
      <c r="I1783" s="511"/>
    </row>
    <row r="1784" spans="1:9">
      <c r="A1784" s="509"/>
      <c r="B1784" s="510"/>
      <c r="C1784" s="23"/>
      <c r="D1784" s="23"/>
      <c r="E1784" s="23"/>
      <c r="F1784" s="21"/>
      <c r="G1784" s="21"/>
      <c r="H1784" s="21"/>
      <c r="I1784" s="511"/>
    </row>
    <row r="1785" spans="1:9">
      <c r="A1785" s="509"/>
      <c r="B1785" s="510"/>
      <c r="C1785" s="23"/>
      <c r="D1785" s="23"/>
      <c r="E1785" s="23"/>
      <c r="F1785" s="21"/>
      <c r="G1785" s="21"/>
      <c r="H1785" s="21"/>
      <c r="I1785" s="511"/>
    </row>
    <row r="1786" spans="1:9">
      <c r="A1786" s="509"/>
      <c r="B1786" s="510"/>
      <c r="C1786" s="23"/>
      <c r="D1786" s="23"/>
      <c r="E1786" s="23"/>
      <c r="F1786" s="21"/>
      <c r="G1786" s="21"/>
      <c r="H1786" s="21"/>
      <c r="I1786" s="511"/>
    </row>
    <row r="1787" spans="1:9">
      <c r="A1787" s="509"/>
      <c r="B1787" s="510"/>
      <c r="C1787" s="23"/>
      <c r="D1787" s="23"/>
      <c r="E1787" s="23"/>
      <c r="F1787" s="21"/>
      <c r="G1787" s="21"/>
      <c r="H1787" s="21"/>
      <c r="I1787" s="511"/>
    </row>
    <row r="1788" spans="1:9">
      <c r="A1788" s="509"/>
      <c r="B1788" s="510"/>
      <c r="C1788" s="23"/>
      <c r="D1788" s="23"/>
      <c r="E1788" s="23"/>
      <c r="F1788" s="21"/>
      <c r="G1788" s="21"/>
      <c r="H1788" s="21"/>
      <c r="I1788" s="511"/>
    </row>
    <row r="1789" spans="1:9">
      <c r="A1789" s="509"/>
      <c r="B1789" s="510"/>
      <c r="C1789" s="23"/>
      <c r="D1789" s="23"/>
      <c r="E1789" s="23"/>
      <c r="F1789" s="21"/>
      <c r="G1789" s="21"/>
      <c r="H1789" s="21"/>
      <c r="I1789" s="511"/>
    </row>
    <row r="1790" spans="1:9">
      <c r="A1790" s="509"/>
      <c r="B1790" s="510"/>
      <c r="C1790" s="23"/>
      <c r="D1790" s="23"/>
      <c r="E1790" s="23"/>
      <c r="F1790" s="21"/>
      <c r="G1790" s="21"/>
      <c r="H1790" s="21"/>
      <c r="I1790" s="511"/>
    </row>
    <row r="1791" spans="1:9">
      <c r="A1791" s="509"/>
      <c r="B1791" s="510"/>
      <c r="C1791" s="23"/>
      <c r="D1791" s="23"/>
      <c r="E1791" s="23"/>
      <c r="F1791" s="21"/>
      <c r="G1791" s="21"/>
      <c r="H1791" s="21"/>
      <c r="I1791" s="511"/>
    </row>
    <row r="1792" spans="1:9">
      <c r="A1792" s="509"/>
      <c r="B1792" s="510"/>
      <c r="C1792" s="23"/>
      <c r="D1792" s="23"/>
      <c r="E1792" s="23"/>
      <c r="F1792" s="21"/>
      <c r="G1792" s="21"/>
      <c r="H1792" s="21"/>
      <c r="I1792" s="511"/>
    </row>
    <row r="1793" spans="1:9">
      <c r="A1793" s="509"/>
      <c r="B1793" s="510"/>
      <c r="C1793" s="23"/>
      <c r="D1793" s="23"/>
      <c r="E1793" s="23"/>
      <c r="F1793" s="21"/>
      <c r="G1793" s="21"/>
      <c r="H1793" s="21"/>
      <c r="I1793" s="511"/>
    </row>
    <row r="1794" spans="1:9">
      <c r="A1794" s="509"/>
      <c r="B1794" s="510"/>
      <c r="C1794" s="23"/>
      <c r="D1794" s="23"/>
      <c r="E1794" s="23"/>
      <c r="F1794" s="21"/>
      <c r="G1794" s="21"/>
      <c r="H1794" s="21"/>
      <c r="I1794" s="511"/>
    </row>
    <row r="1795" spans="1:9">
      <c r="A1795" s="509"/>
      <c r="B1795" s="510"/>
      <c r="C1795" s="23"/>
      <c r="D1795" s="23"/>
      <c r="E1795" s="23"/>
      <c r="F1795" s="21"/>
      <c r="G1795" s="21"/>
      <c r="H1795" s="21"/>
      <c r="I1795" s="511"/>
    </row>
    <row r="1796" spans="1:9">
      <c r="A1796" s="509"/>
      <c r="B1796" s="510"/>
      <c r="C1796" s="23"/>
      <c r="D1796" s="23"/>
      <c r="E1796" s="23"/>
      <c r="F1796" s="21"/>
      <c r="G1796" s="21"/>
      <c r="H1796" s="21"/>
      <c r="I1796" s="511"/>
    </row>
    <row r="1797" spans="1:9">
      <c r="A1797" s="509"/>
      <c r="B1797" s="510"/>
      <c r="C1797" s="23"/>
      <c r="D1797" s="23"/>
      <c r="E1797" s="23"/>
      <c r="F1797" s="21"/>
      <c r="G1797" s="21"/>
      <c r="H1797" s="21"/>
      <c r="I1797" s="511"/>
    </row>
    <row r="1798" spans="1:9">
      <c r="A1798" s="509"/>
      <c r="B1798" s="510"/>
      <c r="C1798" s="23"/>
      <c r="D1798" s="23"/>
      <c r="E1798" s="23"/>
      <c r="F1798" s="21"/>
      <c r="G1798" s="21"/>
      <c r="H1798" s="21"/>
      <c r="I1798" s="511"/>
    </row>
    <row r="1799" spans="1:9">
      <c r="A1799" s="509"/>
      <c r="B1799" s="510"/>
      <c r="C1799" s="23"/>
      <c r="D1799" s="23"/>
      <c r="E1799" s="23"/>
      <c r="F1799" s="21"/>
      <c r="G1799" s="21"/>
      <c r="H1799" s="21"/>
      <c r="I1799" s="511"/>
    </row>
    <row r="1800" spans="1:9">
      <c r="A1800" s="509"/>
      <c r="B1800" s="510"/>
      <c r="C1800" s="23"/>
      <c r="D1800" s="23"/>
      <c r="E1800" s="23"/>
      <c r="F1800" s="21"/>
      <c r="G1800" s="21"/>
      <c r="H1800" s="21"/>
      <c r="I1800" s="511"/>
    </row>
    <row r="1801" spans="1:9">
      <c r="A1801" s="509"/>
      <c r="B1801" s="510"/>
      <c r="C1801" s="23"/>
      <c r="D1801" s="23"/>
      <c r="E1801" s="23"/>
      <c r="F1801" s="21"/>
      <c r="G1801" s="21"/>
      <c r="H1801" s="21"/>
      <c r="I1801" s="511"/>
    </row>
    <row r="1802" spans="1:9">
      <c r="A1802" s="509"/>
      <c r="B1802" s="510"/>
      <c r="C1802" s="23"/>
      <c r="D1802" s="23"/>
      <c r="E1802" s="23"/>
      <c r="F1802" s="21"/>
      <c r="G1802" s="21"/>
      <c r="H1802" s="21"/>
      <c r="I1802" s="511"/>
    </row>
    <row r="1803" spans="1:9">
      <c r="A1803" s="509"/>
      <c r="B1803" s="510"/>
      <c r="C1803" s="23"/>
      <c r="D1803" s="23"/>
      <c r="E1803" s="23"/>
      <c r="F1803" s="21"/>
      <c r="G1803" s="21"/>
      <c r="H1803" s="21"/>
      <c r="I1803" s="511"/>
    </row>
    <row r="1804" spans="1:9">
      <c r="A1804" s="509"/>
      <c r="B1804" s="510"/>
      <c r="C1804" s="23"/>
      <c r="D1804" s="23"/>
      <c r="E1804" s="23"/>
      <c r="F1804" s="21"/>
      <c r="G1804" s="21"/>
      <c r="H1804" s="21"/>
      <c r="I1804" s="511"/>
    </row>
    <row r="1805" spans="1:9">
      <c r="A1805" s="509"/>
      <c r="B1805" s="510"/>
      <c r="C1805" s="23"/>
      <c r="D1805" s="23"/>
      <c r="E1805" s="23"/>
      <c r="F1805" s="21"/>
      <c r="G1805" s="21"/>
      <c r="H1805" s="21"/>
      <c r="I1805" s="511"/>
    </row>
    <row r="1806" spans="1:9">
      <c r="A1806" s="509"/>
      <c r="B1806" s="510"/>
      <c r="C1806" s="23"/>
      <c r="D1806" s="23"/>
      <c r="E1806" s="23"/>
      <c r="F1806" s="21"/>
      <c r="G1806" s="21"/>
      <c r="H1806" s="21"/>
      <c r="I1806" s="511"/>
    </row>
    <row r="1807" spans="1:9">
      <c r="A1807" s="509"/>
      <c r="B1807" s="510"/>
      <c r="C1807" s="23"/>
      <c r="D1807" s="23"/>
      <c r="E1807" s="23"/>
      <c r="F1807" s="21"/>
      <c r="G1807" s="21"/>
      <c r="H1807" s="21"/>
      <c r="I1807" s="511"/>
    </row>
    <row r="1808" spans="1:9">
      <c r="A1808" s="509"/>
      <c r="B1808" s="510"/>
      <c r="C1808" s="23"/>
      <c r="D1808" s="23"/>
      <c r="E1808" s="23"/>
      <c r="F1808" s="21"/>
      <c r="G1808" s="21"/>
      <c r="H1808" s="21"/>
      <c r="I1808" s="511"/>
    </row>
    <row r="1809" spans="1:9">
      <c r="A1809" s="509"/>
      <c r="B1809" s="510"/>
      <c r="C1809" s="23"/>
      <c r="D1809" s="23"/>
      <c r="E1809" s="23"/>
      <c r="F1809" s="21"/>
      <c r="G1809" s="21"/>
      <c r="H1809" s="21"/>
      <c r="I1809" s="511"/>
    </row>
    <row r="1810" spans="1:9">
      <c r="A1810" s="509"/>
      <c r="B1810" s="510"/>
      <c r="C1810" s="23"/>
      <c r="D1810" s="23"/>
      <c r="E1810" s="23"/>
      <c r="F1810" s="21"/>
      <c r="G1810" s="21"/>
      <c r="H1810" s="21"/>
      <c r="I1810" s="511"/>
    </row>
    <row r="1811" spans="1:9">
      <c r="A1811" s="509"/>
      <c r="B1811" s="510"/>
      <c r="C1811" s="23"/>
      <c r="D1811" s="23"/>
      <c r="E1811" s="23"/>
      <c r="F1811" s="21"/>
      <c r="G1811" s="21"/>
      <c r="H1811" s="21"/>
      <c r="I1811" s="511"/>
    </row>
    <row r="1812" spans="1:9">
      <c r="A1812" s="509"/>
      <c r="B1812" s="510"/>
      <c r="C1812" s="23"/>
      <c r="D1812" s="23"/>
      <c r="E1812" s="23"/>
      <c r="F1812" s="21"/>
      <c r="G1812" s="21"/>
      <c r="H1812" s="21"/>
      <c r="I1812" s="511"/>
    </row>
    <row r="1813" spans="1:9">
      <c r="A1813" s="509"/>
      <c r="B1813" s="510"/>
      <c r="C1813" s="23"/>
      <c r="D1813" s="23"/>
      <c r="E1813" s="23"/>
      <c r="F1813" s="21"/>
      <c r="G1813" s="21"/>
      <c r="H1813" s="21"/>
      <c r="I1813" s="511"/>
    </row>
    <row r="1814" spans="1:9">
      <c r="A1814" s="509"/>
      <c r="B1814" s="510"/>
      <c r="C1814" s="23"/>
      <c r="D1814" s="23"/>
      <c r="E1814" s="23"/>
      <c r="F1814" s="21"/>
      <c r="G1814" s="21"/>
      <c r="H1814" s="21"/>
      <c r="I1814" s="511"/>
    </row>
    <row r="1815" spans="1:9">
      <c r="A1815" s="509"/>
      <c r="B1815" s="510"/>
      <c r="C1815" s="23"/>
      <c r="D1815" s="23"/>
      <c r="E1815" s="23"/>
      <c r="F1815" s="21"/>
      <c r="G1815" s="21"/>
      <c r="H1815" s="21"/>
      <c r="I1815" s="511"/>
    </row>
    <row r="1816" spans="1:9">
      <c r="A1816" s="509"/>
      <c r="B1816" s="510"/>
      <c r="C1816" s="23"/>
      <c r="D1816" s="23"/>
      <c r="E1816" s="23"/>
      <c r="F1816" s="21"/>
      <c r="G1816" s="21"/>
      <c r="H1816" s="21"/>
      <c r="I1816" s="511"/>
    </row>
    <row r="1817" spans="1:9">
      <c r="A1817" s="509"/>
      <c r="B1817" s="510"/>
      <c r="C1817" s="23"/>
      <c r="D1817" s="23"/>
      <c r="E1817" s="23"/>
      <c r="F1817" s="21"/>
      <c r="G1817" s="21"/>
      <c r="H1817" s="21"/>
      <c r="I1817" s="511"/>
    </row>
    <row r="1818" spans="1:9">
      <c r="A1818" s="509"/>
      <c r="B1818" s="510"/>
      <c r="C1818" s="23"/>
      <c r="D1818" s="23"/>
      <c r="E1818" s="23"/>
      <c r="F1818" s="21"/>
      <c r="G1818" s="21"/>
      <c r="H1818" s="21"/>
      <c r="I1818" s="511"/>
    </row>
    <row r="1819" spans="1:9">
      <c r="A1819" s="509"/>
      <c r="B1819" s="510"/>
      <c r="C1819" s="23"/>
      <c r="D1819" s="23"/>
      <c r="E1819" s="23"/>
      <c r="F1819" s="21"/>
      <c r="G1819" s="21"/>
      <c r="H1819" s="21"/>
      <c r="I1819" s="511"/>
    </row>
    <row r="1820" spans="1:9">
      <c r="A1820" s="509"/>
      <c r="B1820" s="510"/>
      <c r="C1820" s="23"/>
      <c r="D1820" s="23"/>
      <c r="E1820" s="23"/>
      <c r="F1820" s="21"/>
      <c r="G1820" s="21"/>
      <c r="H1820" s="21"/>
      <c r="I1820" s="511"/>
    </row>
    <row r="1821" spans="1:9">
      <c r="A1821" s="509"/>
      <c r="B1821" s="510"/>
      <c r="C1821" s="23"/>
      <c r="D1821" s="23"/>
      <c r="E1821" s="23"/>
      <c r="F1821" s="21"/>
      <c r="G1821" s="21"/>
      <c r="H1821" s="21"/>
      <c r="I1821" s="511"/>
    </row>
    <row r="1822" spans="1:9">
      <c r="A1822" s="509"/>
      <c r="B1822" s="510"/>
      <c r="C1822" s="23"/>
      <c r="D1822" s="23"/>
      <c r="E1822" s="23"/>
      <c r="F1822" s="21"/>
      <c r="G1822" s="21"/>
      <c r="H1822" s="21"/>
      <c r="I1822" s="511"/>
    </row>
    <row r="1823" spans="1:9">
      <c r="A1823" s="509"/>
      <c r="B1823" s="510"/>
      <c r="C1823" s="23"/>
      <c r="D1823" s="23"/>
      <c r="E1823" s="23"/>
      <c r="F1823" s="21"/>
      <c r="G1823" s="21"/>
      <c r="H1823" s="21"/>
      <c r="I1823" s="511"/>
    </row>
    <row r="1824" spans="1:9">
      <c r="A1824" s="509"/>
      <c r="B1824" s="510"/>
      <c r="C1824" s="23"/>
      <c r="D1824" s="23"/>
      <c r="E1824" s="23"/>
      <c r="F1824" s="21"/>
      <c r="G1824" s="21"/>
      <c r="H1824" s="21"/>
      <c r="I1824" s="511"/>
    </row>
    <row r="1825" spans="1:9">
      <c r="A1825" s="509"/>
      <c r="B1825" s="510"/>
      <c r="C1825" s="23"/>
      <c r="D1825" s="23"/>
      <c r="E1825" s="23"/>
      <c r="F1825" s="21"/>
      <c r="G1825" s="21"/>
      <c r="H1825" s="21"/>
      <c r="I1825" s="511"/>
    </row>
    <row r="1826" spans="1:9">
      <c r="A1826" s="509"/>
      <c r="B1826" s="510"/>
      <c r="C1826" s="23"/>
      <c r="D1826" s="23"/>
      <c r="E1826" s="23"/>
      <c r="F1826" s="21"/>
      <c r="G1826" s="21"/>
      <c r="H1826" s="21"/>
      <c r="I1826" s="511"/>
    </row>
    <row r="1827" spans="1:9">
      <c r="A1827" s="509"/>
      <c r="B1827" s="510"/>
      <c r="C1827" s="23"/>
      <c r="D1827" s="23"/>
      <c r="E1827" s="23"/>
      <c r="F1827" s="21"/>
      <c r="G1827" s="21"/>
      <c r="H1827" s="21"/>
      <c r="I1827" s="511"/>
    </row>
    <row r="1828" spans="1:9">
      <c r="A1828" s="509"/>
      <c r="B1828" s="510"/>
      <c r="C1828" s="23"/>
      <c r="D1828" s="23"/>
      <c r="E1828" s="23"/>
      <c r="F1828" s="21"/>
      <c r="G1828" s="21"/>
      <c r="H1828" s="21"/>
      <c r="I1828" s="511"/>
    </row>
    <row r="1829" spans="1:9">
      <c r="A1829" s="509"/>
      <c r="B1829" s="510"/>
      <c r="C1829" s="23"/>
      <c r="D1829" s="23"/>
      <c r="E1829" s="23"/>
      <c r="F1829" s="21"/>
      <c r="G1829" s="21"/>
      <c r="H1829" s="21"/>
      <c r="I1829" s="511"/>
    </row>
    <row r="1830" spans="1:9">
      <c r="A1830" s="509"/>
      <c r="B1830" s="510"/>
      <c r="C1830" s="23"/>
      <c r="D1830" s="23"/>
      <c r="E1830" s="23"/>
      <c r="F1830" s="21"/>
      <c r="G1830" s="21"/>
      <c r="H1830" s="21"/>
      <c r="I1830" s="511"/>
    </row>
    <row r="1831" spans="1:9">
      <c r="A1831" s="509"/>
      <c r="B1831" s="510"/>
      <c r="C1831" s="23"/>
      <c r="D1831" s="23"/>
      <c r="E1831" s="23"/>
      <c r="F1831" s="21"/>
      <c r="G1831" s="21"/>
      <c r="H1831" s="21"/>
      <c r="I1831" s="511"/>
    </row>
    <row r="1832" spans="1:9">
      <c r="A1832" s="509"/>
      <c r="B1832" s="510"/>
      <c r="C1832" s="23"/>
      <c r="D1832" s="23"/>
      <c r="E1832" s="23"/>
      <c r="F1832" s="21"/>
      <c r="G1832" s="21"/>
      <c r="H1832" s="21"/>
      <c r="I1832" s="511"/>
    </row>
    <row r="1833" spans="1:9">
      <c r="A1833" s="509"/>
      <c r="B1833" s="510"/>
      <c r="C1833" s="23"/>
      <c r="D1833" s="23"/>
      <c r="E1833" s="23"/>
      <c r="F1833" s="21"/>
      <c r="G1833" s="21"/>
      <c r="H1833" s="21"/>
      <c r="I1833" s="511"/>
    </row>
    <row r="1834" spans="1:9">
      <c r="A1834" s="509"/>
      <c r="B1834" s="510"/>
      <c r="C1834" s="23"/>
      <c r="D1834" s="23"/>
      <c r="E1834" s="23"/>
      <c r="F1834" s="21"/>
      <c r="G1834" s="21"/>
      <c r="H1834" s="21"/>
      <c r="I1834" s="511"/>
    </row>
    <row r="1835" spans="1:9">
      <c r="A1835" s="509"/>
      <c r="B1835" s="510"/>
      <c r="C1835" s="23"/>
      <c r="D1835" s="23"/>
      <c r="E1835" s="23"/>
      <c r="F1835" s="21"/>
      <c r="G1835" s="21"/>
      <c r="H1835" s="21"/>
      <c r="I1835" s="511"/>
    </row>
    <row r="1836" spans="1:9">
      <c r="A1836" s="509"/>
      <c r="B1836" s="510"/>
      <c r="C1836" s="23"/>
      <c r="D1836" s="23"/>
      <c r="E1836" s="23"/>
      <c r="F1836" s="21"/>
      <c r="G1836" s="21"/>
      <c r="H1836" s="21"/>
      <c r="I1836" s="511"/>
    </row>
    <row r="1837" spans="1:9">
      <c r="A1837" s="509"/>
      <c r="B1837" s="510"/>
      <c r="C1837" s="23"/>
      <c r="D1837" s="23"/>
      <c r="E1837" s="23"/>
      <c r="F1837" s="21"/>
      <c r="G1837" s="21"/>
      <c r="H1837" s="21"/>
      <c r="I1837" s="511"/>
    </row>
    <row r="1838" spans="1:9">
      <c r="A1838" s="509"/>
      <c r="B1838" s="510"/>
      <c r="C1838" s="23"/>
      <c r="D1838" s="23"/>
      <c r="E1838" s="23"/>
      <c r="F1838" s="21"/>
      <c r="G1838" s="21"/>
      <c r="H1838" s="21"/>
      <c r="I1838" s="511"/>
    </row>
    <row r="1839" spans="1:9">
      <c r="A1839" s="509"/>
      <c r="B1839" s="510"/>
      <c r="C1839" s="23"/>
      <c r="D1839" s="23"/>
      <c r="E1839" s="23"/>
      <c r="F1839" s="21"/>
      <c r="G1839" s="21"/>
      <c r="H1839" s="21"/>
      <c r="I1839" s="511"/>
    </row>
    <row r="1840" spans="1:9">
      <c r="A1840" s="509"/>
      <c r="B1840" s="510"/>
      <c r="C1840" s="23"/>
      <c r="D1840" s="23"/>
      <c r="E1840" s="23"/>
      <c r="F1840" s="21"/>
      <c r="G1840" s="21"/>
      <c r="H1840" s="21"/>
      <c r="I1840" s="511"/>
    </row>
    <row r="1841" spans="1:9">
      <c r="A1841" s="509"/>
      <c r="B1841" s="510"/>
      <c r="C1841" s="23"/>
      <c r="D1841" s="23"/>
      <c r="E1841" s="23"/>
      <c r="F1841" s="21"/>
      <c r="G1841" s="21"/>
      <c r="H1841" s="21"/>
      <c r="I1841" s="511"/>
    </row>
    <row r="1842" spans="1:9">
      <c r="A1842" s="509"/>
      <c r="B1842" s="510"/>
      <c r="C1842" s="23"/>
      <c r="D1842" s="23"/>
      <c r="E1842" s="23"/>
      <c r="F1842" s="21"/>
      <c r="G1842" s="21"/>
      <c r="H1842" s="21"/>
      <c r="I1842" s="511"/>
    </row>
    <row r="1843" spans="1:9">
      <c r="A1843" s="509"/>
      <c r="B1843" s="510"/>
      <c r="C1843" s="23"/>
      <c r="D1843" s="23"/>
      <c r="E1843" s="23"/>
      <c r="F1843" s="21"/>
      <c r="G1843" s="21"/>
      <c r="H1843" s="21"/>
      <c r="I1843" s="511"/>
    </row>
    <row r="1844" spans="1:9">
      <c r="A1844" s="509"/>
      <c r="B1844" s="510"/>
      <c r="C1844" s="23"/>
      <c r="D1844" s="23"/>
      <c r="E1844" s="23"/>
      <c r="F1844" s="21"/>
      <c r="G1844" s="21"/>
      <c r="H1844" s="21"/>
      <c r="I1844" s="511"/>
    </row>
    <row r="1845" spans="1:9">
      <c r="A1845" s="509"/>
      <c r="B1845" s="510"/>
      <c r="C1845" s="23"/>
      <c r="D1845" s="23"/>
      <c r="E1845" s="23"/>
      <c r="F1845" s="21"/>
      <c r="G1845" s="21"/>
      <c r="H1845" s="21"/>
      <c r="I1845" s="511"/>
    </row>
    <row r="1846" spans="1:9">
      <c r="A1846" s="509"/>
      <c r="B1846" s="510"/>
      <c r="C1846" s="23"/>
      <c r="D1846" s="23"/>
      <c r="E1846" s="23"/>
      <c r="F1846" s="21"/>
      <c r="G1846" s="21"/>
      <c r="H1846" s="21"/>
      <c r="I1846" s="511"/>
    </row>
    <row r="1847" spans="1:9">
      <c r="A1847" s="509"/>
      <c r="B1847" s="510"/>
      <c r="C1847" s="23"/>
      <c r="D1847" s="23"/>
      <c r="E1847" s="23"/>
      <c r="F1847" s="21"/>
      <c r="G1847" s="21"/>
      <c r="H1847" s="21"/>
      <c r="I1847" s="511"/>
    </row>
    <row r="1848" spans="1:9">
      <c r="A1848" s="509"/>
      <c r="B1848" s="510"/>
      <c r="C1848" s="23"/>
      <c r="D1848" s="23"/>
      <c r="E1848" s="23"/>
      <c r="F1848" s="21"/>
      <c r="G1848" s="21"/>
      <c r="H1848" s="21"/>
      <c r="I1848" s="511"/>
    </row>
    <row r="1849" spans="1:9">
      <c r="A1849" s="509"/>
      <c r="B1849" s="510"/>
      <c r="C1849" s="23"/>
      <c r="D1849" s="23"/>
      <c r="E1849" s="23"/>
      <c r="F1849" s="21"/>
      <c r="G1849" s="21"/>
      <c r="H1849" s="21"/>
      <c r="I1849" s="511"/>
    </row>
    <row r="1850" spans="1:9">
      <c r="A1850" s="509"/>
      <c r="B1850" s="510"/>
      <c r="C1850" s="23"/>
      <c r="D1850" s="23"/>
      <c r="E1850" s="23"/>
      <c r="F1850" s="21"/>
      <c r="G1850" s="21"/>
      <c r="H1850" s="21"/>
      <c r="I1850" s="511"/>
    </row>
    <row r="1851" spans="1:9">
      <c r="A1851" s="509"/>
      <c r="B1851" s="510"/>
      <c r="C1851" s="23"/>
      <c r="D1851" s="23"/>
      <c r="E1851" s="23"/>
      <c r="F1851" s="21"/>
      <c r="G1851" s="21"/>
      <c r="H1851" s="21"/>
      <c r="I1851" s="511"/>
    </row>
    <row r="1852" spans="1:9">
      <c r="A1852" s="509"/>
      <c r="B1852" s="510"/>
      <c r="C1852" s="23"/>
      <c r="D1852" s="23"/>
      <c r="E1852" s="23"/>
      <c r="F1852" s="21"/>
      <c r="G1852" s="21"/>
      <c r="H1852" s="21"/>
      <c r="I1852" s="511"/>
    </row>
    <row r="1853" spans="1:9">
      <c r="A1853" s="509"/>
      <c r="B1853" s="510"/>
      <c r="C1853" s="23"/>
      <c r="D1853" s="23"/>
      <c r="E1853" s="23"/>
      <c r="F1853" s="21"/>
      <c r="G1853" s="21"/>
      <c r="H1853" s="21"/>
      <c r="I1853" s="511"/>
    </row>
    <row r="1854" spans="1:9">
      <c r="A1854" s="509"/>
      <c r="B1854" s="510"/>
      <c r="C1854" s="23"/>
      <c r="D1854" s="23"/>
      <c r="E1854" s="23"/>
      <c r="F1854" s="21"/>
      <c r="G1854" s="21"/>
      <c r="H1854" s="21"/>
      <c r="I1854" s="511"/>
    </row>
    <row r="1855" spans="1:9">
      <c r="A1855" s="509"/>
      <c r="B1855" s="510"/>
      <c r="C1855" s="23"/>
      <c r="D1855" s="23"/>
      <c r="E1855" s="23"/>
      <c r="F1855" s="21"/>
      <c r="G1855" s="21"/>
      <c r="H1855" s="21"/>
      <c r="I1855" s="511"/>
    </row>
    <row r="1856" spans="1:9">
      <c r="A1856" s="509"/>
      <c r="B1856" s="510"/>
      <c r="C1856" s="23"/>
      <c r="D1856" s="23"/>
      <c r="E1856" s="23"/>
      <c r="F1856" s="21"/>
      <c r="G1856" s="21"/>
      <c r="H1856" s="21"/>
      <c r="I1856" s="511"/>
    </row>
    <row r="1857" spans="1:9">
      <c r="A1857" s="509"/>
      <c r="B1857" s="510"/>
      <c r="C1857" s="23"/>
      <c r="D1857" s="23"/>
      <c r="E1857" s="23"/>
      <c r="F1857" s="21"/>
      <c r="G1857" s="21"/>
      <c r="H1857" s="21"/>
      <c r="I1857" s="511"/>
    </row>
    <row r="1858" spans="1:9">
      <c r="A1858" s="509"/>
      <c r="B1858" s="510"/>
      <c r="C1858" s="23"/>
      <c r="D1858" s="23"/>
      <c r="E1858" s="23"/>
      <c r="F1858" s="21"/>
      <c r="G1858" s="21"/>
      <c r="H1858" s="21"/>
      <c r="I1858" s="511"/>
    </row>
    <row r="1859" spans="1:9">
      <c r="A1859" s="509"/>
      <c r="B1859" s="510"/>
      <c r="C1859" s="23"/>
      <c r="D1859" s="23"/>
      <c r="E1859" s="23"/>
      <c r="F1859" s="21"/>
      <c r="G1859" s="21"/>
      <c r="H1859" s="21"/>
      <c r="I1859" s="511"/>
    </row>
    <row r="1860" spans="1:9">
      <c r="A1860" s="509"/>
      <c r="B1860" s="510"/>
      <c r="C1860" s="23"/>
      <c r="D1860" s="23"/>
      <c r="E1860" s="23"/>
      <c r="F1860" s="21"/>
      <c r="G1860" s="21"/>
      <c r="H1860" s="21"/>
      <c r="I1860" s="511"/>
    </row>
    <row r="1861" spans="1:9">
      <c r="A1861" s="509"/>
      <c r="B1861" s="510"/>
      <c r="C1861" s="23"/>
      <c r="D1861" s="23"/>
      <c r="E1861" s="23"/>
      <c r="F1861" s="21"/>
      <c r="G1861" s="21"/>
      <c r="H1861" s="21"/>
      <c r="I1861" s="511"/>
    </row>
    <row r="1862" spans="1:9">
      <c r="A1862" s="509"/>
      <c r="B1862" s="510"/>
      <c r="C1862" s="23"/>
      <c r="D1862" s="23"/>
      <c r="E1862" s="23"/>
      <c r="F1862" s="21"/>
      <c r="G1862" s="21"/>
      <c r="H1862" s="21"/>
      <c r="I1862" s="511"/>
    </row>
    <row r="1863" spans="1:9">
      <c r="A1863" s="509"/>
      <c r="B1863" s="510"/>
      <c r="C1863" s="23"/>
      <c r="D1863" s="23"/>
      <c r="E1863" s="23"/>
      <c r="F1863" s="21"/>
      <c r="G1863" s="21"/>
      <c r="H1863" s="21"/>
      <c r="I1863" s="511"/>
    </row>
    <row r="1864" spans="1:9">
      <c r="A1864" s="509"/>
      <c r="B1864" s="510"/>
      <c r="C1864" s="23"/>
      <c r="D1864" s="23"/>
      <c r="E1864" s="23"/>
      <c r="F1864" s="21"/>
      <c r="G1864" s="21"/>
      <c r="H1864" s="21"/>
      <c r="I1864" s="511"/>
    </row>
    <row r="1865" spans="1:9">
      <c r="A1865" s="509"/>
      <c r="B1865" s="510"/>
      <c r="C1865" s="23"/>
      <c r="D1865" s="23"/>
      <c r="E1865" s="23"/>
      <c r="F1865" s="21"/>
      <c r="G1865" s="21"/>
      <c r="H1865" s="21"/>
      <c r="I1865" s="511"/>
    </row>
    <row r="1866" spans="1:9">
      <c r="A1866" s="509"/>
      <c r="B1866" s="510"/>
      <c r="C1866" s="23"/>
      <c r="D1866" s="23"/>
      <c r="E1866" s="23"/>
      <c r="F1866" s="21"/>
      <c r="G1866" s="21"/>
      <c r="H1866" s="21"/>
      <c r="I1866" s="511"/>
    </row>
    <row r="1867" spans="1:9">
      <c r="A1867" s="509"/>
      <c r="B1867" s="510"/>
      <c r="C1867" s="23"/>
      <c r="D1867" s="23"/>
      <c r="E1867" s="23"/>
      <c r="F1867" s="21"/>
      <c r="G1867" s="21"/>
      <c r="H1867" s="21"/>
      <c r="I1867" s="511"/>
    </row>
    <row r="1868" spans="1:9">
      <c r="A1868" s="509"/>
      <c r="B1868" s="510"/>
      <c r="C1868" s="23"/>
      <c r="D1868" s="23"/>
      <c r="E1868" s="23"/>
      <c r="F1868" s="21"/>
      <c r="G1868" s="21"/>
      <c r="H1868" s="21"/>
      <c r="I1868" s="511"/>
    </row>
    <row r="1869" spans="1:9">
      <c r="A1869" s="509"/>
      <c r="B1869" s="510"/>
      <c r="C1869" s="23"/>
      <c r="D1869" s="23"/>
      <c r="E1869" s="23"/>
      <c r="F1869" s="21"/>
      <c r="G1869" s="21"/>
      <c r="H1869" s="21"/>
      <c r="I1869" s="511"/>
    </row>
    <row r="1870" spans="1:9">
      <c r="A1870" s="509"/>
      <c r="B1870" s="510"/>
      <c r="C1870" s="23"/>
      <c r="D1870" s="23"/>
      <c r="E1870" s="23"/>
      <c r="F1870" s="21"/>
      <c r="G1870" s="21"/>
      <c r="H1870" s="21"/>
      <c r="I1870" s="511"/>
    </row>
    <row r="1871" spans="1:9">
      <c r="A1871" s="509"/>
      <c r="B1871" s="510"/>
      <c r="C1871" s="23"/>
      <c r="D1871" s="23"/>
      <c r="E1871" s="23"/>
      <c r="F1871" s="21"/>
      <c r="G1871" s="21"/>
      <c r="H1871" s="21"/>
      <c r="I1871" s="511"/>
    </row>
    <row r="1872" spans="1:9">
      <c r="A1872" s="509"/>
      <c r="B1872" s="510"/>
      <c r="C1872" s="23"/>
      <c r="D1872" s="23"/>
      <c r="E1872" s="23"/>
      <c r="F1872" s="21"/>
      <c r="G1872" s="21"/>
      <c r="H1872" s="21"/>
      <c r="I1872" s="511"/>
    </row>
    <row r="1873" spans="1:9">
      <c r="A1873" s="509"/>
      <c r="B1873" s="510"/>
      <c r="C1873" s="23"/>
      <c r="D1873" s="23"/>
      <c r="E1873" s="23"/>
      <c r="F1873" s="21"/>
      <c r="G1873" s="21"/>
      <c r="H1873" s="21"/>
      <c r="I1873" s="511"/>
    </row>
    <row r="1874" spans="1:9">
      <c r="A1874" s="509"/>
      <c r="B1874" s="510"/>
      <c r="C1874" s="23"/>
      <c r="D1874" s="23"/>
      <c r="E1874" s="23"/>
      <c r="F1874" s="21"/>
      <c r="G1874" s="21"/>
      <c r="H1874" s="21"/>
      <c r="I1874" s="511"/>
    </row>
    <row r="1875" spans="1:9">
      <c r="A1875" s="509"/>
      <c r="B1875" s="510"/>
      <c r="C1875" s="23"/>
      <c r="D1875" s="23"/>
      <c r="E1875" s="23"/>
      <c r="F1875" s="21"/>
      <c r="G1875" s="21"/>
      <c r="H1875" s="21"/>
      <c r="I1875" s="511"/>
    </row>
    <row r="1876" spans="1:9">
      <c r="A1876" s="509"/>
      <c r="B1876" s="510"/>
      <c r="C1876" s="23"/>
      <c r="D1876" s="23"/>
      <c r="E1876" s="23"/>
      <c r="F1876" s="21"/>
      <c r="G1876" s="21"/>
      <c r="H1876" s="21"/>
      <c r="I1876" s="511"/>
    </row>
    <row r="1877" spans="1:9">
      <c r="A1877" s="509"/>
      <c r="B1877" s="510"/>
      <c r="C1877" s="23"/>
      <c r="D1877" s="23"/>
      <c r="E1877" s="23"/>
      <c r="F1877" s="21"/>
      <c r="G1877" s="21"/>
      <c r="H1877" s="21"/>
      <c r="I1877" s="511"/>
    </row>
    <row r="1878" spans="1:9">
      <c r="A1878" s="509"/>
      <c r="B1878" s="510"/>
      <c r="C1878" s="23"/>
      <c r="D1878" s="23"/>
      <c r="E1878" s="23"/>
      <c r="F1878" s="21"/>
      <c r="G1878" s="21"/>
      <c r="H1878" s="21"/>
      <c r="I1878" s="511"/>
    </row>
    <row r="1879" spans="1:9">
      <c r="A1879" s="509"/>
      <c r="B1879" s="510"/>
      <c r="C1879" s="23"/>
      <c r="D1879" s="23"/>
      <c r="E1879" s="23"/>
      <c r="F1879" s="21"/>
      <c r="G1879" s="21"/>
      <c r="H1879" s="21"/>
      <c r="I1879" s="511"/>
    </row>
    <row r="1880" spans="1:9">
      <c r="A1880" s="509"/>
      <c r="B1880" s="510"/>
      <c r="C1880" s="23"/>
      <c r="D1880" s="23"/>
      <c r="E1880" s="23"/>
      <c r="F1880" s="21"/>
      <c r="G1880" s="21"/>
      <c r="H1880" s="21"/>
      <c r="I1880" s="511"/>
    </row>
    <row r="1881" spans="1:9">
      <c r="A1881" s="509"/>
      <c r="B1881" s="510"/>
      <c r="C1881" s="23"/>
      <c r="D1881" s="23"/>
      <c r="E1881" s="23"/>
      <c r="F1881" s="21"/>
      <c r="G1881" s="21"/>
      <c r="H1881" s="21"/>
      <c r="I1881" s="511"/>
    </row>
    <row r="1882" spans="1:9">
      <c r="A1882" s="509"/>
      <c r="B1882" s="510"/>
      <c r="C1882" s="23"/>
      <c r="D1882" s="23"/>
      <c r="E1882" s="23"/>
      <c r="F1882" s="21"/>
      <c r="G1882" s="21"/>
      <c r="H1882" s="21"/>
      <c r="I1882" s="511"/>
    </row>
    <row r="1883" spans="1:9">
      <c r="A1883" s="509"/>
      <c r="B1883" s="510"/>
      <c r="C1883" s="23"/>
      <c r="D1883" s="23"/>
      <c r="E1883" s="23"/>
      <c r="F1883" s="21"/>
      <c r="G1883" s="21"/>
      <c r="H1883" s="21"/>
      <c r="I1883" s="511"/>
    </row>
    <row r="1884" spans="1:9">
      <c r="A1884" s="509"/>
      <c r="B1884" s="510"/>
      <c r="C1884" s="23"/>
      <c r="D1884" s="23"/>
      <c r="E1884" s="23"/>
      <c r="F1884" s="21"/>
      <c r="G1884" s="21"/>
      <c r="H1884" s="21"/>
      <c r="I1884" s="511"/>
    </row>
    <row r="1885" spans="1:9">
      <c r="A1885" s="509"/>
      <c r="B1885" s="510"/>
      <c r="C1885" s="23"/>
      <c r="D1885" s="23"/>
      <c r="E1885" s="23"/>
      <c r="F1885" s="21"/>
      <c r="G1885" s="21"/>
      <c r="H1885" s="21"/>
      <c r="I1885" s="511"/>
    </row>
    <row r="1886" spans="1:9">
      <c r="A1886" s="509"/>
      <c r="B1886" s="510"/>
      <c r="C1886" s="23"/>
      <c r="D1886" s="23"/>
      <c r="E1886" s="23"/>
      <c r="F1886" s="21"/>
      <c r="G1886" s="21"/>
      <c r="H1886" s="21"/>
      <c r="I1886" s="511"/>
    </row>
    <row r="1887" spans="1:9">
      <c r="A1887" s="509"/>
      <c r="B1887" s="510"/>
      <c r="C1887" s="23"/>
      <c r="D1887" s="23"/>
      <c r="E1887" s="23"/>
      <c r="F1887" s="21"/>
      <c r="G1887" s="21"/>
      <c r="H1887" s="21"/>
      <c r="I1887" s="511"/>
    </row>
    <row r="1888" spans="1:9">
      <c r="A1888" s="509"/>
      <c r="B1888" s="510"/>
      <c r="C1888" s="23"/>
      <c r="D1888" s="23"/>
      <c r="E1888" s="23"/>
      <c r="F1888" s="21"/>
      <c r="G1888" s="21"/>
      <c r="H1888" s="21"/>
      <c r="I1888" s="511"/>
    </row>
    <row r="1889" spans="1:9">
      <c r="A1889" s="509"/>
      <c r="B1889" s="510"/>
      <c r="C1889" s="23"/>
      <c r="D1889" s="23"/>
      <c r="E1889" s="23"/>
      <c r="F1889" s="21"/>
      <c r="G1889" s="21"/>
      <c r="H1889" s="21"/>
      <c r="I1889" s="511"/>
    </row>
    <row r="1890" spans="1:9">
      <c r="A1890" s="509"/>
      <c r="B1890" s="510"/>
      <c r="C1890" s="23"/>
      <c r="D1890" s="23"/>
      <c r="E1890" s="23"/>
      <c r="F1890" s="21"/>
      <c r="G1890" s="21"/>
      <c r="H1890" s="21"/>
      <c r="I1890" s="511"/>
    </row>
    <row r="1891" spans="1:9">
      <c r="A1891" s="509"/>
      <c r="B1891" s="510"/>
      <c r="C1891" s="23"/>
      <c r="D1891" s="23"/>
      <c r="E1891" s="23"/>
      <c r="F1891" s="21"/>
      <c r="G1891" s="21"/>
      <c r="H1891" s="21"/>
      <c r="I1891" s="511"/>
    </row>
    <row r="1892" spans="1:9">
      <c r="A1892" s="509"/>
      <c r="B1892" s="510"/>
      <c r="C1892" s="23"/>
      <c r="D1892" s="23"/>
      <c r="E1892" s="23"/>
      <c r="F1892" s="21"/>
      <c r="G1892" s="21"/>
      <c r="H1892" s="21"/>
      <c r="I1892" s="511"/>
    </row>
    <row r="1893" spans="1:9">
      <c r="A1893" s="509"/>
      <c r="B1893" s="510"/>
      <c r="C1893" s="23"/>
      <c r="D1893" s="23"/>
      <c r="E1893" s="23"/>
      <c r="F1893" s="21"/>
      <c r="G1893" s="21"/>
      <c r="H1893" s="21"/>
      <c r="I1893" s="511"/>
    </row>
    <row r="1894" spans="1:9">
      <c r="A1894" s="509"/>
      <c r="B1894" s="510"/>
      <c r="C1894" s="23"/>
      <c r="D1894" s="23"/>
      <c r="E1894" s="23"/>
      <c r="F1894" s="21"/>
      <c r="G1894" s="21"/>
      <c r="H1894" s="21"/>
      <c r="I1894" s="511"/>
    </row>
    <row r="1895" spans="1:9">
      <c r="A1895" s="509"/>
      <c r="B1895" s="510"/>
      <c r="C1895" s="23"/>
      <c r="D1895" s="23"/>
      <c r="E1895" s="23"/>
      <c r="F1895" s="21"/>
      <c r="G1895" s="21"/>
      <c r="H1895" s="21"/>
      <c r="I1895" s="511"/>
    </row>
    <row r="1896" spans="1:9">
      <c r="A1896" s="509"/>
      <c r="B1896" s="510"/>
      <c r="C1896" s="23"/>
      <c r="D1896" s="23"/>
      <c r="E1896" s="23"/>
      <c r="F1896" s="21"/>
      <c r="G1896" s="21"/>
      <c r="H1896" s="21"/>
      <c r="I1896" s="511"/>
    </row>
    <row r="1897" spans="1:9">
      <c r="A1897" s="509"/>
      <c r="B1897" s="510"/>
      <c r="C1897" s="23"/>
      <c r="D1897" s="23"/>
      <c r="E1897" s="23"/>
      <c r="F1897" s="21"/>
      <c r="G1897" s="21"/>
      <c r="H1897" s="21"/>
      <c r="I1897" s="511"/>
    </row>
    <row r="1898" spans="1:9">
      <c r="A1898" s="509"/>
      <c r="B1898" s="510"/>
      <c r="C1898" s="23"/>
      <c r="D1898" s="23"/>
      <c r="E1898" s="23"/>
      <c r="F1898" s="21"/>
      <c r="G1898" s="21"/>
      <c r="H1898" s="21"/>
      <c r="I1898" s="511"/>
    </row>
    <row r="1899" spans="1:9">
      <c r="A1899" s="509"/>
      <c r="B1899" s="510"/>
      <c r="C1899" s="23"/>
      <c r="D1899" s="23"/>
      <c r="E1899" s="23"/>
      <c r="F1899" s="21"/>
      <c r="G1899" s="21"/>
      <c r="H1899" s="21"/>
      <c r="I1899" s="511"/>
    </row>
    <row r="1900" spans="1:9">
      <c r="A1900" s="509"/>
      <c r="B1900" s="510"/>
      <c r="C1900" s="23"/>
      <c r="D1900" s="23"/>
      <c r="E1900" s="23"/>
      <c r="F1900" s="21"/>
      <c r="G1900" s="21"/>
      <c r="H1900" s="21"/>
      <c r="I1900" s="511"/>
    </row>
    <row r="1901" spans="1:9">
      <c r="A1901" s="509"/>
      <c r="B1901" s="510"/>
      <c r="C1901" s="23"/>
      <c r="D1901" s="23"/>
      <c r="E1901" s="23"/>
      <c r="F1901" s="21"/>
      <c r="G1901" s="21"/>
      <c r="H1901" s="21"/>
      <c r="I1901" s="511"/>
    </row>
    <row r="1902" spans="1:9">
      <c r="A1902" s="509"/>
      <c r="B1902" s="510"/>
      <c r="C1902" s="23"/>
      <c r="D1902" s="23"/>
      <c r="E1902" s="23"/>
      <c r="F1902" s="21"/>
      <c r="G1902" s="21"/>
      <c r="H1902" s="21"/>
      <c r="I1902" s="511"/>
    </row>
    <row r="1903" spans="1:9">
      <c r="A1903" s="509"/>
      <c r="B1903" s="510"/>
      <c r="C1903" s="23"/>
      <c r="D1903" s="23"/>
      <c r="E1903" s="23"/>
      <c r="F1903" s="21"/>
      <c r="G1903" s="21"/>
      <c r="H1903" s="21"/>
      <c r="I1903" s="511"/>
    </row>
    <row r="1904" spans="1:9">
      <c r="A1904" s="509"/>
      <c r="B1904" s="510"/>
      <c r="C1904" s="23"/>
      <c r="D1904" s="23"/>
      <c r="E1904" s="23"/>
      <c r="F1904" s="21"/>
      <c r="G1904" s="21"/>
      <c r="H1904" s="21"/>
      <c r="I1904" s="511"/>
    </row>
    <row r="1905" spans="1:9">
      <c r="A1905" s="509"/>
      <c r="B1905" s="510"/>
      <c r="C1905" s="23"/>
      <c r="D1905" s="23"/>
      <c r="E1905" s="23"/>
      <c r="F1905" s="21"/>
      <c r="G1905" s="21"/>
      <c r="H1905" s="21"/>
      <c r="I1905" s="511"/>
    </row>
    <row r="1906" spans="1:9">
      <c r="A1906" s="509"/>
      <c r="B1906" s="510"/>
      <c r="C1906" s="23"/>
      <c r="D1906" s="23"/>
      <c r="E1906" s="23"/>
      <c r="F1906" s="21"/>
      <c r="G1906" s="21"/>
      <c r="H1906" s="21"/>
      <c r="I1906" s="511"/>
    </row>
    <row r="1907" spans="1:9">
      <c r="A1907" s="509"/>
      <c r="B1907" s="510"/>
      <c r="C1907" s="23"/>
      <c r="D1907" s="23"/>
      <c r="E1907" s="23"/>
      <c r="F1907" s="21"/>
      <c r="G1907" s="21"/>
      <c r="H1907" s="21"/>
      <c r="I1907" s="511"/>
    </row>
    <row r="1908" spans="1:9">
      <c r="A1908" s="509"/>
      <c r="B1908" s="510"/>
      <c r="C1908" s="23"/>
      <c r="D1908" s="23"/>
      <c r="E1908" s="23"/>
      <c r="F1908" s="21"/>
      <c r="G1908" s="21"/>
      <c r="H1908" s="21"/>
      <c r="I1908" s="511"/>
    </row>
    <row r="1909" spans="1:9">
      <c r="A1909" s="509"/>
      <c r="B1909" s="510"/>
      <c r="C1909" s="23"/>
      <c r="D1909" s="23"/>
      <c r="E1909" s="23"/>
      <c r="F1909" s="21"/>
      <c r="G1909" s="21"/>
      <c r="H1909" s="21"/>
      <c r="I1909" s="511"/>
    </row>
    <row r="1910" spans="1:9">
      <c r="A1910" s="509"/>
      <c r="B1910" s="510"/>
      <c r="C1910" s="23"/>
      <c r="D1910" s="23"/>
      <c r="E1910" s="23"/>
      <c r="F1910" s="21"/>
      <c r="G1910" s="21"/>
      <c r="H1910" s="21"/>
      <c r="I1910" s="511"/>
    </row>
    <row r="1911" spans="1:9">
      <c r="A1911" s="509"/>
      <c r="B1911" s="510"/>
      <c r="C1911" s="23"/>
      <c r="D1911" s="23"/>
      <c r="E1911" s="23"/>
      <c r="F1911" s="21"/>
      <c r="G1911" s="21"/>
      <c r="H1911" s="21"/>
      <c r="I1911" s="511"/>
    </row>
    <row r="1912" spans="1:9">
      <c r="A1912" s="509"/>
      <c r="B1912" s="510"/>
      <c r="C1912" s="23"/>
      <c r="D1912" s="23"/>
      <c r="E1912" s="23"/>
      <c r="F1912" s="21"/>
      <c r="G1912" s="21"/>
      <c r="H1912" s="21"/>
      <c r="I1912" s="511"/>
    </row>
    <row r="1913" spans="1:9">
      <c r="A1913" s="509"/>
      <c r="B1913" s="510"/>
      <c r="C1913" s="23"/>
      <c r="D1913" s="23"/>
      <c r="E1913" s="23"/>
      <c r="F1913" s="21"/>
      <c r="G1913" s="21"/>
      <c r="H1913" s="21"/>
      <c r="I1913" s="511"/>
    </row>
    <row r="1914" spans="1:9">
      <c r="A1914" s="509"/>
      <c r="B1914" s="510"/>
      <c r="C1914" s="23"/>
      <c r="D1914" s="23"/>
      <c r="E1914" s="23"/>
      <c r="F1914" s="21"/>
      <c r="G1914" s="21"/>
      <c r="H1914" s="21"/>
      <c r="I1914" s="511"/>
    </row>
    <row r="1915" spans="1:9">
      <c r="A1915" s="509"/>
      <c r="B1915" s="510"/>
      <c r="C1915" s="23"/>
      <c r="D1915" s="23"/>
      <c r="E1915" s="23"/>
      <c r="F1915" s="21"/>
      <c r="G1915" s="21"/>
      <c r="H1915" s="21"/>
      <c r="I1915" s="511"/>
    </row>
    <row r="1916" spans="1:9">
      <c r="A1916" s="509"/>
      <c r="B1916" s="510"/>
      <c r="C1916" s="23"/>
      <c r="D1916" s="23"/>
      <c r="E1916" s="23"/>
      <c r="F1916" s="21"/>
      <c r="G1916" s="21"/>
      <c r="H1916" s="21"/>
      <c r="I1916" s="511"/>
    </row>
    <row r="1917" spans="1:9">
      <c r="A1917" s="509"/>
      <c r="B1917" s="510"/>
      <c r="C1917" s="23"/>
      <c r="D1917" s="23"/>
      <c r="E1917" s="23"/>
      <c r="F1917" s="21"/>
      <c r="G1917" s="21"/>
      <c r="H1917" s="21"/>
      <c r="I1917" s="511"/>
    </row>
  </sheetData>
  <sheetProtection algorithmName="SHA-512" hashValue="o1OsgpAFtzn4J7t/FCc7jT7g82xZv0Cq0k4TWQMFMzGgD1pnu9q0F3FbDb0ot+BfDxMBsk/c87F4UEdsq3fSzQ==" saltValue="ZhBfKLI4y+UgqWaoX+iFnw==" spinCount="100000" sheet="1"/>
  <mergeCells count="19">
    <mergeCell ref="B6:I6"/>
    <mergeCell ref="B1:I1"/>
    <mergeCell ref="A2:I2"/>
    <mergeCell ref="A4:I4"/>
    <mergeCell ref="A5:I5"/>
    <mergeCell ref="F3:I3"/>
    <mergeCell ref="A156:I156"/>
    <mergeCell ref="A7:I7"/>
    <mergeCell ref="A8:I8"/>
    <mergeCell ref="A9:I9"/>
    <mergeCell ref="A12:I12"/>
    <mergeCell ref="A144:I144"/>
    <mergeCell ref="A146:I146"/>
    <mergeCell ref="A147:I147"/>
    <mergeCell ref="A148:I148"/>
    <mergeCell ref="A150:I150"/>
    <mergeCell ref="A152:I152"/>
    <mergeCell ref="A154:I154"/>
    <mergeCell ref="A151:I15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&amp;LBD Hübnerové&amp;ROdhad stavebních nákladů</oddHeader>
    <oddFooter>Stránka &amp;P z &amp;N</oddFooter>
  </headerFooter>
  <rowBreaks count="3" manualBreakCount="3">
    <brk id="58" max="5" man="1"/>
    <brk id="156" max="5" man="1"/>
    <brk id="157" max="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18"/>
  <sheetViews>
    <sheetView view="pageBreakPreview" zoomScaleNormal="100" zoomScaleSheetLayoutView="100" workbookViewId="0">
      <selection activeCell="A5" sqref="A5:I5"/>
    </sheetView>
  </sheetViews>
  <sheetFormatPr defaultRowHeight="12"/>
  <cols>
    <col min="1" max="1" width="56.83203125" style="517" customWidth="1"/>
    <col min="2" max="2" width="8" style="518" customWidth="1"/>
    <col min="3" max="5" width="11.1640625" style="29" customWidth="1"/>
    <col min="6" max="6" width="20.6640625" style="30" customWidth="1"/>
    <col min="7" max="8" width="22" style="30" customWidth="1"/>
    <col min="9" max="9" width="10.6640625" style="519" customWidth="1"/>
    <col min="10" max="10" width="2" style="473" customWidth="1"/>
    <col min="11" max="11" width="27.83203125" style="473" customWidth="1"/>
    <col min="12" max="12" width="12.1640625" style="473" customWidth="1"/>
    <col min="13" max="259" width="9.33203125" style="473"/>
    <col min="260" max="260" width="55.33203125" style="473" customWidth="1"/>
    <col min="261" max="261" width="8" style="473" customWidth="1"/>
    <col min="262" max="262" width="9.83203125" style="473" customWidth="1"/>
    <col min="263" max="263" width="11.33203125" style="473" customWidth="1"/>
    <col min="264" max="264" width="17.6640625" style="473" customWidth="1"/>
    <col min="265" max="265" width="10.6640625" style="473" customWidth="1"/>
    <col min="266" max="515" width="9.33203125" style="473"/>
    <col min="516" max="516" width="55.33203125" style="473" customWidth="1"/>
    <col min="517" max="517" width="8" style="473" customWidth="1"/>
    <col min="518" max="518" width="9.83203125" style="473" customWidth="1"/>
    <col min="519" max="519" width="11.33203125" style="473" customWidth="1"/>
    <col min="520" max="520" width="17.6640625" style="473" customWidth="1"/>
    <col min="521" max="521" width="10.6640625" style="473" customWidth="1"/>
    <col min="522" max="771" width="9.33203125" style="473"/>
    <col min="772" max="772" width="55.33203125" style="473" customWidth="1"/>
    <col min="773" max="773" width="8" style="473" customWidth="1"/>
    <col min="774" max="774" width="9.83203125" style="473" customWidth="1"/>
    <col min="775" max="775" width="11.33203125" style="473" customWidth="1"/>
    <col min="776" max="776" width="17.6640625" style="473" customWidth="1"/>
    <col min="777" max="777" width="10.6640625" style="473" customWidth="1"/>
    <col min="778" max="1027" width="9.33203125" style="473"/>
    <col min="1028" max="1028" width="55.33203125" style="473" customWidth="1"/>
    <col min="1029" max="1029" width="8" style="473" customWidth="1"/>
    <col min="1030" max="1030" width="9.83203125" style="473" customWidth="1"/>
    <col min="1031" max="1031" width="11.33203125" style="473" customWidth="1"/>
    <col min="1032" max="1032" width="17.6640625" style="473" customWidth="1"/>
    <col min="1033" max="1033" width="10.6640625" style="473" customWidth="1"/>
    <col min="1034" max="1283" width="9.33203125" style="473"/>
    <col min="1284" max="1284" width="55.33203125" style="473" customWidth="1"/>
    <col min="1285" max="1285" width="8" style="473" customWidth="1"/>
    <col min="1286" max="1286" width="9.83203125" style="473" customWidth="1"/>
    <col min="1287" max="1287" width="11.33203125" style="473" customWidth="1"/>
    <col min="1288" max="1288" width="17.6640625" style="473" customWidth="1"/>
    <col min="1289" max="1289" width="10.6640625" style="473" customWidth="1"/>
    <col min="1290" max="1539" width="9.33203125" style="473"/>
    <col min="1540" max="1540" width="55.33203125" style="473" customWidth="1"/>
    <col min="1541" max="1541" width="8" style="473" customWidth="1"/>
    <col min="1542" max="1542" width="9.83203125" style="473" customWidth="1"/>
    <col min="1543" max="1543" width="11.33203125" style="473" customWidth="1"/>
    <col min="1544" max="1544" width="17.6640625" style="473" customWidth="1"/>
    <col min="1545" max="1545" width="10.6640625" style="473" customWidth="1"/>
    <col min="1546" max="1795" width="9.33203125" style="473"/>
    <col min="1796" max="1796" width="55.33203125" style="473" customWidth="1"/>
    <col min="1797" max="1797" width="8" style="473" customWidth="1"/>
    <col min="1798" max="1798" width="9.83203125" style="473" customWidth="1"/>
    <col min="1799" max="1799" width="11.33203125" style="473" customWidth="1"/>
    <col min="1800" max="1800" width="17.6640625" style="473" customWidth="1"/>
    <col min="1801" max="1801" width="10.6640625" style="473" customWidth="1"/>
    <col min="1802" max="2051" width="9.33203125" style="473"/>
    <col min="2052" max="2052" width="55.33203125" style="473" customWidth="1"/>
    <col min="2053" max="2053" width="8" style="473" customWidth="1"/>
    <col min="2054" max="2054" width="9.83203125" style="473" customWidth="1"/>
    <col min="2055" max="2055" width="11.33203125" style="473" customWidth="1"/>
    <col min="2056" max="2056" width="17.6640625" style="473" customWidth="1"/>
    <col min="2057" max="2057" width="10.6640625" style="473" customWidth="1"/>
    <col min="2058" max="2307" width="9.33203125" style="473"/>
    <col min="2308" max="2308" width="55.33203125" style="473" customWidth="1"/>
    <col min="2309" max="2309" width="8" style="473" customWidth="1"/>
    <col min="2310" max="2310" width="9.83203125" style="473" customWidth="1"/>
    <col min="2311" max="2311" width="11.33203125" style="473" customWidth="1"/>
    <col min="2312" max="2312" width="17.6640625" style="473" customWidth="1"/>
    <col min="2313" max="2313" width="10.6640625" style="473" customWidth="1"/>
    <col min="2314" max="2563" width="9.33203125" style="473"/>
    <col min="2564" max="2564" width="55.33203125" style="473" customWidth="1"/>
    <col min="2565" max="2565" width="8" style="473" customWidth="1"/>
    <col min="2566" max="2566" width="9.83203125" style="473" customWidth="1"/>
    <col min="2567" max="2567" width="11.33203125" style="473" customWidth="1"/>
    <col min="2568" max="2568" width="17.6640625" style="473" customWidth="1"/>
    <col min="2569" max="2569" width="10.6640625" style="473" customWidth="1"/>
    <col min="2570" max="2819" width="9.33203125" style="473"/>
    <col min="2820" max="2820" width="55.33203125" style="473" customWidth="1"/>
    <col min="2821" max="2821" width="8" style="473" customWidth="1"/>
    <col min="2822" max="2822" width="9.83203125" style="473" customWidth="1"/>
    <col min="2823" max="2823" width="11.33203125" style="473" customWidth="1"/>
    <col min="2824" max="2824" width="17.6640625" style="473" customWidth="1"/>
    <col min="2825" max="2825" width="10.6640625" style="473" customWidth="1"/>
    <col min="2826" max="3075" width="9.33203125" style="473"/>
    <col min="3076" max="3076" width="55.33203125" style="473" customWidth="1"/>
    <col min="3077" max="3077" width="8" style="473" customWidth="1"/>
    <col min="3078" max="3078" width="9.83203125" style="473" customWidth="1"/>
    <col min="3079" max="3079" width="11.33203125" style="473" customWidth="1"/>
    <col min="3080" max="3080" width="17.6640625" style="473" customWidth="1"/>
    <col min="3081" max="3081" width="10.6640625" style="473" customWidth="1"/>
    <col min="3082" max="3331" width="9.33203125" style="473"/>
    <col min="3332" max="3332" width="55.33203125" style="473" customWidth="1"/>
    <col min="3333" max="3333" width="8" style="473" customWidth="1"/>
    <col min="3334" max="3334" width="9.83203125" style="473" customWidth="1"/>
    <col min="3335" max="3335" width="11.33203125" style="473" customWidth="1"/>
    <col min="3336" max="3336" width="17.6640625" style="473" customWidth="1"/>
    <col min="3337" max="3337" width="10.6640625" style="473" customWidth="1"/>
    <col min="3338" max="3587" width="9.33203125" style="473"/>
    <col min="3588" max="3588" width="55.33203125" style="473" customWidth="1"/>
    <col min="3589" max="3589" width="8" style="473" customWidth="1"/>
    <col min="3590" max="3590" width="9.83203125" style="473" customWidth="1"/>
    <col min="3591" max="3591" width="11.33203125" style="473" customWidth="1"/>
    <col min="3592" max="3592" width="17.6640625" style="473" customWidth="1"/>
    <col min="3593" max="3593" width="10.6640625" style="473" customWidth="1"/>
    <col min="3594" max="3843" width="9.33203125" style="473"/>
    <col min="3844" max="3844" width="55.33203125" style="473" customWidth="1"/>
    <col min="3845" max="3845" width="8" style="473" customWidth="1"/>
    <col min="3846" max="3846" width="9.83203125" style="473" customWidth="1"/>
    <col min="3847" max="3847" width="11.33203125" style="473" customWidth="1"/>
    <col min="3848" max="3848" width="17.6640625" style="473" customWidth="1"/>
    <col min="3849" max="3849" width="10.6640625" style="473" customWidth="1"/>
    <col min="3850" max="4099" width="9.33203125" style="473"/>
    <col min="4100" max="4100" width="55.33203125" style="473" customWidth="1"/>
    <col min="4101" max="4101" width="8" style="473" customWidth="1"/>
    <col min="4102" max="4102" width="9.83203125" style="473" customWidth="1"/>
    <col min="4103" max="4103" width="11.33203125" style="473" customWidth="1"/>
    <col min="4104" max="4104" width="17.6640625" style="473" customWidth="1"/>
    <col min="4105" max="4105" width="10.6640625" style="473" customWidth="1"/>
    <col min="4106" max="4355" width="9.33203125" style="473"/>
    <col min="4356" max="4356" width="55.33203125" style="473" customWidth="1"/>
    <col min="4357" max="4357" width="8" style="473" customWidth="1"/>
    <col min="4358" max="4358" width="9.83203125" style="473" customWidth="1"/>
    <col min="4359" max="4359" width="11.33203125" style="473" customWidth="1"/>
    <col min="4360" max="4360" width="17.6640625" style="473" customWidth="1"/>
    <col min="4361" max="4361" width="10.6640625" style="473" customWidth="1"/>
    <col min="4362" max="4611" width="9.33203125" style="473"/>
    <col min="4612" max="4612" width="55.33203125" style="473" customWidth="1"/>
    <col min="4613" max="4613" width="8" style="473" customWidth="1"/>
    <col min="4614" max="4614" width="9.83203125" style="473" customWidth="1"/>
    <col min="4615" max="4615" width="11.33203125" style="473" customWidth="1"/>
    <col min="4616" max="4616" width="17.6640625" style="473" customWidth="1"/>
    <col min="4617" max="4617" width="10.6640625" style="473" customWidth="1"/>
    <col min="4618" max="4867" width="9.33203125" style="473"/>
    <col min="4868" max="4868" width="55.33203125" style="473" customWidth="1"/>
    <col min="4869" max="4869" width="8" style="473" customWidth="1"/>
    <col min="4870" max="4870" width="9.83203125" style="473" customWidth="1"/>
    <col min="4871" max="4871" width="11.33203125" style="473" customWidth="1"/>
    <col min="4872" max="4872" width="17.6640625" style="473" customWidth="1"/>
    <col min="4873" max="4873" width="10.6640625" style="473" customWidth="1"/>
    <col min="4874" max="5123" width="9.33203125" style="473"/>
    <col min="5124" max="5124" width="55.33203125" style="473" customWidth="1"/>
    <col min="5125" max="5125" width="8" style="473" customWidth="1"/>
    <col min="5126" max="5126" width="9.83203125" style="473" customWidth="1"/>
    <col min="5127" max="5127" width="11.33203125" style="473" customWidth="1"/>
    <col min="5128" max="5128" width="17.6640625" style="473" customWidth="1"/>
    <col min="5129" max="5129" width="10.6640625" style="473" customWidth="1"/>
    <col min="5130" max="5379" width="9.33203125" style="473"/>
    <col min="5380" max="5380" width="55.33203125" style="473" customWidth="1"/>
    <col min="5381" max="5381" width="8" style="473" customWidth="1"/>
    <col min="5382" max="5382" width="9.83203125" style="473" customWidth="1"/>
    <col min="5383" max="5383" width="11.33203125" style="473" customWidth="1"/>
    <col min="5384" max="5384" width="17.6640625" style="473" customWidth="1"/>
    <col min="5385" max="5385" width="10.6640625" style="473" customWidth="1"/>
    <col min="5386" max="5635" width="9.33203125" style="473"/>
    <col min="5636" max="5636" width="55.33203125" style="473" customWidth="1"/>
    <col min="5637" max="5637" width="8" style="473" customWidth="1"/>
    <col min="5638" max="5638" width="9.83203125" style="473" customWidth="1"/>
    <col min="5639" max="5639" width="11.33203125" style="473" customWidth="1"/>
    <col min="5640" max="5640" width="17.6640625" style="473" customWidth="1"/>
    <col min="5641" max="5641" width="10.6640625" style="473" customWidth="1"/>
    <col min="5642" max="5891" width="9.33203125" style="473"/>
    <col min="5892" max="5892" width="55.33203125" style="473" customWidth="1"/>
    <col min="5893" max="5893" width="8" style="473" customWidth="1"/>
    <col min="5894" max="5894" width="9.83203125" style="473" customWidth="1"/>
    <col min="5895" max="5895" width="11.33203125" style="473" customWidth="1"/>
    <col min="5896" max="5896" width="17.6640625" style="473" customWidth="1"/>
    <col min="5897" max="5897" width="10.6640625" style="473" customWidth="1"/>
    <col min="5898" max="6147" width="9.33203125" style="473"/>
    <col min="6148" max="6148" width="55.33203125" style="473" customWidth="1"/>
    <col min="6149" max="6149" width="8" style="473" customWidth="1"/>
    <col min="6150" max="6150" width="9.83203125" style="473" customWidth="1"/>
    <col min="6151" max="6151" width="11.33203125" style="473" customWidth="1"/>
    <col min="6152" max="6152" width="17.6640625" style="473" customWidth="1"/>
    <col min="6153" max="6153" width="10.6640625" style="473" customWidth="1"/>
    <col min="6154" max="6403" width="9.33203125" style="473"/>
    <col min="6404" max="6404" width="55.33203125" style="473" customWidth="1"/>
    <col min="6405" max="6405" width="8" style="473" customWidth="1"/>
    <col min="6406" max="6406" width="9.83203125" style="473" customWidth="1"/>
    <col min="6407" max="6407" width="11.33203125" style="473" customWidth="1"/>
    <col min="6408" max="6408" width="17.6640625" style="473" customWidth="1"/>
    <col min="6409" max="6409" width="10.6640625" style="473" customWidth="1"/>
    <col min="6410" max="6659" width="9.33203125" style="473"/>
    <col min="6660" max="6660" width="55.33203125" style="473" customWidth="1"/>
    <col min="6661" max="6661" width="8" style="473" customWidth="1"/>
    <col min="6662" max="6662" width="9.83203125" style="473" customWidth="1"/>
    <col min="6663" max="6663" width="11.33203125" style="473" customWidth="1"/>
    <col min="6664" max="6664" width="17.6640625" style="473" customWidth="1"/>
    <col min="6665" max="6665" width="10.6640625" style="473" customWidth="1"/>
    <col min="6666" max="6915" width="9.33203125" style="473"/>
    <col min="6916" max="6916" width="55.33203125" style="473" customWidth="1"/>
    <col min="6917" max="6917" width="8" style="473" customWidth="1"/>
    <col min="6918" max="6918" width="9.83203125" style="473" customWidth="1"/>
    <col min="6919" max="6919" width="11.33203125" style="473" customWidth="1"/>
    <col min="6920" max="6920" width="17.6640625" style="473" customWidth="1"/>
    <col min="6921" max="6921" width="10.6640625" style="473" customWidth="1"/>
    <col min="6922" max="7171" width="9.33203125" style="473"/>
    <col min="7172" max="7172" width="55.33203125" style="473" customWidth="1"/>
    <col min="7173" max="7173" width="8" style="473" customWidth="1"/>
    <col min="7174" max="7174" width="9.83203125" style="473" customWidth="1"/>
    <col min="7175" max="7175" width="11.33203125" style="473" customWidth="1"/>
    <col min="7176" max="7176" width="17.6640625" style="473" customWidth="1"/>
    <col min="7177" max="7177" width="10.6640625" style="473" customWidth="1"/>
    <col min="7178" max="7427" width="9.33203125" style="473"/>
    <col min="7428" max="7428" width="55.33203125" style="473" customWidth="1"/>
    <col min="7429" max="7429" width="8" style="473" customWidth="1"/>
    <col min="7430" max="7430" width="9.83203125" style="473" customWidth="1"/>
    <col min="7431" max="7431" width="11.33203125" style="473" customWidth="1"/>
    <col min="7432" max="7432" width="17.6640625" style="473" customWidth="1"/>
    <col min="7433" max="7433" width="10.6640625" style="473" customWidth="1"/>
    <col min="7434" max="7683" width="9.33203125" style="473"/>
    <col min="7684" max="7684" width="55.33203125" style="473" customWidth="1"/>
    <col min="7685" max="7685" width="8" style="473" customWidth="1"/>
    <col min="7686" max="7686" width="9.83203125" style="473" customWidth="1"/>
    <col min="7687" max="7687" width="11.33203125" style="473" customWidth="1"/>
    <col min="7688" max="7688" width="17.6640625" style="473" customWidth="1"/>
    <col min="7689" max="7689" width="10.6640625" style="473" customWidth="1"/>
    <col min="7690" max="7939" width="9.33203125" style="473"/>
    <col min="7940" max="7940" width="55.33203125" style="473" customWidth="1"/>
    <col min="7941" max="7941" width="8" style="473" customWidth="1"/>
    <col min="7942" max="7942" width="9.83203125" style="473" customWidth="1"/>
    <col min="7943" max="7943" width="11.33203125" style="473" customWidth="1"/>
    <col min="7944" max="7944" width="17.6640625" style="473" customWidth="1"/>
    <col min="7945" max="7945" width="10.6640625" style="473" customWidth="1"/>
    <col min="7946" max="8195" width="9.33203125" style="473"/>
    <col min="8196" max="8196" width="55.33203125" style="473" customWidth="1"/>
    <col min="8197" max="8197" width="8" style="473" customWidth="1"/>
    <col min="8198" max="8198" width="9.83203125" style="473" customWidth="1"/>
    <col min="8199" max="8199" width="11.33203125" style="473" customWidth="1"/>
    <col min="8200" max="8200" width="17.6640625" style="473" customWidth="1"/>
    <col min="8201" max="8201" width="10.6640625" style="473" customWidth="1"/>
    <col min="8202" max="8451" width="9.33203125" style="473"/>
    <col min="8452" max="8452" width="55.33203125" style="473" customWidth="1"/>
    <col min="8453" max="8453" width="8" style="473" customWidth="1"/>
    <col min="8454" max="8454" width="9.83203125" style="473" customWidth="1"/>
    <col min="8455" max="8455" width="11.33203125" style="473" customWidth="1"/>
    <col min="8456" max="8456" width="17.6640625" style="473" customWidth="1"/>
    <col min="8457" max="8457" width="10.6640625" style="473" customWidth="1"/>
    <col min="8458" max="8707" width="9.33203125" style="473"/>
    <col min="8708" max="8708" width="55.33203125" style="473" customWidth="1"/>
    <col min="8709" max="8709" width="8" style="473" customWidth="1"/>
    <col min="8710" max="8710" width="9.83203125" style="473" customWidth="1"/>
    <col min="8711" max="8711" width="11.33203125" style="473" customWidth="1"/>
    <col min="8712" max="8712" width="17.6640625" style="473" customWidth="1"/>
    <col min="8713" max="8713" width="10.6640625" style="473" customWidth="1"/>
    <col min="8714" max="8963" width="9.33203125" style="473"/>
    <col min="8964" max="8964" width="55.33203125" style="473" customWidth="1"/>
    <col min="8965" max="8965" width="8" style="473" customWidth="1"/>
    <col min="8966" max="8966" width="9.83203125" style="473" customWidth="1"/>
    <col min="8967" max="8967" width="11.33203125" style="473" customWidth="1"/>
    <col min="8968" max="8968" width="17.6640625" style="473" customWidth="1"/>
    <col min="8969" max="8969" width="10.6640625" style="473" customWidth="1"/>
    <col min="8970" max="9219" width="9.33203125" style="473"/>
    <col min="9220" max="9220" width="55.33203125" style="473" customWidth="1"/>
    <col min="9221" max="9221" width="8" style="473" customWidth="1"/>
    <col min="9222" max="9222" width="9.83203125" style="473" customWidth="1"/>
    <col min="9223" max="9223" width="11.33203125" style="473" customWidth="1"/>
    <col min="9224" max="9224" width="17.6640625" style="473" customWidth="1"/>
    <col min="9225" max="9225" width="10.6640625" style="473" customWidth="1"/>
    <col min="9226" max="9475" width="9.33203125" style="473"/>
    <col min="9476" max="9476" width="55.33203125" style="473" customWidth="1"/>
    <col min="9477" max="9477" width="8" style="473" customWidth="1"/>
    <col min="9478" max="9478" width="9.83203125" style="473" customWidth="1"/>
    <col min="9479" max="9479" width="11.33203125" style="473" customWidth="1"/>
    <col min="9480" max="9480" width="17.6640625" style="473" customWidth="1"/>
    <col min="9481" max="9481" width="10.6640625" style="473" customWidth="1"/>
    <col min="9482" max="9731" width="9.33203125" style="473"/>
    <col min="9732" max="9732" width="55.33203125" style="473" customWidth="1"/>
    <col min="9733" max="9733" width="8" style="473" customWidth="1"/>
    <col min="9734" max="9734" width="9.83203125" style="473" customWidth="1"/>
    <col min="9735" max="9735" width="11.33203125" style="473" customWidth="1"/>
    <col min="9736" max="9736" width="17.6640625" style="473" customWidth="1"/>
    <col min="9737" max="9737" width="10.6640625" style="473" customWidth="1"/>
    <col min="9738" max="9987" width="9.33203125" style="473"/>
    <col min="9988" max="9988" width="55.33203125" style="473" customWidth="1"/>
    <col min="9989" max="9989" width="8" style="473" customWidth="1"/>
    <col min="9990" max="9990" width="9.83203125" style="473" customWidth="1"/>
    <col min="9991" max="9991" width="11.33203125" style="473" customWidth="1"/>
    <col min="9992" max="9992" width="17.6640625" style="473" customWidth="1"/>
    <col min="9993" max="9993" width="10.6640625" style="473" customWidth="1"/>
    <col min="9994" max="10243" width="9.33203125" style="473"/>
    <col min="10244" max="10244" width="55.33203125" style="473" customWidth="1"/>
    <col min="10245" max="10245" width="8" style="473" customWidth="1"/>
    <col min="10246" max="10246" width="9.83203125" style="473" customWidth="1"/>
    <col min="10247" max="10247" width="11.33203125" style="473" customWidth="1"/>
    <col min="10248" max="10248" width="17.6640625" style="473" customWidth="1"/>
    <col min="10249" max="10249" width="10.6640625" style="473" customWidth="1"/>
    <col min="10250" max="10499" width="9.33203125" style="473"/>
    <col min="10500" max="10500" width="55.33203125" style="473" customWidth="1"/>
    <col min="10501" max="10501" width="8" style="473" customWidth="1"/>
    <col min="10502" max="10502" width="9.83203125" style="473" customWidth="1"/>
    <col min="10503" max="10503" width="11.33203125" style="473" customWidth="1"/>
    <col min="10504" max="10504" width="17.6640625" style="473" customWidth="1"/>
    <col min="10505" max="10505" width="10.6640625" style="473" customWidth="1"/>
    <col min="10506" max="10755" width="9.33203125" style="473"/>
    <col min="10756" max="10756" width="55.33203125" style="473" customWidth="1"/>
    <col min="10757" max="10757" width="8" style="473" customWidth="1"/>
    <col min="10758" max="10758" width="9.83203125" style="473" customWidth="1"/>
    <col min="10759" max="10759" width="11.33203125" style="473" customWidth="1"/>
    <col min="10760" max="10760" width="17.6640625" style="473" customWidth="1"/>
    <col min="10761" max="10761" width="10.6640625" style="473" customWidth="1"/>
    <col min="10762" max="11011" width="9.33203125" style="473"/>
    <col min="11012" max="11012" width="55.33203125" style="473" customWidth="1"/>
    <col min="11013" max="11013" width="8" style="473" customWidth="1"/>
    <col min="11014" max="11014" width="9.83203125" style="473" customWidth="1"/>
    <col min="11015" max="11015" width="11.33203125" style="473" customWidth="1"/>
    <col min="11016" max="11016" width="17.6640625" style="473" customWidth="1"/>
    <col min="11017" max="11017" width="10.6640625" style="473" customWidth="1"/>
    <col min="11018" max="11267" width="9.33203125" style="473"/>
    <col min="11268" max="11268" width="55.33203125" style="473" customWidth="1"/>
    <col min="11269" max="11269" width="8" style="473" customWidth="1"/>
    <col min="11270" max="11270" width="9.83203125" style="473" customWidth="1"/>
    <col min="11271" max="11271" width="11.33203125" style="473" customWidth="1"/>
    <col min="11272" max="11272" width="17.6640625" style="473" customWidth="1"/>
    <col min="11273" max="11273" width="10.6640625" style="473" customWidth="1"/>
    <col min="11274" max="11523" width="9.33203125" style="473"/>
    <col min="11524" max="11524" width="55.33203125" style="473" customWidth="1"/>
    <col min="11525" max="11525" width="8" style="473" customWidth="1"/>
    <col min="11526" max="11526" width="9.83203125" style="473" customWidth="1"/>
    <col min="11527" max="11527" width="11.33203125" style="473" customWidth="1"/>
    <col min="11528" max="11528" width="17.6640625" style="473" customWidth="1"/>
    <col min="11529" max="11529" width="10.6640625" style="473" customWidth="1"/>
    <col min="11530" max="11779" width="9.33203125" style="473"/>
    <col min="11780" max="11780" width="55.33203125" style="473" customWidth="1"/>
    <col min="11781" max="11781" width="8" style="473" customWidth="1"/>
    <col min="11782" max="11782" width="9.83203125" style="473" customWidth="1"/>
    <col min="11783" max="11783" width="11.33203125" style="473" customWidth="1"/>
    <col min="11784" max="11784" width="17.6640625" style="473" customWidth="1"/>
    <col min="11785" max="11785" width="10.6640625" style="473" customWidth="1"/>
    <col min="11786" max="12035" width="9.33203125" style="473"/>
    <col min="12036" max="12036" width="55.33203125" style="473" customWidth="1"/>
    <col min="12037" max="12037" width="8" style="473" customWidth="1"/>
    <col min="12038" max="12038" width="9.83203125" style="473" customWidth="1"/>
    <col min="12039" max="12039" width="11.33203125" style="473" customWidth="1"/>
    <col min="12040" max="12040" width="17.6640625" style="473" customWidth="1"/>
    <col min="12041" max="12041" width="10.6640625" style="473" customWidth="1"/>
    <col min="12042" max="12291" width="9.33203125" style="473"/>
    <col min="12292" max="12292" width="55.33203125" style="473" customWidth="1"/>
    <col min="12293" max="12293" width="8" style="473" customWidth="1"/>
    <col min="12294" max="12294" width="9.83203125" style="473" customWidth="1"/>
    <col min="12295" max="12295" width="11.33203125" style="473" customWidth="1"/>
    <col min="12296" max="12296" width="17.6640625" style="473" customWidth="1"/>
    <col min="12297" max="12297" width="10.6640625" style="473" customWidth="1"/>
    <col min="12298" max="12547" width="9.33203125" style="473"/>
    <col min="12548" max="12548" width="55.33203125" style="473" customWidth="1"/>
    <col min="12549" max="12549" width="8" style="473" customWidth="1"/>
    <col min="12550" max="12550" width="9.83203125" style="473" customWidth="1"/>
    <col min="12551" max="12551" width="11.33203125" style="473" customWidth="1"/>
    <col min="12552" max="12552" width="17.6640625" style="473" customWidth="1"/>
    <col min="12553" max="12553" width="10.6640625" style="473" customWidth="1"/>
    <col min="12554" max="12803" width="9.33203125" style="473"/>
    <col min="12804" max="12804" width="55.33203125" style="473" customWidth="1"/>
    <col min="12805" max="12805" width="8" style="473" customWidth="1"/>
    <col min="12806" max="12806" width="9.83203125" style="473" customWidth="1"/>
    <col min="12807" max="12807" width="11.33203125" style="473" customWidth="1"/>
    <col min="12808" max="12808" width="17.6640625" style="473" customWidth="1"/>
    <col min="12809" max="12809" width="10.6640625" style="473" customWidth="1"/>
    <col min="12810" max="13059" width="9.33203125" style="473"/>
    <col min="13060" max="13060" width="55.33203125" style="473" customWidth="1"/>
    <col min="13061" max="13061" width="8" style="473" customWidth="1"/>
    <col min="13062" max="13062" width="9.83203125" style="473" customWidth="1"/>
    <col min="13063" max="13063" width="11.33203125" style="473" customWidth="1"/>
    <col min="13064" max="13064" width="17.6640625" style="473" customWidth="1"/>
    <col min="13065" max="13065" width="10.6640625" style="473" customWidth="1"/>
    <col min="13066" max="13315" width="9.33203125" style="473"/>
    <col min="13316" max="13316" width="55.33203125" style="473" customWidth="1"/>
    <col min="13317" max="13317" width="8" style="473" customWidth="1"/>
    <col min="13318" max="13318" width="9.83203125" style="473" customWidth="1"/>
    <col min="13319" max="13319" width="11.33203125" style="473" customWidth="1"/>
    <col min="13320" max="13320" width="17.6640625" style="473" customWidth="1"/>
    <col min="13321" max="13321" width="10.6640625" style="473" customWidth="1"/>
    <col min="13322" max="13571" width="9.33203125" style="473"/>
    <col min="13572" max="13572" width="55.33203125" style="473" customWidth="1"/>
    <col min="13573" max="13573" width="8" style="473" customWidth="1"/>
    <col min="13574" max="13574" width="9.83203125" style="473" customWidth="1"/>
    <col min="13575" max="13575" width="11.33203125" style="473" customWidth="1"/>
    <col min="13576" max="13576" width="17.6640625" style="473" customWidth="1"/>
    <col min="13577" max="13577" width="10.6640625" style="473" customWidth="1"/>
    <col min="13578" max="13827" width="9.33203125" style="473"/>
    <col min="13828" max="13828" width="55.33203125" style="473" customWidth="1"/>
    <col min="13829" max="13829" width="8" style="473" customWidth="1"/>
    <col min="13830" max="13830" width="9.83203125" style="473" customWidth="1"/>
    <col min="13831" max="13831" width="11.33203125" style="473" customWidth="1"/>
    <col min="13832" max="13832" width="17.6640625" style="473" customWidth="1"/>
    <col min="13833" max="13833" width="10.6640625" style="473" customWidth="1"/>
    <col min="13834" max="14083" width="9.33203125" style="473"/>
    <col min="14084" max="14084" width="55.33203125" style="473" customWidth="1"/>
    <col min="14085" max="14085" width="8" style="473" customWidth="1"/>
    <col min="14086" max="14086" width="9.83203125" style="473" customWidth="1"/>
    <col min="14087" max="14087" width="11.33203125" style="473" customWidth="1"/>
    <col min="14088" max="14088" width="17.6640625" style="473" customWidth="1"/>
    <col min="14089" max="14089" width="10.6640625" style="473" customWidth="1"/>
    <col min="14090" max="14339" width="9.33203125" style="473"/>
    <col min="14340" max="14340" width="55.33203125" style="473" customWidth="1"/>
    <col min="14341" max="14341" width="8" style="473" customWidth="1"/>
    <col min="14342" max="14342" width="9.83203125" style="473" customWidth="1"/>
    <col min="14343" max="14343" width="11.33203125" style="473" customWidth="1"/>
    <col min="14344" max="14344" width="17.6640625" style="473" customWidth="1"/>
    <col min="14345" max="14345" width="10.6640625" style="473" customWidth="1"/>
    <col min="14346" max="14595" width="9.33203125" style="473"/>
    <col min="14596" max="14596" width="55.33203125" style="473" customWidth="1"/>
    <col min="14597" max="14597" width="8" style="473" customWidth="1"/>
    <col min="14598" max="14598" width="9.83203125" style="473" customWidth="1"/>
    <col min="14599" max="14599" width="11.33203125" style="473" customWidth="1"/>
    <col min="14600" max="14600" width="17.6640625" style="473" customWidth="1"/>
    <col min="14601" max="14601" width="10.6640625" style="473" customWidth="1"/>
    <col min="14602" max="14851" width="9.33203125" style="473"/>
    <col min="14852" max="14852" width="55.33203125" style="473" customWidth="1"/>
    <col min="14853" max="14853" width="8" style="473" customWidth="1"/>
    <col min="14854" max="14854" width="9.83203125" style="473" customWidth="1"/>
    <col min="14855" max="14855" width="11.33203125" style="473" customWidth="1"/>
    <col min="14856" max="14856" width="17.6640625" style="473" customWidth="1"/>
    <col min="14857" max="14857" width="10.6640625" style="473" customWidth="1"/>
    <col min="14858" max="15107" width="9.33203125" style="473"/>
    <col min="15108" max="15108" width="55.33203125" style="473" customWidth="1"/>
    <col min="15109" max="15109" width="8" style="473" customWidth="1"/>
    <col min="15110" max="15110" width="9.83203125" style="473" customWidth="1"/>
    <col min="15111" max="15111" width="11.33203125" style="473" customWidth="1"/>
    <col min="15112" max="15112" width="17.6640625" style="473" customWidth="1"/>
    <col min="15113" max="15113" width="10.6640625" style="473" customWidth="1"/>
    <col min="15114" max="15363" width="9.33203125" style="473"/>
    <col min="15364" max="15364" width="55.33203125" style="473" customWidth="1"/>
    <col min="15365" max="15365" width="8" style="473" customWidth="1"/>
    <col min="15366" max="15366" width="9.83203125" style="473" customWidth="1"/>
    <col min="15367" max="15367" width="11.33203125" style="473" customWidth="1"/>
    <col min="15368" max="15368" width="17.6640625" style="473" customWidth="1"/>
    <col min="15369" max="15369" width="10.6640625" style="473" customWidth="1"/>
    <col min="15370" max="15619" width="9.33203125" style="473"/>
    <col min="15620" max="15620" width="55.33203125" style="473" customWidth="1"/>
    <col min="15621" max="15621" width="8" style="473" customWidth="1"/>
    <col min="15622" max="15622" width="9.83203125" style="473" customWidth="1"/>
    <col min="15623" max="15623" width="11.33203125" style="473" customWidth="1"/>
    <col min="15624" max="15624" width="17.6640625" style="473" customWidth="1"/>
    <col min="15625" max="15625" width="10.6640625" style="473" customWidth="1"/>
    <col min="15626" max="15875" width="9.33203125" style="473"/>
    <col min="15876" max="15876" width="55.33203125" style="473" customWidth="1"/>
    <col min="15877" max="15877" width="8" style="473" customWidth="1"/>
    <col min="15878" max="15878" width="9.83203125" style="473" customWidth="1"/>
    <col min="15879" max="15879" width="11.33203125" style="473" customWidth="1"/>
    <col min="15880" max="15880" width="17.6640625" style="473" customWidth="1"/>
    <col min="15881" max="15881" width="10.6640625" style="473" customWidth="1"/>
    <col min="15882" max="16131" width="9.33203125" style="473"/>
    <col min="16132" max="16132" width="55.33203125" style="473" customWidth="1"/>
    <col min="16133" max="16133" width="8" style="473" customWidth="1"/>
    <col min="16134" max="16134" width="9.83203125" style="473" customWidth="1"/>
    <col min="16135" max="16135" width="11.33203125" style="473" customWidth="1"/>
    <col min="16136" max="16136" width="17.6640625" style="473" customWidth="1"/>
    <col min="16137" max="16137" width="10.6640625" style="473" customWidth="1"/>
    <col min="16138" max="16384" width="9.33203125" style="473"/>
  </cols>
  <sheetData>
    <row r="1" spans="1:9" s="472" customFormat="1" ht="15.75" customHeight="1">
      <c r="A1" s="471" t="s">
        <v>3</v>
      </c>
      <c r="B1" s="807" t="str">
        <f>Rekapitulace!K4</f>
        <v>Stavební úpravy, vestavba a přístavba stávajícího objektu</v>
      </c>
      <c r="C1" s="807"/>
      <c r="D1" s="807"/>
      <c r="E1" s="807"/>
      <c r="F1" s="807"/>
      <c r="G1" s="807"/>
      <c r="H1" s="807"/>
      <c r="I1" s="809"/>
    </row>
    <row r="2" spans="1:9" ht="12.75" customHeight="1">
      <c r="A2" s="803"/>
      <c r="B2" s="804"/>
      <c r="C2" s="804"/>
      <c r="D2" s="804"/>
      <c r="E2" s="804"/>
      <c r="F2" s="804"/>
      <c r="G2" s="804"/>
      <c r="H2" s="804"/>
      <c r="I2" s="806"/>
    </row>
    <row r="3" spans="1:9" ht="27" customHeight="1">
      <c r="A3" s="520" t="s">
        <v>124</v>
      </c>
      <c r="B3" s="521" t="str">
        <f>Rekapitulace!E24</f>
        <v>REV01</v>
      </c>
      <c r="C3" s="522"/>
      <c r="D3" s="522"/>
      <c r="E3" s="522">
        <f>Rekapitulace!H24</f>
        <v>45104</v>
      </c>
      <c r="F3" s="835" t="str">
        <f>Rekapitulace!K24</f>
        <v>Úprava popisů a položek ve vyznačených listech</v>
      </c>
      <c r="G3" s="835"/>
      <c r="H3" s="835"/>
      <c r="I3" s="836"/>
    </row>
    <row r="4" spans="1:9" ht="12.75" customHeight="1">
      <c r="A4" s="803"/>
      <c r="B4" s="804"/>
      <c r="C4" s="804"/>
      <c r="D4" s="804"/>
      <c r="E4" s="804"/>
      <c r="F4" s="804"/>
      <c r="G4" s="804"/>
      <c r="H4" s="804"/>
      <c r="I4" s="806"/>
    </row>
    <row r="5" spans="1:9" s="472" customFormat="1" ht="15.75" thickBot="1">
      <c r="A5" s="820" t="s">
        <v>528</v>
      </c>
      <c r="B5" s="821"/>
      <c r="C5" s="821"/>
      <c r="D5" s="821"/>
      <c r="E5" s="821"/>
      <c r="F5" s="821"/>
      <c r="G5" s="821"/>
      <c r="H5" s="821"/>
      <c r="I5" s="822"/>
    </row>
    <row r="6" spans="1:9" s="472" customFormat="1" ht="16.5" customHeight="1" thickBot="1">
      <c r="A6" s="474" t="s">
        <v>11</v>
      </c>
      <c r="B6" s="828">
        <f>Rekapitulace!K11</f>
        <v>0</v>
      </c>
      <c r="C6" s="828"/>
      <c r="D6" s="828"/>
      <c r="E6" s="828"/>
      <c r="F6" s="828"/>
      <c r="G6" s="828"/>
      <c r="H6" s="828"/>
      <c r="I6" s="829"/>
    </row>
    <row r="7" spans="1:9" s="472" customFormat="1" ht="3.75" customHeight="1">
      <c r="A7" s="823"/>
      <c r="B7" s="823"/>
      <c r="C7" s="823"/>
      <c r="D7" s="823"/>
      <c r="E7" s="823"/>
      <c r="F7" s="823"/>
      <c r="G7" s="823"/>
      <c r="H7" s="823"/>
      <c r="I7" s="823"/>
    </row>
    <row r="8" spans="1:9" s="475" customFormat="1" ht="42.75" customHeight="1">
      <c r="A8" s="824" t="s">
        <v>125</v>
      </c>
      <c r="B8" s="825"/>
      <c r="C8" s="825"/>
      <c r="D8" s="825"/>
      <c r="E8" s="825"/>
      <c r="F8" s="825"/>
      <c r="G8" s="825"/>
      <c r="H8" s="825"/>
      <c r="I8" s="826"/>
    </row>
    <row r="9" spans="1:9" ht="6" customHeight="1">
      <c r="A9" s="827"/>
      <c r="B9" s="827"/>
      <c r="C9" s="827"/>
      <c r="D9" s="827"/>
      <c r="E9" s="827"/>
      <c r="F9" s="827"/>
      <c r="G9" s="827"/>
      <c r="H9" s="827"/>
      <c r="I9" s="827"/>
    </row>
    <row r="10" spans="1:9" s="478" customFormat="1" ht="45">
      <c r="A10" s="476" t="s">
        <v>126</v>
      </c>
      <c r="B10" s="476" t="s">
        <v>127</v>
      </c>
      <c r="C10" s="31" t="s">
        <v>2479</v>
      </c>
      <c r="D10" s="31" t="s">
        <v>2487</v>
      </c>
      <c r="E10" s="31" t="s">
        <v>2478</v>
      </c>
      <c r="F10" s="32" t="s">
        <v>128</v>
      </c>
      <c r="G10" s="33" t="s">
        <v>2488</v>
      </c>
      <c r="H10" s="33" t="s">
        <v>2477</v>
      </c>
      <c r="I10" s="477" t="s">
        <v>129</v>
      </c>
    </row>
    <row r="11" spans="1:9" ht="5.25" customHeight="1" thickBot="1">
      <c r="A11" s="479"/>
      <c r="B11" s="480"/>
      <c r="C11" s="34"/>
      <c r="D11" s="34"/>
      <c r="E11" s="34"/>
      <c r="F11" s="22"/>
      <c r="G11" s="35"/>
      <c r="H11" s="35"/>
      <c r="I11" s="481"/>
    </row>
    <row r="12" spans="1:9" ht="17.45" customHeight="1" thickBot="1">
      <c r="A12" s="810" t="s">
        <v>130</v>
      </c>
      <c r="B12" s="811"/>
      <c r="C12" s="811"/>
      <c r="D12" s="811"/>
      <c r="E12" s="811"/>
      <c r="F12" s="811"/>
      <c r="G12" s="811"/>
      <c r="H12" s="811"/>
      <c r="I12" s="812"/>
    </row>
    <row r="13" spans="1:9" ht="13.5" thickBot="1">
      <c r="A13" s="482" t="s">
        <v>529</v>
      </c>
      <c r="B13" s="483"/>
      <c r="C13" s="36"/>
      <c r="D13" s="36"/>
      <c r="E13" s="36"/>
      <c r="F13" s="484"/>
      <c r="G13" s="37">
        <f>SUM(G14:G15)</f>
        <v>0</v>
      </c>
      <c r="H13" s="37">
        <f>SUM(H14:H15)</f>
        <v>0</v>
      </c>
      <c r="I13" s="485" t="s">
        <v>131</v>
      </c>
    </row>
    <row r="14" spans="1:9">
      <c r="A14" s="500" t="s">
        <v>530</v>
      </c>
      <c r="B14" s="491" t="s">
        <v>81</v>
      </c>
      <c r="C14" s="87">
        <v>1</v>
      </c>
      <c r="D14" s="87"/>
      <c r="E14" s="87">
        <f>C14-D14</f>
        <v>1</v>
      </c>
      <c r="F14" s="90"/>
      <c r="G14" s="89">
        <f>F14*D14</f>
        <v>0</v>
      </c>
      <c r="H14" s="89">
        <f>F14*E14</f>
        <v>0</v>
      </c>
      <c r="I14" s="499"/>
    </row>
    <row r="15" spans="1:9" ht="4.5" customHeight="1" thickBot="1">
      <c r="A15" s="493"/>
      <c r="B15" s="494"/>
      <c r="C15" s="38"/>
      <c r="D15" s="38"/>
      <c r="E15" s="38"/>
      <c r="F15" s="201"/>
      <c r="G15" s="22"/>
      <c r="H15" s="22"/>
      <c r="I15" s="495"/>
    </row>
    <row r="16" spans="1:9" ht="13.5" thickBot="1">
      <c r="A16" s="482" t="s">
        <v>531</v>
      </c>
      <c r="B16" s="496"/>
      <c r="C16" s="39"/>
      <c r="D16" s="39"/>
      <c r="E16" s="39"/>
      <c r="F16" s="202"/>
      <c r="G16" s="37">
        <f>SUM(G17:G19)</f>
        <v>0</v>
      </c>
      <c r="H16" s="37">
        <f>SUM(H17:H19)</f>
        <v>0</v>
      </c>
      <c r="I16" s="485" t="s">
        <v>131</v>
      </c>
    </row>
    <row r="17" spans="1:9">
      <c r="A17" s="500" t="s">
        <v>532</v>
      </c>
      <c r="B17" s="491" t="s">
        <v>67</v>
      </c>
      <c r="C17" s="87">
        <v>2</v>
      </c>
      <c r="D17" s="87"/>
      <c r="E17" s="87">
        <f>C17-D17</f>
        <v>2</v>
      </c>
      <c r="F17" s="90"/>
      <c r="G17" s="89">
        <f>F17*D17</f>
        <v>0</v>
      </c>
      <c r="H17" s="89">
        <f>F17*E17</f>
        <v>0</v>
      </c>
      <c r="I17" s="499"/>
    </row>
    <row r="18" spans="1:9">
      <c r="A18" s="500" t="s">
        <v>533</v>
      </c>
      <c r="B18" s="491" t="s">
        <v>67</v>
      </c>
      <c r="C18" s="87">
        <f>SUM(C17:C17)</f>
        <v>2</v>
      </c>
      <c r="D18" s="87"/>
      <c r="E18" s="87">
        <f>C18-D18</f>
        <v>2</v>
      </c>
      <c r="F18" s="90"/>
      <c r="G18" s="89">
        <f>F18*D18</f>
        <v>0</v>
      </c>
      <c r="H18" s="89">
        <f>F18*E18</f>
        <v>0</v>
      </c>
      <c r="I18" s="499"/>
    </row>
    <row r="19" spans="1:9">
      <c r="A19" s="500" t="s">
        <v>282</v>
      </c>
      <c r="B19" s="491" t="s">
        <v>67</v>
      </c>
      <c r="C19" s="87">
        <f>C18</f>
        <v>2</v>
      </c>
      <c r="D19" s="87"/>
      <c r="E19" s="87">
        <f>C19-D19</f>
        <v>2</v>
      </c>
      <c r="F19" s="90"/>
      <c r="G19" s="89">
        <f>F19*D19</f>
        <v>0</v>
      </c>
      <c r="H19" s="89">
        <f>F19*E19</f>
        <v>0</v>
      </c>
      <c r="I19" s="499"/>
    </row>
    <row r="20" spans="1:9" ht="6" customHeight="1" thickBot="1">
      <c r="A20" s="501"/>
      <c r="B20" s="502"/>
      <c r="C20" s="40"/>
      <c r="D20" s="40"/>
      <c r="E20" s="40"/>
      <c r="F20" s="201"/>
      <c r="G20" s="22"/>
      <c r="H20" s="22"/>
      <c r="I20" s="495"/>
    </row>
    <row r="21" spans="1:9" ht="13.5" thickBot="1">
      <c r="A21" s="482" t="s">
        <v>1312</v>
      </c>
      <c r="B21" s="496"/>
      <c r="C21" s="39"/>
      <c r="D21" s="39"/>
      <c r="E21" s="39"/>
      <c r="F21" s="202"/>
      <c r="G21" s="37">
        <f>SUM(G22:G23)</f>
        <v>0</v>
      </c>
      <c r="H21" s="37">
        <f>SUM(H22:H23)</f>
        <v>0</v>
      </c>
      <c r="I21" s="485" t="s">
        <v>131</v>
      </c>
    </row>
    <row r="22" spans="1:9">
      <c r="A22" s="500" t="s">
        <v>1313</v>
      </c>
      <c r="B22" s="491" t="s">
        <v>81</v>
      </c>
      <c r="C22" s="87">
        <v>84</v>
      </c>
      <c r="D22" s="87">
        <v>4</v>
      </c>
      <c r="E22" s="87">
        <f>C22-D22</f>
        <v>80</v>
      </c>
      <c r="F22" s="90"/>
      <c r="G22" s="89">
        <f>F22*D22</f>
        <v>0</v>
      </c>
      <c r="H22" s="89">
        <f>F22*E22</f>
        <v>0</v>
      </c>
      <c r="I22" s="499"/>
    </row>
    <row r="23" spans="1:9">
      <c r="A23" s="500" t="s">
        <v>1314</v>
      </c>
      <c r="B23" s="491" t="s">
        <v>81</v>
      </c>
      <c r="C23" s="87">
        <v>84</v>
      </c>
      <c r="D23" s="87">
        <f>D22</f>
        <v>4</v>
      </c>
      <c r="E23" s="87">
        <f>C23-D23</f>
        <v>80</v>
      </c>
      <c r="F23" s="90"/>
      <c r="G23" s="89">
        <f>F23*D23</f>
        <v>0</v>
      </c>
      <c r="H23" s="89">
        <f>F23*E23</f>
        <v>0</v>
      </c>
      <c r="I23" s="499"/>
    </row>
    <row r="24" spans="1:9" ht="6" customHeight="1" thickBot="1">
      <c r="A24" s="501"/>
      <c r="B24" s="502"/>
      <c r="C24" s="40"/>
      <c r="D24" s="40"/>
      <c r="E24" s="40"/>
      <c r="F24" s="201"/>
      <c r="G24" s="22"/>
      <c r="H24" s="22"/>
      <c r="I24" s="495"/>
    </row>
    <row r="25" spans="1:9" ht="13.5" thickBot="1">
      <c r="A25" s="482" t="s">
        <v>1315</v>
      </c>
      <c r="B25" s="496"/>
      <c r="C25" s="39"/>
      <c r="D25" s="39"/>
      <c r="E25" s="39"/>
      <c r="F25" s="202"/>
      <c r="G25" s="37">
        <f>SUM(G26:G28)</f>
        <v>0</v>
      </c>
      <c r="H25" s="37">
        <f>SUM(H26:H28)</f>
        <v>0</v>
      </c>
      <c r="I25" s="485" t="s">
        <v>131</v>
      </c>
    </row>
    <row r="26" spans="1:9">
      <c r="A26" s="500" t="s">
        <v>1316</v>
      </c>
      <c r="B26" s="491" t="s">
        <v>67</v>
      </c>
      <c r="C26" s="87">
        <v>2</v>
      </c>
      <c r="D26" s="87">
        <v>2</v>
      </c>
      <c r="E26" s="87">
        <f>C26-D26</f>
        <v>0</v>
      </c>
      <c r="F26" s="90"/>
      <c r="G26" s="89">
        <f>F26*D26</f>
        <v>0</v>
      </c>
      <c r="H26" s="89">
        <f>F26*E26</f>
        <v>0</v>
      </c>
      <c r="I26" s="499"/>
    </row>
    <row r="27" spans="1:9">
      <c r="A27" s="500" t="s">
        <v>1317</v>
      </c>
      <c r="B27" s="491" t="s">
        <v>67</v>
      </c>
      <c r="C27" s="87">
        <f>SUM(C26:C26)</f>
        <v>2</v>
      </c>
      <c r="D27" s="87"/>
      <c r="E27" s="87">
        <f>C27-D27</f>
        <v>2</v>
      </c>
      <c r="F27" s="90"/>
      <c r="G27" s="89">
        <f>F27*D27</f>
        <v>0</v>
      </c>
      <c r="H27" s="89">
        <f>F27*E27</f>
        <v>0</v>
      </c>
      <c r="I27" s="499"/>
    </row>
    <row r="28" spans="1:9">
      <c r="A28" s="500" t="s">
        <v>1318</v>
      </c>
      <c r="B28" s="491" t="s">
        <v>67</v>
      </c>
      <c r="C28" s="87">
        <f>C27</f>
        <v>2</v>
      </c>
      <c r="D28" s="87"/>
      <c r="E28" s="87">
        <f>C28-D28</f>
        <v>2</v>
      </c>
      <c r="F28" s="90"/>
      <c r="G28" s="89">
        <f>F28*D28</f>
        <v>0</v>
      </c>
      <c r="H28" s="89">
        <f>F28*E28</f>
        <v>0</v>
      </c>
      <c r="I28" s="499"/>
    </row>
    <row r="29" spans="1:9" ht="6" customHeight="1" thickBot="1">
      <c r="A29" s="501"/>
      <c r="B29" s="502"/>
      <c r="C29" s="40"/>
      <c r="D29" s="40"/>
      <c r="E29" s="40"/>
      <c r="F29" s="201"/>
      <c r="G29" s="22"/>
      <c r="H29" s="22"/>
      <c r="I29" s="495"/>
    </row>
    <row r="30" spans="1:9" ht="26.25" thickBot="1">
      <c r="A30" s="524" t="s">
        <v>2448</v>
      </c>
      <c r="B30" s="496"/>
      <c r="C30" s="39"/>
      <c r="D30" s="39"/>
      <c r="E30" s="39"/>
      <c r="F30" s="202"/>
      <c r="G30" s="37">
        <f>SUM(G31:G32)</f>
        <v>0</v>
      </c>
      <c r="H30" s="37">
        <f>SUM(H31:H32)</f>
        <v>0</v>
      </c>
      <c r="I30" s="485" t="s">
        <v>131</v>
      </c>
    </row>
    <row r="31" spans="1:9">
      <c r="A31" s="500" t="s">
        <v>1320</v>
      </c>
      <c r="B31" s="491" t="s">
        <v>67</v>
      </c>
      <c r="C31" s="87">
        <v>2</v>
      </c>
      <c r="D31" s="87"/>
      <c r="E31" s="87">
        <f>C31-D31</f>
        <v>2</v>
      </c>
      <c r="F31" s="90"/>
      <c r="G31" s="89">
        <f>F31*D31</f>
        <v>0</v>
      </c>
      <c r="H31" s="89">
        <f>F31*E31</f>
        <v>0</v>
      </c>
      <c r="I31" s="499"/>
    </row>
    <row r="32" spans="1:9">
      <c r="A32" s="500" t="s">
        <v>1321</v>
      </c>
      <c r="B32" s="491" t="s">
        <v>67</v>
      </c>
      <c r="C32" s="87">
        <v>2</v>
      </c>
      <c r="D32" s="87"/>
      <c r="E32" s="87">
        <f>C32-D32</f>
        <v>2</v>
      </c>
      <c r="F32" s="90"/>
      <c r="G32" s="89">
        <f>F32*D32</f>
        <v>0</v>
      </c>
      <c r="H32" s="89">
        <f>F32*E32</f>
        <v>0</v>
      </c>
      <c r="I32" s="499"/>
    </row>
    <row r="33" spans="1:11" ht="4.5" customHeight="1" thickBot="1">
      <c r="A33" s="493"/>
      <c r="B33" s="494"/>
      <c r="C33" s="38"/>
      <c r="D33" s="38"/>
      <c r="E33" s="38"/>
      <c r="F33" s="201"/>
      <c r="G33" s="22"/>
      <c r="H33" s="22"/>
      <c r="I33" s="495"/>
    </row>
    <row r="34" spans="1:11" ht="13.5" thickBot="1">
      <c r="A34" s="482" t="s">
        <v>1319</v>
      </c>
      <c r="B34" s="483"/>
      <c r="C34" s="36"/>
      <c r="D34" s="36"/>
      <c r="E34" s="36"/>
      <c r="F34" s="74"/>
      <c r="G34" s="37">
        <f>SUM(G35:G41)</f>
        <v>0</v>
      </c>
      <c r="H34" s="37">
        <f>SUM(H35:H41)</f>
        <v>0</v>
      </c>
      <c r="I34" s="485" t="s">
        <v>131</v>
      </c>
    </row>
    <row r="35" spans="1:11">
      <c r="A35" s="500" t="s">
        <v>534</v>
      </c>
      <c r="B35" s="491" t="s">
        <v>67</v>
      </c>
      <c r="C35" s="87">
        <v>8</v>
      </c>
      <c r="D35" s="87">
        <v>1</v>
      </c>
      <c r="E35" s="87">
        <f>C35-D35</f>
        <v>7</v>
      </c>
      <c r="F35" s="90"/>
      <c r="G35" s="89">
        <f t="shared" ref="G35:G41" si="0">F35*D35</f>
        <v>0</v>
      </c>
      <c r="H35" s="89">
        <f t="shared" ref="H35:H41" si="1">F35*E35</f>
        <v>0</v>
      </c>
      <c r="I35" s="499"/>
    </row>
    <row r="36" spans="1:11">
      <c r="A36" s="500" t="s">
        <v>505</v>
      </c>
      <c r="B36" s="491" t="s">
        <v>67</v>
      </c>
      <c r="C36" s="87">
        <v>1</v>
      </c>
      <c r="D36" s="87"/>
      <c r="E36" s="87">
        <f>C36-D36</f>
        <v>1</v>
      </c>
      <c r="F36" s="90"/>
      <c r="G36" s="89">
        <f t="shared" si="0"/>
        <v>0</v>
      </c>
      <c r="H36" s="89">
        <f t="shared" si="1"/>
        <v>0</v>
      </c>
      <c r="I36" s="499"/>
    </row>
    <row r="37" spans="1:11">
      <c r="A37" s="500" t="s">
        <v>506</v>
      </c>
      <c r="B37" s="491" t="s">
        <v>70</v>
      </c>
      <c r="C37" s="87">
        <f>SUM(D37:E37)</f>
        <v>0</v>
      </c>
      <c r="D37" s="87">
        <f>SUM(G13:G33)/2</f>
        <v>0</v>
      </c>
      <c r="E37" s="87">
        <f>SUM(H13:H33)/2</f>
        <v>0</v>
      </c>
      <c r="F37" s="205"/>
      <c r="G37" s="89">
        <f t="shared" si="0"/>
        <v>0</v>
      </c>
      <c r="H37" s="89">
        <f t="shared" si="1"/>
        <v>0</v>
      </c>
      <c r="I37" s="499"/>
    </row>
    <row r="38" spans="1:11">
      <c r="A38" s="500" t="s">
        <v>507</v>
      </c>
      <c r="B38" s="491" t="s">
        <v>81</v>
      </c>
      <c r="C38" s="87">
        <f>C14+C22</f>
        <v>85</v>
      </c>
      <c r="D38" s="87">
        <f>D22</f>
        <v>4</v>
      </c>
      <c r="E38" s="87">
        <f>C38-D38</f>
        <v>81</v>
      </c>
      <c r="F38" s="90"/>
      <c r="G38" s="89">
        <f t="shared" si="0"/>
        <v>0</v>
      </c>
      <c r="H38" s="89">
        <f t="shared" si="1"/>
        <v>0</v>
      </c>
      <c r="I38" s="499"/>
    </row>
    <row r="39" spans="1:11">
      <c r="A39" s="500" t="s">
        <v>535</v>
      </c>
      <c r="B39" s="491" t="s">
        <v>67</v>
      </c>
      <c r="C39" s="87">
        <v>1</v>
      </c>
      <c r="D39" s="87"/>
      <c r="E39" s="87">
        <f>C39-D39</f>
        <v>1</v>
      </c>
      <c r="F39" s="90"/>
      <c r="G39" s="89">
        <f t="shared" si="0"/>
        <v>0</v>
      </c>
      <c r="H39" s="89">
        <f t="shared" si="1"/>
        <v>0</v>
      </c>
      <c r="I39" s="499"/>
    </row>
    <row r="40" spans="1:11">
      <c r="A40" s="500" t="s">
        <v>509</v>
      </c>
      <c r="B40" s="491" t="s">
        <v>67</v>
      </c>
      <c r="C40" s="87">
        <v>1</v>
      </c>
      <c r="D40" s="87"/>
      <c r="E40" s="87">
        <f>C40-D40</f>
        <v>1</v>
      </c>
      <c r="F40" s="90"/>
      <c r="G40" s="89">
        <f t="shared" si="0"/>
        <v>0</v>
      </c>
      <c r="H40" s="89">
        <f t="shared" si="1"/>
        <v>0</v>
      </c>
      <c r="I40" s="499"/>
    </row>
    <row r="41" spans="1:11">
      <c r="A41" s="500" t="s">
        <v>510</v>
      </c>
      <c r="B41" s="491" t="s">
        <v>511</v>
      </c>
      <c r="C41" s="87">
        <v>4</v>
      </c>
      <c r="D41" s="87"/>
      <c r="E41" s="87">
        <f>C41-D41</f>
        <v>4</v>
      </c>
      <c r="F41" s="90"/>
      <c r="G41" s="89">
        <f t="shared" si="0"/>
        <v>0</v>
      </c>
      <c r="H41" s="89">
        <f t="shared" si="1"/>
        <v>0</v>
      </c>
      <c r="I41" s="499"/>
    </row>
    <row r="42" spans="1:11" ht="6" customHeight="1" thickBot="1">
      <c r="A42" s="501"/>
      <c r="B42" s="502"/>
      <c r="C42" s="40"/>
      <c r="D42" s="40"/>
      <c r="E42" s="40"/>
      <c r="F42" s="201"/>
      <c r="G42" s="22"/>
      <c r="H42" s="22"/>
      <c r="I42" s="495"/>
    </row>
    <row r="43" spans="1:11" ht="16.899999999999999" customHeight="1" thickBot="1">
      <c r="A43" s="505" t="s">
        <v>207</v>
      </c>
      <c r="B43" s="506"/>
      <c r="C43" s="41"/>
      <c r="D43" s="41"/>
      <c r="E43" s="41"/>
      <c r="F43" s="24"/>
      <c r="G43" s="25">
        <f>SUM(G12:G42)/2</f>
        <v>0</v>
      </c>
      <c r="H43" s="25">
        <f>SUM(H12:H42)/2</f>
        <v>0</v>
      </c>
      <c r="I43" s="507" t="s">
        <v>131</v>
      </c>
      <c r="K43" s="508">
        <f>SUM(G13:H43)/3</f>
        <v>0</v>
      </c>
    </row>
    <row r="44" spans="1:11">
      <c r="A44" s="509"/>
      <c r="B44" s="510"/>
      <c r="C44" s="23"/>
      <c r="D44" s="23"/>
      <c r="E44" s="23"/>
      <c r="F44" s="21"/>
      <c r="G44" s="21"/>
      <c r="H44" s="21"/>
      <c r="I44" s="511"/>
    </row>
    <row r="45" spans="1:11">
      <c r="A45" s="831" t="s">
        <v>132</v>
      </c>
      <c r="B45" s="831"/>
      <c r="C45" s="831"/>
      <c r="D45" s="831"/>
      <c r="E45" s="831"/>
      <c r="F45" s="831"/>
      <c r="G45" s="831"/>
      <c r="H45" s="831"/>
      <c r="I45" s="831"/>
      <c r="J45" s="512"/>
    </row>
    <row r="46" spans="1:11" ht="4.9000000000000004" customHeight="1">
      <c r="A46" s="513"/>
      <c r="B46" s="514"/>
      <c r="C46" s="26"/>
      <c r="D46" s="26"/>
      <c r="E46" s="26"/>
      <c r="F46" s="27"/>
      <c r="G46" s="28"/>
      <c r="H46" s="28"/>
      <c r="I46" s="512"/>
      <c r="J46" s="512"/>
    </row>
    <row r="47" spans="1:11">
      <c r="A47" s="830" t="s">
        <v>133</v>
      </c>
      <c r="B47" s="830"/>
      <c r="C47" s="830"/>
      <c r="D47" s="830"/>
      <c r="E47" s="830"/>
      <c r="F47" s="830"/>
      <c r="G47" s="830"/>
      <c r="H47" s="830"/>
      <c r="I47" s="830"/>
      <c r="J47" s="512"/>
    </row>
    <row r="48" spans="1:11">
      <c r="A48" s="830" t="s">
        <v>134</v>
      </c>
      <c r="B48" s="830"/>
      <c r="C48" s="830"/>
      <c r="D48" s="830"/>
      <c r="E48" s="830"/>
      <c r="F48" s="830"/>
      <c r="G48" s="830"/>
      <c r="H48" s="830"/>
      <c r="I48" s="830"/>
      <c r="J48" s="512"/>
    </row>
    <row r="49" spans="1:10">
      <c r="A49" s="830" t="s">
        <v>135</v>
      </c>
      <c r="B49" s="830"/>
      <c r="C49" s="830"/>
      <c r="D49" s="830"/>
      <c r="E49" s="830"/>
      <c r="F49" s="830"/>
      <c r="G49" s="830"/>
      <c r="H49" s="830"/>
      <c r="I49" s="830"/>
      <c r="J49" s="512"/>
    </row>
    <row r="50" spans="1:10" ht="7.9" customHeight="1">
      <c r="A50" s="513"/>
      <c r="B50" s="514"/>
      <c r="C50" s="26"/>
      <c r="D50" s="26"/>
      <c r="E50" s="26"/>
      <c r="F50" s="27"/>
      <c r="G50" s="28"/>
      <c r="H50" s="28"/>
      <c r="I50" s="512"/>
      <c r="J50" s="512"/>
    </row>
    <row r="51" spans="1:10" ht="33.6" customHeight="1">
      <c r="A51" s="813" t="s">
        <v>136</v>
      </c>
      <c r="B51" s="813"/>
      <c r="C51" s="813"/>
      <c r="D51" s="813"/>
      <c r="E51" s="813"/>
      <c r="F51" s="813"/>
      <c r="G51" s="813"/>
      <c r="H51" s="813"/>
      <c r="I51" s="813"/>
      <c r="J51" s="515"/>
    </row>
    <row r="52" spans="1:10" ht="6.75" customHeight="1">
      <c r="A52" s="513"/>
      <c r="B52" s="514"/>
      <c r="C52" s="26"/>
      <c r="D52" s="26"/>
      <c r="E52" s="26"/>
      <c r="F52" s="27"/>
      <c r="G52" s="28"/>
      <c r="H52" s="28"/>
      <c r="I52" s="512"/>
      <c r="J52" s="512"/>
    </row>
    <row r="53" spans="1:10" ht="69.75" customHeight="1">
      <c r="A53" s="813" t="s">
        <v>137</v>
      </c>
      <c r="B53" s="813"/>
      <c r="C53" s="813"/>
      <c r="D53" s="813"/>
      <c r="E53" s="813"/>
      <c r="F53" s="813"/>
      <c r="G53" s="813"/>
      <c r="H53" s="813"/>
      <c r="I53" s="813"/>
      <c r="J53" s="515"/>
    </row>
    <row r="54" spans="1:10" ht="5.45" customHeight="1">
      <c r="A54" s="513"/>
      <c r="B54" s="514"/>
      <c r="C54" s="26"/>
      <c r="D54" s="26"/>
      <c r="E54" s="26"/>
      <c r="F54" s="27"/>
      <c r="G54" s="28"/>
      <c r="H54" s="28"/>
      <c r="I54" s="512"/>
      <c r="J54" s="512"/>
    </row>
    <row r="55" spans="1:10" ht="14.25" customHeight="1">
      <c r="A55" s="814" t="s">
        <v>138</v>
      </c>
      <c r="B55" s="814"/>
      <c r="C55" s="814"/>
      <c r="D55" s="814"/>
      <c r="E55" s="814"/>
      <c r="F55" s="814"/>
      <c r="G55" s="814"/>
      <c r="H55" s="814"/>
      <c r="I55" s="814"/>
      <c r="J55" s="516"/>
    </row>
    <row r="56" spans="1:10" ht="4.1500000000000004" customHeight="1">
      <c r="A56" s="513"/>
      <c r="B56" s="514"/>
      <c r="C56" s="26"/>
      <c r="D56" s="26"/>
      <c r="E56" s="26"/>
      <c r="F56" s="27"/>
      <c r="G56" s="28"/>
      <c r="H56" s="28"/>
      <c r="I56" s="512"/>
      <c r="J56" s="512"/>
    </row>
    <row r="57" spans="1:10" ht="25.5" customHeight="1">
      <c r="A57" s="815" t="s">
        <v>139</v>
      </c>
      <c r="B57" s="815"/>
      <c r="C57" s="815"/>
      <c r="D57" s="815"/>
      <c r="E57" s="815"/>
      <c r="F57" s="815"/>
      <c r="G57" s="815"/>
      <c r="H57" s="815"/>
      <c r="I57" s="815"/>
      <c r="J57" s="516"/>
    </row>
    <row r="58" spans="1:10" ht="3" customHeight="1">
      <c r="A58" s="509"/>
      <c r="B58" s="510"/>
      <c r="C58" s="23"/>
      <c r="D58" s="23"/>
      <c r="E58" s="23"/>
      <c r="F58" s="21"/>
      <c r="G58" s="21"/>
      <c r="H58" s="21"/>
      <c r="I58" s="511"/>
    </row>
    <row r="59" spans="1:10">
      <c r="A59" s="509"/>
      <c r="B59" s="510"/>
      <c r="C59" s="23"/>
      <c r="D59" s="23"/>
      <c r="E59" s="23"/>
      <c r="F59" s="21"/>
      <c r="G59" s="21"/>
      <c r="H59" s="21"/>
      <c r="I59" s="511"/>
    </row>
    <row r="60" spans="1:10">
      <c r="A60" s="509"/>
      <c r="B60" s="510"/>
      <c r="C60" s="23"/>
      <c r="D60" s="23"/>
      <c r="E60" s="23"/>
      <c r="F60" s="21"/>
      <c r="G60" s="21"/>
      <c r="H60" s="21"/>
      <c r="I60" s="511"/>
    </row>
    <row r="61" spans="1:10">
      <c r="A61" s="509"/>
      <c r="B61" s="510"/>
      <c r="C61" s="23"/>
      <c r="D61" s="23"/>
      <c r="E61" s="23"/>
      <c r="F61" s="21"/>
      <c r="G61" s="21"/>
      <c r="H61" s="21"/>
      <c r="I61" s="511"/>
    </row>
    <row r="62" spans="1:10">
      <c r="A62" s="509"/>
      <c r="B62" s="510"/>
      <c r="C62" s="23"/>
      <c r="D62" s="23"/>
      <c r="E62" s="23"/>
      <c r="F62" s="21"/>
      <c r="G62" s="21"/>
      <c r="H62" s="21"/>
      <c r="I62" s="511"/>
    </row>
    <row r="63" spans="1:10">
      <c r="A63" s="509"/>
      <c r="B63" s="510"/>
      <c r="C63" s="23"/>
      <c r="D63" s="23"/>
      <c r="E63" s="23"/>
      <c r="F63" s="21"/>
      <c r="G63" s="21"/>
      <c r="H63" s="21"/>
      <c r="I63" s="511"/>
    </row>
    <row r="64" spans="1:10">
      <c r="A64" s="509"/>
      <c r="B64" s="510"/>
      <c r="C64" s="23"/>
      <c r="D64" s="23"/>
      <c r="E64" s="23"/>
      <c r="F64" s="21"/>
      <c r="G64" s="21"/>
      <c r="H64" s="21"/>
      <c r="I64" s="511"/>
    </row>
    <row r="65" spans="1:9">
      <c r="A65" s="509"/>
      <c r="B65" s="510"/>
      <c r="C65" s="23"/>
      <c r="D65" s="23"/>
      <c r="E65" s="23"/>
      <c r="F65" s="21"/>
      <c r="G65" s="21"/>
      <c r="H65" s="21"/>
      <c r="I65" s="511"/>
    </row>
    <row r="66" spans="1:9">
      <c r="A66" s="509"/>
      <c r="B66" s="510"/>
      <c r="C66" s="23"/>
      <c r="D66" s="23"/>
      <c r="E66" s="23"/>
      <c r="F66" s="21"/>
      <c r="G66" s="21"/>
      <c r="H66" s="21"/>
      <c r="I66" s="511"/>
    </row>
    <row r="67" spans="1:9">
      <c r="A67" s="509"/>
      <c r="B67" s="510"/>
      <c r="C67" s="23"/>
      <c r="D67" s="23"/>
      <c r="E67" s="23"/>
      <c r="F67" s="21"/>
      <c r="G67" s="21"/>
      <c r="H67" s="21"/>
      <c r="I67" s="511"/>
    </row>
    <row r="68" spans="1:9">
      <c r="A68" s="509"/>
      <c r="B68" s="510"/>
      <c r="C68" s="23"/>
      <c r="D68" s="23"/>
      <c r="E68" s="23"/>
      <c r="F68" s="21"/>
      <c r="G68" s="21"/>
      <c r="H68" s="21"/>
      <c r="I68" s="511"/>
    </row>
    <row r="69" spans="1:9">
      <c r="A69" s="509"/>
      <c r="B69" s="510"/>
      <c r="C69" s="23"/>
      <c r="D69" s="23"/>
      <c r="E69" s="23"/>
      <c r="F69" s="21"/>
      <c r="G69" s="21"/>
      <c r="H69" s="21"/>
      <c r="I69" s="511"/>
    </row>
    <row r="70" spans="1:9">
      <c r="A70" s="509"/>
      <c r="B70" s="510"/>
      <c r="C70" s="23"/>
      <c r="D70" s="23"/>
      <c r="E70" s="23"/>
      <c r="F70" s="21"/>
      <c r="G70" s="21"/>
      <c r="H70" s="21"/>
      <c r="I70" s="511"/>
    </row>
    <row r="71" spans="1:9">
      <c r="A71" s="509"/>
      <c r="B71" s="510"/>
      <c r="C71" s="23"/>
      <c r="D71" s="23"/>
      <c r="E71" s="23"/>
      <c r="F71" s="21"/>
      <c r="G71" s="21"/>
      <c r="H71" s="21"/>
      <c r="I71" s="511"/>
    </row>
    <row r="72" spans="1:9">
      <c r="A72" s="509"/>
      <c r="B72" s="510"/>
      <c r="C72" s="23"/>
      <c r="D72" s="23"/>
      <c r="E72" s="23"/>
      <c r="F72" s="21"/>
      <c r="G72" s="21"/>
      <c r="H72" s="21"/>
      <c r="I72" s="511"/>
    </row>
    <row r="73" spans="1:9">
      <c r="A73" s="509"/>
      <c r="B73" s="510"/>
      <c r="C73" s="23"/>
      <c r="D73" s="23"/>
      <c r="E73" s="23"/>
      <c r="F73" s="21"/>
      <c r="G73" s="21"/>
      <c r="H73" s="21"/>
      <c r="I73" s="511"/>
    </row>
    <row r="74" spans="1:9">
      <c r="A74" s="509"/>
      <c r="B74" s="510"/>
      <c r="C74" s="23"/>
      <c r="D74" s="23"/>
      <c r="E74" s="23"/>
      <c r="F74" s="21"/>
      <c r="G74" s="21"/>
      <c r="H74" s="21"/>
      <c r="I74" s="511"/>
    </row>
    <row r="75" spans="1:9">
      <c r="A75" s="509"/>
      <c r="B75" s="510"/>
      <c r="C75" s="23"/>
      <c r="D75" s="23"/>
      <c r="E75" s="23"/>
      <c r="F75" s="21"/>
      <c r="G75" s="21"/>
      <c r="H75" s="21"/>
      <c r="I75" s="511"/>
    </row>
    <row r="76" spans="1:9">
      <c r="A76" s="509"/>
      <c r="B76" s="510"/>
      <c r="C76" s="23"/>
      <c r="D76" s="23"/>
      <c r="E76" s="23"/>
      <c r="F76" s="21"/>
      <c r="G76" s="21"/>
      <c r="H76" s="21"/>
      <c r="I76" s="511"/>
    </row>
    <row r="77" spans="1:9">
      <c r="A77" s="509"/>
      <c r="B77" s="510"/>
      <c r="C77" s="23"/>
      <c r="D77" s="23"/>
      <c r="E77" s="23"/>
      <c r="F77" s="21"/>
      <c r="G77" s="21"/>
      <c r="H77" s="21"/>
      <c r="I77" s="511"/>
    </row>
    <row r="78" spans="1:9">
      <c r="A78" s="509"/>
      <c r="B78" s="510"/>
      <c r="C78" s="23"/>
      <c r="D78" s="23"/>
      <c r="E78" s="23"/>
      <c r="F78" s="21"/>
      <c r="G78" s="21"/>
      <c r="H78" s="21"/>
      <c r="I78" s="511"/>
    </row>
    <row r="79" spans="1:9">
      <c r="A79" s="509"/>
      <c r="B79" s="510"/>
      <c r="C79" s="23"/>
      <c r="D79" s="23"/>
      <c r="E79" s="23"/>
      <c r="F79" s="21"/>
      <c r="G79" s="21"/>
      <c r="H79" s="21"/>
      <c r="I79" s="511"/>
    </row>
    <row r="80" spans="1:9">
      <c r="A80" s="509"/>
      <c r="B80" s="510"/>
      <c r="C80" s="23"/>
      <c r="D80" s="23"/>
      <c r="E80" s="23"/>
      <c r="F80" s="21"/>
      <c r="G80" s="21"/>
      <c r="H80" s="21"/>
      <c r="I80" s="511"/>
    </row>
    <row r="81" spans="1:9">
      <c r="A81" s="509"/>
      <c r="B81" s="510"/>
      <c r="C81" s="23"/>
      <c r="D81" s="23"/>
      <c r="E81" s="23"/>
      <c r="F81" s="21"/>
      <c r="G81" s="21"/>
      <c r="H81" s="21"/>
      <c r="I81" s="511"/>
    </row>
    <row r="82" spans="1:9">
      <c r="A82" s="509"/>
      <c r="B82" s="510"/>
      <c r="C82" s="23"/>
      <c r="D82" s="23"/>
      <c r="E82" s="23"/>
      <c r="F82" s="21"/>
      <c r="G82" s="21"/>
      <c r="H82" s="21"/>
      <c r="I82" s="511"/>
    </row>
    <row r="83" spans="1:9">
      <c r="A83" s="509"/>
      <c r="B83" s="510"/>
      <c r="C83" s="23"/>
      <c r="D83" s="23"/>
      <c r="E83" s="23"/>
      <c r="F83" s="21"/>
      <c r="G83" s="21"/>
      <c r="H83" s="21"/>
      <c r="I83" s="511"/>
    </row>
    <row r="84" spans="1:9">
      <c r="A84" s="509"/>
      <c r="B84" s="510"/>
      <c r="C84" s="23"/>
      <c r="D84" s="23"/>
      <c r="E84" s="23"/>
      <c r="F84" s="21"/>
      <c r="G84" s="21"/>
      <c r="H84" s="21"/>
      <c r="I84" s="511"/>
    </row>
    <row r="85" spans="1:9">
      <c r="A85" s="509"/>
      <c r="B85" s="510"/>
      <c r="C85" s="23"/>
      <c r="D85" s="23"/>
      <c r="E85" s="23"/>
      <c r="F85" s="21"/>
      <c r="G85" s="21"/>
      <c r="H85" s="21"/>
      <c r="I85" s="511"/>
    </row>
    <row r="86" spans="1:9">
      <c r="A86" s="509"/>
      <c r="B86" s="510"/>
      <c r="C86" s="23"/>
      <c r="D86" s="23"/>
      <c r="E86" s="23"/>
      <c r="F86" s="21"/>
      <c r="G86" s="21"/>
      <c r="H86" s="21"/>
      <c r="I86" s="511"/>
    </row>
    <row r="87" spans="1:9">
      <c r="A87" s="509"/>
      <c r="B87" s="510"/>
      <c r="C87" s="23"/>
      <c r="D87" s="23"/>
      <c r="E87" s="23"/>
      <c r="F87" s="21"/>
      <c r="G87" s="21"/>
      <c r="H87" s="21"/>
      <c r="I87" s="511"/>
    </row>
    <row r="88" spans="1:9">
      <c r="A88" s="509"/>
      <c r="B88" s="510"/>
      <c r="C88" s="23"/>
      <c r="D88" s="23"/>
      <c r="E88" s="23"/>
      <c r="F88" s="21"/>
      <c r="G88" s="21"/>
      <c r="H88" s="21"/>
      <c r="I88" s="511"/>
    </row>
    <row r="89" spans="1:9">
      <c r="A89" s="509"/>
      <c r="B89" s="510"/>
      <c r="C89" s="23"/>
      <c r="D89" s="23"/>
      <c r="E89" s="23"/>
      <c r="F89" s="21"/>
      <c r="G89" s="21"/>
      <c r="H89" s="21"/>
      <c r="I89" s="511"/>
    </row>
    <row r="90" spans="1:9">
      <c r="A90" s="509"/>
      <c r="B90" s="510"/>
      <c r="C90" s="23"/>
      <c r="D90" s="23"/>
      <c r="E90" s="23"/>
      <c r="F90" s="21"/>
      <c r="G90" s="21"/>
      <c r="H90" s="21"/>
      <c r="I90" s="511"/>
    </row>
    <row r="91" spans="1:9">
      <c r="A91" s="509"/>
      <c r="B91" s="510"/>
      <c r="C91" s="23"/>
      <c r="D91" s="23"/>
      <c r="E91" s="23"/>
      <c r="F91" s="21"/>
      <c r="G91" s="21"/>
      <c r="H91" s="21"/>
      <c r="I91" s="511"/>
    </row>
    <row r="92" spans="1:9">
      <c r="A92" s="509"/>
      <c r="B92" s="510"/>
      <c r="C92" s="23"/>
      <c r="D92" s="23"/>
      <c r="E92" s="23"/>
      <c r="F92" s="21"/>
      <c r="G92" s="21"/>
      <c r="H92" s="21"/>
      <c r="I92" s="511"/>
    </row>
    <row r="93" spans="1:9">
      <c r="A93" s="509"/>
      <c r="B93" s="510"/>
      <c r="C93" s="23"/>
      <c r="D93" s="23"/>
      <c r="E93" s="23"/>
      <c r="F93" s="21"/>
      <c r="G93" s="21"/>
      <c r="H93" s="21"/>
      <c r="I93" s="511"/>
    </row>
    <row r="94" spans="1:9">
      <c r="A94" s="509"/>
      <c r="B94" s="510"/>
      <c r="C94" s="23"/>
      <c r="D94" s="23"/>
      <c r="E94" s="23"/>
      <c r="F94" s="21"/>
      <c r="G94" s="21"/>
      <c r="H94" s="21"/>
      <c r="I94" s="511"/>
    </row>
    <row r="95" spans="1:9">
      <c r="A95" s="509"/>
      <c r="B95" s="510"/>
      <c r="C95" s="23"/>
      <c r="D95" s="23"/>
      <c r="E95" s="23"/>
      <c r="F95" s="21"/>
      <c r="G95" s="21"/>
      <c r="H95" s="21"/>
      <c r="I95" s="511"/>
    </row>
    <row r="96" spans="1:9">
      <c r="A96" s="509"/>
      <c r="B96" s="510"/>
      <c r="C96" s="23"/>
      <c r="D96" s="23"/>
      <c r="E96" s="23"/>
      <c r="F96" s="21"/>
      <c r="G96" s="21"/>
      <c r="H96" s="21"/>
      <c r="I96" s="511"/>
    </row>
    <row r="97" spans="1:9">
      <c r="A97" s="509"/>
      <c r="B97" s="510"/>
      <c r="C97" s="23"/>
      <c r="D97" s="23"/>
      <c r="E97" s="23"/>
      <c r="F97" s="21"/>
      <c r="G97" s="21"/>
      <c r="H97" s="21"/>
      <c r="I97" s="511"/>
    </row>
    <row r="98" spans="1:9">
      <c r="A98" s="509"/>
      <c r="B98" s="510"/>
      <c r="C98" s="23"/>
      <c r="D98" s="23"/>
      <c r="E98" s="23"/>
      <c r="F98" s="21"/>
      <c r="G98" s="21"/>
      <c r="H98" s="21"/>
      <c r="I98" s="511"/>
    </row>
    <row r="99" spans="1:9">
      <c r="A99" s="509"/>
      <c r="B99" s="510"/>
      <c r="C99" s="23"/>
      <c r="D99" s="23"/>
      <c r="E99" s="23"/>
      <c r="F99" s="21"/>
      <c r="G99" s="21"/>
      <c r="H99" s="21"/>
      <c r="I99" s="511"/>
    </row>
    <row r="100" spans="1:9">
      <c r="A100" s="509"/>
      <c r="B100" s="510"/>
      <c r="C100" s="23"/>
      <c r="D100" s="23"/>
      <c r="E100" s="23"/>
      <c r="F100" s="21"/>
      <c r="G100" s="21"/>
      <c r="H100" s="21"/>
      <c r="I100" s="511"/>
    </row>
    <row r="101" spans="1:9">
      <c r="A101" s="509"/>
      <c r="B101" s="510"/>
      <c r="C101" s="23"/>
      <c r="D101" s="23"/>
      <c r="E101" s="23"/>
      <c r="F101" s="21"/>
      <c r="G101" s="21"/>
      <c r="H101" s="21"/>
      <c r="I101" s="511"/>
    </row>
    <row r="102" spans="1:9">
      <c r="A102" s="509"/>
      <c r="B102" s="510"/>
      <c r="C102" s="23"/>
      <c r="D102" s="23"/>
      <c r="E102" s="23"/>
      <c r="F102" s="21"/>
      <c r="G102" s="21"/>
      <c r="H102" s="21"/>
      <c r="I102" s="511"/>
    </row>
    <row r="103" spans="1:9">
      <c r="A103" s="509"/>
      <c r="B103" s="510"/>
      <c r="C103" s="23"/>
      <c r="D103" s="23"/>
      <c r="E103" s="23"/>
      <c r="F103" s="21"/>
      <c r="G103" s="21"/>
      <c r="H103" s="21"/>
      <c r="I103" s="511"/>
    </row>
    <row r="104" spans="1:9">
      <c r="A104" s="509"/>
      <c r="B104" s="510"/>
      <c r="C104" s="23"/>
      <c r="D104" s="23"/>
      <c r="E104" s="23"/>
      <c r="F104" s="21"/>
      <c r="G104" s="21"/>
      <c r="H104" s="21"/>
      <c r="I104" s="511"/>
    </row>
    <row r="105" spans="1:9">
      <c r="A105" s="509"/>
      <c r="B105" s="510"/>
      <c r="C105" s="23"/>
      <c r="D105" s="23"/>
      <c r="E105" s="23"/>
      <c r="F105" s="21"/>
      <c r="G105" s="21"/>
      <c r="H105" s="21"/>
      <c r="I105" s="511"/>
    </row>
    <row r="106" spans="1:9">
      <c r="A106" s="509"/>
      <c r="B106" s="510"/>
      <c r="C106" s="23"/>
      <c r="D106" s="23"/>
      <c r="E106" s="23"/>
      <c r="F106" s="21"/>
      <c r="G106" s="21"/>
      <c r="H106" s="21"/>
      <c r="I106" s="511"/>
    </row>
    <row r="107" spans="1:9">
      <c r="A107" s="509"/>
      <c r="B107" s="510"/>
      <c r="C107" s="23"/>
      <c r="D107" s="23"/>
      <c r="E107" s="23"/>
      <c r="F107" s="21"/>
      <c r="G107" s="21"/>
      <c r="H107" s="21"/>
      <c r="I107" s="511"/>
    </row>
    <row r="108" spans="1:9">
      <c r="A108" s="509"/>
      <c r="B108" s="510"/>
      <c r="C108" s="23"/>
      <c r="D108" s="23"/>
      <c r="E108" s="23"/>
      <c r="F108" s="21"/>
      <c r="G108" s="21"/>
      <c r="H108" s="21"/>
      <c r="I108" s="511"/>
    </row>
    <row r="109" spans="1:9">
      <c r="A109" s="509"/>
      <c r="B109" s="510"/>
      <c r="C109" s="23"/>
      <c r="D109" s="23"/>
      <c r="E109" s="23"/>
      <c r="F109" s="21"/>
      <c r="G109" s="21"/>
      <c r="H109" s="21"/>
      <c r="I109" s="511"/>
    </row>
    <row r="110" spans="1:9">
      <c r="A110" s="509"/>
      <c r="B110" s="510"/>
      <c r="C110" s="23"/>
      <c r="D110" s="23"/>
      <c r="E110" s="23"/>
      <c r="F110" s="21"/>
      <c r="G110" s="21"/>
      <c r="H110" s="21"/>
      <c r="I110" s="511"/>
    </row>
    <row r="111" spans="1:9">
      <c r="A111" s="509"/>
      <c r="B111" s="510"/>
      <c r="C111" s="23"/>
      <c r="D111" s="23"/>
      <c r="E111" s="23"/>
      <c r="F111" s="21"/>
      <c r="G111" s="21"/>
      <c r="H111" s="21"/>
      <c r="I111" s="511"/>
    </row>
    <row r="112" spans="1:9">
      <c r="A112" s="509"/>
      <c r="B112" s="510"/>
      <c r="C112" s="23"/>
      <c r="D112" s="23"/>
      <c r="E112" s="23"/>
      <c r="F112" s="21"/>
      <c r="G112" s="21"/>
      <c r="H112" s="21"/>
      <c r="I112" s="511"/>
    </row>
    <row r="113" spans="1:9">
      <c r="A113" s="509"/>
      <c r="B113" s="510"/>
      <c r="C113" s="23"/>
      <c r="D113" s="23"/>
      <c r="E113" s="23"/>
      <c r="F113" s="21"/>
      <c r="G113" s="21"/>
      <c r="H113" s="21"/>
      <c r="I113" s="511"/>
    </row>
    <row r="114" spans="1:9">
      <c r="A114" s="509"/>
      <c r="B114" s="510"/>
      <c r="C114" s="23"/>
      <c r="D114" s="23"/>
      <c r="E114" s="23"/>
      <c r="F114" s="21"/>
      <c r="G114" s="21"/>
      <c r="H114" s="21"/>
      <c r="I114" s="511"/>
    </row>
    <row r="115" spans="1:9">
      <c r="A115" s="509"/>
      <c r="B115" s="510"/>
      <c r="C115" s="23"/>
      <c r="D115" s="23"/>
      <c r="E115" s="23"/>
      <c r="F115" s="21"/>
      <c r="G115" s="21"/>
      <c r="H115" s="21"/>
      <c r="I115" s="511"/>
    </row>
    <row r="116" spans="1:9">
      <c r="A116" s="509"/>
      <c r="B116" s="510"/>
      <c r="C116" s="23"/>
      <c r="D116" s="23"/>
      <c r="E116" s="23"/>
      <c r="F116" s="21"/>
      <c r="G116" s="21"/>
      <c r="H116" s="21"/>
      <c r="I116" s="511"/>
    </row>
    <row r="117" spans="1:9">
      <c r="A117" s="509"/>
      <c r="B117" s="510"/>
      <c r="C117" s="23"/>
      <c r="D117" s="23"/>
      <c r="E117" s="23"/>
      <c r="F117" s="21"/>
      <c r="G117" s="21"/>
      <c r="H117" s="21"/>
      <c r="I117" s="511"/>
    </row>
    <row r="118" spans="1:9">
      <c r="A118" s="509"/>
      <c r="B118" s="510"/>
      <c r="C118" s="23"/>
      <c r="D118" s="23"/>
      <c r="E118" s="23"/>
      <c r="F118" s="21"/>
      <c r="G118" s="21"/>
      <c r="H118" s="21"/>
      <c r="I118" s="511"/>
    </row>
    <row r="119" spans="1:9">
      <c r="A119" s="509"/>
      <c r="B119" s="510"/>
      <c r="C119" s="23"/>
      <c r="D119" s="23"/>
      <c r="E119" s="23"/>
      <c r="F119" s="21"/>
      <c r="G119" s="21"/>
      <c r="H119" s="21"/>
      <c r="I119" s="511"/>
    </row>
    <row r="120" spans="1:9">
      <c r="A120" s="509"/>
      <c r="B120" s="510"/>
      <c r="C120" s="23"/>
      <c r="D120" s="23"/>
      <c r="E120" s="23"/>
      <c r="F120" s="21"/>
      <c r="G120" s="21"/>
      <c r="H120" s="21"/>
      <c r="I120" s="511"/>
    </row>
    <row r="121" spans="1:9">
      <c r="A121" s="509"/>
      <c r="B121" s="510"/>
      <c r="C121" s="23"/>
      <c r="D121" s="23"/>
      <c r="E121" s="23"/>
      <c r="F121" s="21"/>
      <c r="G121" s="21"/>
      <c r="H121" s="21"/>
      <c r="I121" s="511"/>
    </row>
    <row r="122" spans="1:9">
      <c r="A122" s="509"/>
      <c r="B122" s="510"/>
      <c r="C122" s="23"/>
      <c r="D122" s="23"/>
      <c r="E122" s="23"/>
      <c r="F122" s="21"/>
      <c r="G122" s="21"/>
      <c r="H122" s="21"/>
      <c r="I122" s="511"/>
    </row>
    <row r="123" spans="1:9">
      <c r="A123" s="509"/>
      <c r="B123" s="510"/>
      <c r="C123" s="23"/>
      <c r="D123" s="23"/>
      <c r="E123" s="23"/>
      <c r="F123" s="21"/>
      <c r="G123" s="21"/>
      <c r="H123" s="21"/>
      <c r="I123" s="511"/>
    </row>
    <row r="124" spans="1:9">
      <c r="A124" s="509"/>
      <c r="B124" s="510"/>
      <c r="C124" s="23"/>
      <c r="D124" s="23"/>
      <c r="E124" s="23"/>
      <c r="F124" s="21"/>
      <c r="G124" s="21"/>
      <c r="H124" s="21"/>
      <c r="I124" s="511"/>
    </row>
    <row r="125" spans="1:9">
      <c r="A125" s="509"/>
      <c r="B125" s="510"/>
      <c r="C125" s="23"/>
      <c r="D125" s="23"/>
      <c r="E125" s="23"/>
      <c r="F125" s="21"/>
      <c r="G125" s="21"/>
      <c r="H125" s="21"/>
      <c r="I125" s="511"/>
    </row>
    <row r="126" spans="1:9">
      <c r="A126" s="509"/>
      <c r="B126" s="510"/>
      <c r="C126" s="23"/>
      <c r="D126" s="23"/>
      <c r="E126" s="23"/>
      <c r="F126" s="21"/>
      <c r="G126" s="21"/>
      <c r="H126" s="21"/>
      <c r="I126" s="511"/>
    </row>
    <row r="127" spans="1:9">
      <c r="A127" s="509"/>
      <c r="B127" s="510"/>
      <c r="C127" s="23"/>
      <c r="D127" s="23"/>
      <c r="E127" s="23"/>
      <c r="F127" s="21"/>
      <c r="G127" s="21"/>
      <c r="H127" s="21"/>
      <c r="I127" s="511"/>
    </row>
    <row r="128" spans="1:9">
      <c r="A128" s="509"/>
      <c r="B128" s="510"/>
      <c r="C128" s="23"/>
      <c r="D128" s="23"/>
      <c r="E128" s="23"/>
      <c r="F128" s="21"/>
      <c r="G128" s="21"/>
      <c r="H128" s="21"/>
      <c r="I128" s="511"/>
    </row>
    <row r="129" spans="1:9">
      <c r="A129" s="509"/>
      <c r="B129" s="510"/>
      <c r="C129" s="23"/>
      <c r="D129" s="23"/>
      <c r="E129" s="23"/>
      <c r="F129" s="21"/>
      <c r="G129" s="21"/>
      <c r="H129" s="21"/>
      <c r="I129" s="511"/>
    </row>
    <row r="130" spans="1:9">
      <c r="A130" s="509"/>
      <c r="B130" s="510"/>
      <c r="C130" s="23"/>
      <c r="D130" s="23"/>
      <c r="E130" s="23"/>
      <c r="F130" s="21"/>
      <c r="G130" s="21"/>
      <c r="H130" s="21"/>
      <c r="I130" s="511"/>
    </row>
    <row r="131" spans="1:9">
      <c r="A131" s="509"/>
      <c r="B131" s="510"/>
      <c r="C131" s="23"/>
      <c r="D131" s="23"/>
      <c r="E131" s="23"/>
      <c r="F131" s="21"/>
      <c r="G131" s="21"/>
      <c r="H131" s="21"/>
      <c r="I131" s="511"/>
    </row>
    <row r="132" spans="1:9">
      <c r="A132" s="509"/>
      <c r="B132" s="510"/>
      <c r="C132" s="23"/>
      <c r="D132" s="23"/>
      <c r="E132" s="23"/>
      <c r="F132" s="21"/>
      <c r="G132" s="21"/>
      <c r="H132" s="21"/>
      <c r="I132" s="511"/>
    </row>
    <row r="133" spans="1:9">
      <c r="A133" s="509"/>
      <c r="B133" s="510"/>
      <c r="C133" s="23"/>
      <c r="D133" s="23"/>
      <c r="E133" s="23"/>
      <c r="F133" s="21"/>
      <c r="G133" s="21"/>
      <c r="H133" s="21"/>
      <c r="I133" s="511"/>
    </row>
    <row r="134" spans="1:9">
      <c r="A134" s="509"/>
      <c r="B134" s="510"/>
      <c r="C134" s="23"/>
      <c r="D134" s="23"/>
      <c r="E134" s="23"/>
      <c r="F134" s="21"/>
      <c r="G134" s="21"/>
      <c r="H134" s="21"/>
      <c r="I134" s="511"/>
    </row>
    <row r="135" spans="1:9">
      <c r="A135" s="509"/>
      <c r="B135" s="510"/>
      <c r="C135" s="23"/>
      <c r="D135" s="23"/>
      <c r="E135" s="23"/>
      <c r="F135" s="21"/>
      <c r="G135" s="21"/>
      <c r="H135" s="21"/>
      <c r="I135" s="511"/>
    </row>
    <row r="136" spans="1:9">
      <c r="A136" s="509"/>
      <c r="B136" s="510"/>
      <c r="C136" s="23"/>
      <c r="D136" s="23"/>
      <c r="E136" s="23"/>
      <c r="F136" s="21"/>
      <c r="G136" s="21"/>
      <c r="H136" s="21"/>
      <c r="I136" s="511"/>
    </row>
    <row r="137" spans="1:9">
      <c r="A137" s="509"/>
      <c r="B137" s="510"/>
      <c r="C137" s="23"/>
      <c r="D137" s="23"/>
      <c r="E137" s="23"/>
      <c r="F137" s="21"/>
      <c r="G137" s="21"/>
      <c r="H137" s="21"/>
      <c r="I137" s="511"/>
    </row>
    <row r="138" spans="1:9">
      <c r="A138" s="509"/>
      <c r="B138" s="510"/>
      <c r="C138" s="23"/>
      <c r="D138" s="23"/>
      <c r="E138" s="23"/>
      <c r="F138" s="21"/>
      <c r="G138" s="21"/>
      <c r="H138" s="21"/>
      <c r="I138" s="511"/>
    </row>
    <row r="139" spans="1:9">
      <c r="A139" s="509"/>
      <c r="B139" s="510"/>
      <c r="C139" s="23"/>
      <c r="D139" s="23"/>
      <c r="E139" s="23"/>
      <c r="F139" s="21"/>
      <c r="G139" s="21"/>
      <c r="H139" s="21"/>
      <c r="I139" s="511"/>
    </row>
    <row r="140" spans="1:9">
      <c r="A140" s="509"/>
      <c r="B140" s="510"/>
      <c r="C140" s="23"/>
      <c r="D140" s="23"/>
      <c r="E140" s="23"/>
      <c r="F140" s="21"/>
      <c r="G140" s="21"/>
      <c r="H140" s="21"/>
      <c r="I140" s="511"/>
    </row>
    <row r="141" spans="1:9">
      <c r="A141" s="509"/>
      <c r="B141" s="510"/>
      <c r="C141" s="23"/>
      <c r="D141" s="23"/>
      <c r="E141" s="23"/>
      <c r="F141" s="21"/>
      <c r="G141" s="21"/>
      <c r="H141" s="21"/>
      <c r="I141" s="511"/>
    </row>
    <row r="142" spans="1:9">
      <c r="A142" s="509"/>
      <c r="B142" s="510"/>
      <c r="C142" s="23"/>
      <c r="D142" s="23"/>
      <c r="E142" s="23"/>
      <c r="F142" s="21"/>
      <c r="G142" s="21"/>
      <c r="H142" s="21"/>
      <c r="I142" s="511"/>
    </row>
    <row r="143" spans="1:9">
      <c r="A143" s="509"/>
      <c r="B143" s="510"/>
      <c r="C143" s="23"/>
      <c r="D143" s="23"/>
      <c r="E143" s="23"/>
      <c r="F143" s="21"/>
      <c r="G143" s="21"/>
      <c r="H143" s="21"/>
      <c r="I143" s="511"/>
    </row>
    <row r="144" spans="1:9">
      <c r="A144" s="509"/>
      <c r="B144" s="510"/>
      <c r="C144" s="23"/>
      <c r="D144" s="23"/>
      <c r="E144" s="23"/>
      <c r="F144" s="21"/>
      <c r="G144" s="21"/>
      <c r="H144" s="21"/>
      <c r="I144" s="511"/>
    </row>
    <row r="145" spans="1:9">
      <c r="A145" s="509"/>
      <c r="B145" s="510"/>
      <c r="C145" s="23"/>
      <c r="D145" s="23"/>
      <c r="E145" s="23"/>
      <c r="F145" s="21"/>
      <c r="G145" s="21"/>
      <c r="H145" s="21"/>
      <c r="I145" s="511"/>
    </row>
    <row r="146" spans="1:9">
      <c r="A146" s="509"/>
      <c r="B146" s="510"/>
      <c r="C146" s="23"/>
      <c r="D146" s="23"/>
      <c r="E146" s="23"/>
      <c r="F146" s="21"/>
      <c r="G146" s="21"/>
      <c r="H146" s="21"/>
      <c r="I146" s="511"/>
    </row>
    <row r="147" spans="1:9">
      <c r="A147" s="509"/>
      <c r="B147" s="510"/>
      <c r="C147" s="23"/>
      <c r="D147" s="23"/>
      <c r="E147" s="23"/>
      <c r="F147" s="21"/>
      <c r="G147" s="21"/>
      <c r="H147" s="21"/>
      <c r="I147" s="511"/>
    </row>
    <row r="148" spans="1:9">
      <c r="A148" s="509"/>
      <c r="B148" s="510"/>
      <c r="C148" s="23"/>
      <c r="D148" s="23"/>
      <c r="E148" s="23"/>
      <c r="F148" s="21"/>
      <c r="G148" s="21"/>
      <c r="H148" s="21"/>
      <c r="I148" s="511"/>
    </row>
    <row r="149" spans="1:9">
      <c r="A149" s="509"/>
      <c r="B149" s="510"/>
      <c r="C149" s="23"/>
      <c r="D149" s="23"/>
      <c r="E149" s="23"/>
      <c r="F149" s="21"/>
      <c r="G149" s="21"/>
      <c r="H149" s="21"/>
      <c r="I149" s="511"/>
    </row>
    <row r="150" spans="1:9">
      <c r="A150" s="509"/>
      <c r="B150" s="510"/>
      <c r="C150" s="23"/>
      <c r="D150" s="23"/>
      <c r="E150" s="23"/>
      <c r="F150" s="21"/>
      <c r="G150" s="21"/>
      <c r="H150" s="21"/>
      <c r="I150" s="511"/>
    </row>
    <row r="151" spans="1:9">
      <c r="A151" s="509"/>
      <c r="B151" s="510"/>
      <c r="C151" s="23"/>
      <c r="D151" s="23"/>
      <c r="E151" s="23"/>
      <c r="F151" s="21"/>
      <c r="G151" s="21"/>
      <c r="H151" s="21"/>
      <c r="I151" s="511"/>
    </row>
    <row r="152" spans="1:9">
      <c r="A152" s="509"/>
      <c r="B152" s="510"/>
      <c r="C152" s="23"/>
      <c r="D152" s="23"/>
      <c r="E152" s="23"/>
      <c r="F152" s="21"/>
      <c r="G152" s="21"/>
      <c r="H152" s="21"/>
      <c r="I152" s="511"/>
    </row>
    <row r="153" spans="1:9">
      <c r="A153" s="509"/>
      <c r="B153" s="510"/>
      <c r="C153" s="23"/>
      <c r="D153" s="23"/>
      <c r="E153" s="23"/>
      <c r="F153" s="21"/>
      <c r="G153" s="21"/>
      <c r="H153" s="21"/>
      <c r="I153" s="511"/>
    </row>
    <row r="154" spans="1:9">
      <c r="A154" s="509"/>
      <c r="B154" s="510"/>
      <c r="C154" s="23"/>
      <c r="D154" s="23"/>
      <c r="E154" s="23"/>
      <c r="F154" s="21"/>
      <c r="G154" s="21"/>
      <c r="H154" s="21"/>
      <c r="I154" s="511"/>
    </row>
    <row r="155" spans="1:9">
      <c r="A155" s="509"/>
      <c r="B155" s="510"/>
      <c r="C155" s="23"/>
      <c r="D155" s="23"/>
      <c r="E155" s="23"/>
      <c r="F155" s="21"/>
      <c r="G155" s="21"/>
      <c r="H155" s="21"/>
      <c r="I155" s="511"/>
    </row>
    <row r="156" spans="1:9">
      <c r="A156" s="509"/>
      <c r="B156" s="510"/>
      <c r="C156" s="23"/>
      <c r="D156" s="23"/>
      <c r="E156" s="23"/>
      <c r="F156" s="21"/>
      <c r="G156" s="21"/>
      <c r="H156" s="21"/>
      <c r="I156" s="511"/>
    </row>
    <row r="157" spans="1:9">
      <c r="A157" s="509"/>
      <c r="B157" s="510"/>
      <c r="C157" s="23"/>
      <c r="D157" s="23"/>
      <c r="E157" s="23"/>
      <c r="F157" s="21"/>
      <c r="G157" s="21"/>
      <c r="H157" s="21"/>
      <c r="I157" s="511"/>
    </row>
    <row r="158" spans="1:9">
      <c r="A158" s="509"/>
      <c r="B158" s="510"/>
      <c r="C158" s="23"/>
      <c r="D158" s="23"/>
      <c r="E158" s="23"/>
      <c r="F158" s="21"/>
      <c r="G158" s="21"/>
      <c r="H158" s="21"/>
      <c r="I158" s="511"/>
    </row>
    <row r="159" spans="1:9">
      <c r="A159" s="509"/>
      <c r="B159" s="510"/>
      <c r="C159" s="23"/>
      <c r="D159" s="23"/>
      <c r="E159" s="23"/>
      <c r="F159" s="21"/>
      <c r="G159" s="21"/>
      <c r="H159" s="21"/>
      <c r="I159" s="511"/>
    </row>
    <row r="160" spans="1:9">
      <c r="A160" s="509"/>
      <c r="B160" s="510"/>
      <c r="C160" s="23"/>
      <c r="D160" s="23"/>
      <c r="E160" s="23"/>
      <c r="F160" s="21"/>
      <c r="G160" s="21"/>
      <c r="H160" s="21"/>
      <c r="I160" s="511"/>
    </row>
    <row r="161" spans="1:9">
      <c r="A161" s="509"/>
      <c r="B161" s="510"/>
      <c r="C161" s="23"/>
      <c r="D161" s="23"/>
      <c r="E161" s="23"/>
      <c r="F161" s="21"/>
      <c r="G161" s="21"/>
      <c r="H161" s="21"/>
      <c r="I161" s="511"/>
    </row>
    <row r="162" spans="1:9">
      <c r="A162" s="509"/>
      <c r="B162" s="510"/>
      <c r="C162" s="23"/>
      <c r="D162" s="23"/>
      <c r="E162" s="23"/>
      <c r="F162" s="21"/>
      <c r="G162" s="21"/>
      <c r="H162" s="21"/>
      <c r="I162" s="511"/>
    </row>
    <row r="163" spans="1:9">
      <c r="A163" s="509"/>
      <c r="B163" s="510"/>
      <c r="C163" s="23"/>
      <c r="D163" s="23"/>
      <c r="E163" s="23"/>
      <c r="F163" s="21"/>
      <c r="G163" s="21"/>
      <c r="H163" s="21"/>
      <c r="I163" s="511"/>
    </row>
    <row r="164" spans="1:9">
      <c r="A164" s="509"/>
      <c r="B164" s="510"/>
      <c r="C164" s="23"/>
      <c r="D164" s="23"/>
      <c r="E164" s="23"/>
      <c r="F164" s="21"/>
      <c r="G164" s="21"/>
      <c r="H164" s="21"/>
      <c r="I164" s="511"/>
    </row>
    <row r="165" spans="1:9">
      <c r="A165" s="509"/>
      <c r="B165" s="510"/>
      <c r="C165" s="23"/>
      <c r="D165" s="23"/>
      <c r="E165" s="23"/>
      <c r="F165" s="21"/>
      <c r="G165" s="21"/>
      <c r="H165" s="21"/>
      <c r="I165" s="511"/>
    </row>
    <row r="166" spans="1:9">
      <c r="A166" s="509"/>
      <c r="B166" s="510"/>
      <c r="C166" s="23"/>
      <c r="D166" s="23"/>
      <c r="E166" s="23"/>
      <c r="F166" s="21"/>
      <c r="G166" s="21"/>
      <c r="H166" s="21"/>
      <c r="I166" s="511"/>
    </row>
    <row r="167" spans="1:9">
      <c r="A167" s="509"/>
      <c r="B167" s="510"/>
      <c r="C167" s="23"/>
      <c r="D167" s="23"/>
      <c r="E167" s="23"/>
      <c r="F167" s="21"/>
      <c r="G167" s="21"/>
      <c r="H167" s="21"/>
      <c r="I167" s="511"/>
    </row>
    <row r="168" spans="1:9">
      <c r="A168" s="509"/>
      <c r="B168" s="510"/>
      <c r="C168" s="23"/>
      <c r="D168" s="23"/>
      <c r="E168" s="23"/>
      <c r="F168" s="21"/>
      <c r="G168" s="21"/>
      <c r="H168" s="21"/>
      <c r="I168" s="511"/>
    </row>
    <row r="169" spans="1:9">
      <c r="A169" s="509"/>
      <c r="B169" s="510"/>
      <c r="C169" s="23"/>
      <c r="D169" s="23"/>
      <c r="E169" s="23"/>
      <c r="F169" s="21"/>
      <c r="G169" s="21"/>
      <c r="H169" s="21"/>
      <c r="I169" s="511"/>
    </row>
    <row r="170" spans="1:9">
      <c r="A170" s="509"/>
      <c r="B170" s="510"/>
      <c r="C170" s="23"/>
      <c r="D170" s="23"/>
      <c r="E170" s="23"/>
      <c r="F170" s="21"/>
      <c r="G170" s="21"/>
      <c r="H170" s="21"/>
      <c r="I170" s="511"/>
    </row>
    <row r="171" spans="1:9">
      <c r="A171" s="509"/>
      <c r="B171" s="510"/>
      <c r="C171" s="23"/>
      <c r="D171" s="23"/>
      <c r="E171" s="23"/>
      <c r="F171" s="21"/>
      <c r="G171" s="21"/>
      <c r="H171" s="21"/>
      <c r="I171" s="511"/>
    </row>
    <row r="172" spans="1:9">
      <c r="A172" s="509"/>
      <c r="B172" s="510"/>
      <c r="C172" s="23"/>
      <c r="D172" s="23"/>
      <c r="E172" s="23"/>
      <c r="F172" s="21"/>
      <c r="G172" s="21"/>
      <c r="H172" s="21"/>
      <c r="I172" s="511"/>
    </row>
    <row r="173" spans="1:9">
      <c r="A173" s="509"/>
      <c r="B173" s="510"/>
      <c r="C173" s="23"/>
      <c r="D173" s="23"/>
      <c r="E173" s="23"/>
      <c r="F173" s="21"/>
      <c r="G173" s="21"/>
      <c r="H173" s="21"/>
      <c r="I173" s="511"/>
    </row>
    <row r="174" spans="1:9">
      <c r="A174" s="509"/>
      <c r="B174" s="510"/>
      <c r="C174" s="23"/>
      <c r="D174" s="23"/>
      <c r="E174" s="23"/>
      <c r="F174" s="21"/>
      <c r="G174" s="21"/>
      <c r="H174" s="21"/>
      <c r="I174" s="511"/>
    </row>
    <row r="175" spans="1:9">
      <c r="A175" s="509"/>
      <c r="B175" s="510"/>
      <c r="C175" s="23"/>
      <c r="D175" s="23"/>
      <c r="E175" s="23"/>
      <c r="F175" s="21"/>
      <c r="G175" s="21"/>
      <c r="H175" s="21"/>
      <c r="I175" s="511"/>
    </row>
    <row r="176" spans="1:9">
      <c r="A176" s="509"/>
      <c r="B176" s="510"/>
      <c r="C176" s="23"/>
      <c r="D176" s="23"/>
      <c r="E176" s="23"/>
      <c r="F176" s="21"/>
      <c r="G176" s="21"/>
      <c r="H176" s="21"/>
      <c r="I176" s="511"/>
    </row>
    <row r="177" spans="1:9">
      <c r="A177" s="509"/>
      <c r="B177" s="510"/>
      <c r="C177" s="23"/>
      <c r="D177" s="23"/>
      <c r="E177" s="23"/>
      <c r="F177" s="21"/>
      <c r="G177" s="21"/>
      <c r="H177" s="21"/>
      <c r="I177" s="511"/>
    </row>
    <row r="178" spans="1:9">
      <c r="A178" s="509"/>
      <c r="B178" s="510"/>
      <c r="C178" s="23"/>
      <c r="D178" s="23"/>
      <c r="E178" s="23"/>
      <c r="F178" s="21"/>
      <c r="G178" s="21"/>
      <c r="H178" s="21"/>
      <c r="I178" s="511"/>
    </row>
    <row r="179" spans="1:9">
      <c r="A179" s="509"/>
      <c r="B179" s="510"/>
      <c r="C179" s="23"/>
      <c r="D179" s="23"/>
      <c r="E179" s="23"/>
      <c r="F179" s="21"/>
      <c r="G179" s="21"/>
      <c r="H179" s="21"/>
      <c r="I179" s="511"/>
    </row>
    <row r="180" spans="1:9">
      <c r="A180" s="509"/>
      <c r="B180" s="510"/>
      <c r="C180" s="23"/>
      <c r="D180" s="23"/>
      <c r="E180" s="23"/>
      <c r="F180" s="21"/>
      <c r="G180" s="21"/>
      <c r="H180" s="21"/>
      <c r="I180" s="511"/>
    </row>
    <row r="181" spans="1:9">
      <c r="A181" s="509"/>
      <c r="B181" s="510"/>
      <c r="C181" s="23"/>
      <c r="D181" s="23"/>
      <c r="E181" s="23"/>
      <c r="F181" s="21"/>
      <c r="G181" s="21"/>
      <c r="H181" s="21"/>
      <c r="I181" s="511"/>
    </row>
    <row r="182" spans="1:9">
      <c r="A182" s="509"/>
      <c r="B182" s="510"/>
      <c r="C182" s="23"/>
      <c r="D182" s="23"/>
      <c r="E182" s="23"/>
      <c r="F182" s="21"/>
      <c r="G182" s="21"/>
      <c r="H182" s="21"/>
      <c r="I182" s="511"/>
    </row>
    <row r="183" spans="1:9">
      <c r="A183" s="509"/>
      <c r="B183" s="510"/>
      <c r="C183" s="23"/>
      <c r="D183" s="23"/>
      <c r="E183" s="23"/>
      <c r="F183" s="21"/>
      <c r="G183" s="21"/>
      <c r="H183" s="21"/>
      <c r="I183" s="511"/>
    </row>
    <row r="184" spans="1:9">
      <c r="A184" s="509"/>
      <c r="B184" s="510"/>
      <c r="C184" s="23"/>
      <c r="D184" s="23"/>
      <c r="E184" s="23"/>
      <c r="F184" s="21"/>
      <c r="G184" s="21"/>
      <c r="H184" s="21"/>
      <c r="I184" s="511"/>
    </row>
    <row r="185" spans="1:9">
      <c r="A185" s="509"/>
      <c r="B185" s="510"/>
      <c r="C185" s="23"/>
      <c r="D185" s="23"/>
      <c r="E185" s="23"/>
      <c r="F185" s="21"/>
      <c r="G185" s="21"/>
      <c r="H185" s="21"/>
      <c r="I185" s="511"/>
    </row>
    <row r="186" spans="1:9">
      <c r="A186" s="509"/>
      <c r="B186" s="510"/>
      <c r="C186" s="23"/>
      <c r="D186" s="23"/>
      <c r="E186" s="23"/>
      <c r="F186" s="21"/>
      <c r="G186" s="21"/>
      <c r="H186" s="21"/>
      <c r="I186" s="511"/>
    </row>
    <row r="187" spans="1:9">
      <c r="A187" s="509"/>
      <c r="B187" s="510"/>
      <c r="C187" s="23"/>
      <c r="D187" s="23"/>
      <c r="E187" s="23"/>
      <c r="F187" s="21"/>
      <c r="G187" s="21"/>
      <c r="H187" s="21"/>
      <c r="I187" s="511"/>
    </row>
    <row r="188" spans="1:9">
      <c r="A188" s="509"/>
      <c r="B188" s="510"/>
      <c r="C188" s="23"/>
      <c r="D188" s="23"/>
      <c r="E188" s="23"/>
      <c r="F188" s="21"/>
      <c r="G188" s="21"/>
      <c r="H188" s="21"/>
      <c r="I188" s="511"/>
    </row>
    <row r="189" spans="1:9">
      <c r="A189" s="509"/>
      <c r="B189" s="510"/>
      <c r="C189" s="23"/>
      <c r="D189" s="23"/>
      <c r="E189" s="23"/>
      <c r="F189" s="21"/>
      <c r="G189" s="21"/>
      <c r="H189" s="21"/>
      <c r="I189" s="511"/>
    </row>
    <row r="190" spans="1:9">
      <c r="A190" s="509"/>
      <c r="B190" s="510"/>
      <c r="C190" s="23"/>
      <c r="D190" s="23"/>
      <c r="E190" s="23"/>
      <c r="F190" s="21"/>
      <c r="G190" s="21"/>
      <c r="H190" s="21"/>
      <c r="I190" s="511"/>
    </row>
    <row r="191" spans="1:9">
      <c r="A191" s="509"/>
      <c r="B191" s="510"/>
      <c r="C191" s="23"/>
      <c r="D191" s="23"/>
      <c r="E191" s="23"/>
      <c r="F191" s="21"/>
      <c r="G191" s="21"/>
      <c r="H191" s="21"/>
      <c r="I191" s="511"/>
    </row>
    <row r="192" spans="1:9">
      <c r="A192" s="509"/>
      <c r="B192" s="510"/>
      <c r="C192" s="23"/>
      <c r="D192" s="23"/>
      <c r="E192" s="23"/>
      <c r="F192" s="21"/>
      <c r="G192" s="21"/>
      <c r="H192" s="21"/>
      <c r="I192" s="511"/>
    </row>
    <row r="193" spans="1:9">
      <c r="A193" s="509"/>
      <c r="B193" s="510"/>
      <c r="C193" s="23"/>
      <c r="D193" s="23"/>
      <c r="E193" s="23"/>
      <c r="F193" s="21"/>
      <c r="G193" s="21"/>
      <c r="H193" s="21"/>
      <c r="I193" s="511"/>
    </row>
    <row r="194" spans="1:9">
      <c r="A194" s="509"/>
      <c r="B194" s="510"/>
      <c r="C194" s="23"/>
      <c r="D194" s="23"/>
      <c r="E194" s="23"/>
      <c r="F194" s="21"/>
      <c r="G194" s="21"/>
      <c r="H194" s="21"/>
      <c r="I194" s="511"/>
    </row>
    <row r="195" spans="1:9">
      <c r="A195" s="509"/>
      <c r="B195" s="510"/>
      <c r="C195" s="23"/>
      <c r="D195" s="23"/>
      <c r="E195" s="23"/>
      <c r="F195" s="21"/>
      <c r="G195" s="21"/>
      <c r="H195" s="21"/>
      <c r="I195" s="511"/>
    </row>
    <row r="196" spans="1:9">
      <c r="A196" s="509"/>
      <c r="B196" s="510"/>
      <c r="C196" s="23"/>
      <c r="D196" s="23"/>
      <c r="E196" s="23"/>
      <c r="F196" s="21"/>
      <c r="G196" s="21"/>
      <c r="H196" s="21"/>
      <c r="I196" s="511"/>
    </row>
    <row r="197" spans="1:9">
      <c r="A197" s="509"/>
      <c r="B197" s="510"/>
      <c r="C197" s="23"/>
      <c r="D197" s="23"/>
      <c r="E197" s="23"/>
      <c r="F197" s="21"/>
      <c r="G197" s="21"/>
      <c r="H197" s="21"/>
      <c r="I197" s="511"/>
    </row>
    <row r="198" spans="1:9">
      <c r="A198" s="509"/>
      <c r="B198" s="510"/>
      <c r="C198" s="23"/>
      <c r="D198" s="23"/>
      <c r="E198" s="23"/>
      <c r="F198" s="21"/>
      <c r="G198" s="21"/>
      <c r="H198" s="21"/>
      <c r="I198" s="511"/>
    </row>
    <row r="199" spans="1:9">
      <c r="A199" s="509"/>
      <c r="B199" s="510"/>
      <c r="C199" s="23"/>
      <c r="D199" s="23"/>
      <c r="E199" s="23"/>
      <c r="F199" s="21"/>
      <c r="G199" s="21"/>
      <c r="H199" s="21"/>
      <c r="I199" s="511"/>
    </row>
    <row r="200" spans="1:9">
      <c r="A200" s="509"/>
      <c r="B200" s="510"/>
      <c r="C200" s="23"/>
      <c r="D200" s="23"/>
      <c r="E200" s="23"/>
      <c r="F200" s="21"/>
      <c r="G200" s="21"/>
      <c r="H200" s="21"/>
      <c r="I200" s="511"/>
    </row>
    <row r="201" spans="1:9">
      <c r="A201" s="509"/>
      <c r="B201" s="510"/>
      <c r="C201" s="23"/>
      <c r="D201" s="23"/>
      <c r="E201" s="23"/>
      <c r="F201" s="21"/>
      <c r="G201" s="21"/>
      <c r="H201" s="21"/>
      <c r="I201" s="511"/>
    </row>
    <row r="202" spans="1:9">
      <c r="A202" s="509"/>
      <c r="B202" s="510"/>
      <c r="C202" s="23"/>
      <c r="D202" s="23"/>
      <c r="E202" s="23"/>
      <c r="F202" s="21"/>
      <c r="G202" s="21"/>
      <c r="H202" s="21"/>
      <c r="I202" s="511"/>
    </row>
    <row r="203" spans="1:9">
      <c r="A203" s="509"/>
      <c r="B203" s="510"/>
      <c r="C203" s="23"/>
      <c r="D203" s="23"/>
      <c r="E203" s="23"/>
      <c r="F203" s="21"/>
      <c r="G203" s="21"/>
      <c r="H203" s="21"/>
      <c r="I203" s="511"/>
    </row>
    <row r="204" spans="1:9">
      <c r="A204" s="509"/>
      <c r="B204" s="510"/>
      <c r="C204" s="23"/>
      <c r="D204" s="23"/>
      <c r="E204" s="23"/>
      <c r="F204" s="21"/>
      <c r="G204" s="21"/>
      <c r="H204" s="21"/>
      <c r="I204" s="511"/>
    </row>
    <row r="205" spans="1:9">
      <c r="A205" s="509"/>
      <c r="B205" s="510"/>
      <c r="C205" s="23"/>
      <c r="D205" s="23"/>
      <c r="E205" s="23"/>
      <c r="F205" s="21"/>
      <c r="G205" s="21"/>
      <c r="H205" s="21"/>
      <c r="I205" s="511"/>
    </row>
    <row r="206" spans="1:9">
      <c r="A206" s="509"/>
      <c r="B206" s="510"/>
      <c r="C206" s="23"/>
      <c r="D206" s="23"/>
      <c r="E206" s="23"/>
      <c r="F206" s="21"/>
      <c r="G206" s="21"/>
      <c r="H206" s="21"/>
      <c r="I206" s="511"/>
    </row>
    <row r="207" spans="1:9">
      <c r="A207" s="509"/>
      <c r="B207" s="510"/>
      <c r="C207" s="23"/>
      <c r="D207" s="23"/>
      <c r="E207" s="23"/>
      <c r="F207" s="21"/>
      <c r="G207" s="21"/>
      <c r="H207" s="21"/>
      <c r="I207" s="511"/>
    </row>
    <row r="208" spans="1:9">
      <c r="A208" s="509"/>
      <c r="B208" s="510"/>
      <c r="C208" s="23"/>
      <c r="D208" s="23"/>
      <c r="E208" s="23"/>
      <c r="F208" s="21"/>
      <c r="G208" s="21"/>
      <c r="H208" s="21"/>
      <c r="I208" s="511"/>
    </row>
    <row r="209" spans="1:9">
      <c r="A209" s="509"/>
      <c r="B209" s="510"/>
      <c r="C209" s="23"/>
      <c r="D209" s="23"/>
      <c r="E209" s="23"/>
      <c r="F209" s="21"/>
      <c r="G209" s="21"/>
      <c r="H209" s="21"/>
      <c r="I209" s="511"/>
    </row>
    <row r="210" spans="1:9">
      <c r="A210" s="509"/>
      <c r="B210" s="510"/>
      <c r="C210" s="23"/>
      <c r="D210" s="23"/>
      <c r="E210" s="23"/>
      <c r="F210" s="21"/>
      <c r="G210" s="21"/>
      <c r="H210" s="21"/>
      <c r="I210" s="511"/>
    </row>
    <row r="211" spans="1:9">
      <c r="A211" s="509"/>
      <c r="B211" s="510"/>
      <c r="C211" s="23"/>
      <c r="D211" s="23"/>
      <c r="E211" s="23"/>
      <c r="F211" s="21"/>
      <c r="G211" s="21"/>
      <c r="H211" s="21"/>
      <c r="I211" s="511"/>
    </row>
    <row r="212" spans="1:9">
      <c r="A212" s="509"/>
      <c r="B212" s="510"/>
      <c r="C212" s="23"/>
      <c r="D212" s="23"/>
      <c r="E212" s="23"/>
      <c r="F212" s="21"/>
      <c r="G212" s="21"/>
      <c r="H212" s="21"/>
      <c r="I212" s="511"/>
    </row>
    <row r="213" spans="1:9">
      <c r="A213" s="509"/>
      <c r="B213" s="510"/>
      <c r="C213" s="23"/>
      <c r="D213" s="23"/>
      <c r="E213" s="23"/>
      <c r="F213" s="21"/>
      <c r="G213" s="21"/>
      <c r="H213" s="21"/>
      <c r="I213" s="511"/>
    </row>
    <row r="214" spans="1:9">
      <c r="A214" s="509"/>
      <c r="B214" s="510"/>
      <c r="C214" s="23"/>
      <c r="D214" s="23"/>
      <c r="E214" s="23"/>
      <c r="F214" s="21"/>
      <c r="G214" s="21"/>
      <c r="H214" s="21"/>
      <c r="I214" s="511"/>
    </row>
    <row r="215" spans="1:9">
      <c r="A215" s="509"/>
      <c r="B215" s="510"/>
      <c r="C215" s="23"/>
      <c r="D215" s="23"/>
      <c r="E215" s="23"/>
      <c r="F215" s="21"/>
      <c r="G215" s="21"/>
      <c r="H215" s="21"/>
      <c r="I215" s="511"/>
    </row>
    <row r="216" spans="1:9">
      <c r="A216" s="509"/>
      <c r="B216" s="510"/>
      <c r="C216" s="23"/>
      <c r="D216" s="23"/>
      <c r="E216" s="23"/>
      <c r="F216" s="21"/>
      <c r="G216" s="21"/>
      <c r="H216" s="21"/>
      <c r="I216" s="511"/>
    </row>
    <row r="217" spans="1:9">
      <c r="A217" s="509"/>
      <c r="B217" s="510"/>
      <c r="C217" s="23"/>
      <c r="D217" s="23"/>
      <c r="E217" s="23"/>
      <c r="F217" s="21"/>
      <c r="G217" s="21"/>
      <c r="H217" s="21"/>
      <c r="I217" s="511"/>
    </row>
    <row r="218" spans="1:9">
      <c r="A218" s="509"/>
      <c r="B218" s="510"/>
      <c r="C218" s="23"/>
      <c r="D218" s="23"/>
      <c r="E218" s="23"/>
      <c r="F218" s="21"/>
      <c r="G218" s="21"/>
      <c r="H218" s="21"/>
      <c r="I218" s="511"/>
    </row>
    <row r="219" spans="1:9">
      <c r="A219" s="509"/>
      <c r="B219" s="510"/>
      <c r="C219" s="23"/>
      <c r="D219" s="23"/>
      <c r="E219" s="23"/>
      <c r="F219" s="21"/>
      <c r="G219" s="21"/>
      <c r="H219" s="21"/>
      <c r="I219" s="511"/>
    </row>
    <row r="220" spans="1:9">
      <c r="A220" s="509"/>
      <c r="B220" s="510"/>
      <c r="C220" s="23"/>
      <c r="D220" s="23"/>
      <c r="E220" s="23"/>
      <c r="F220" s="21"/>
      <c r="G220" s="21"/>
      <c r="H220" s="21"/>
      <c r="I220" s="511"/>
    </row>
    <row r="221" spans="1:9">
      <c r="A221" s="509"/>
      <c r="B221" s="510"/>
      <c r="C221" s="23"/>
      <c r="D221" s="23"/>
      <c r="E221" s="23"/>
      <c r="F221" s="21"/>
      <c r="G221" s="21"/>
      <c r="H221" s="21"/>
      <c r="I221" s="511"/>
    </row>
    <row r="222" spans="1:9">
      <c r="A222" s="509"/>
      <c r="B222" s="510"/>
      <c r="C222" s="23"/>
      <c r="D222" s="23"/>
      <c r="E222" s="23"/>
      <c r="F222" s="21"/>
      <c r="G222" s="21"/>
      <c r="H222" s="21"/>
      <c r="I222" s="511"/>
    </row>
    <row r="223" spans="1:9">
      <c r="A223" s="509"/>
      <c r="B223" s="510"/>
      <c r="C223" s="23"/>
      <c r="D223" s="23"/>
      <c r="E223" s="23"/>
      <c r="F223" s="21"/>
      <c r="G223" s="21"/>
      <c r="H223" s="21"/>
      <c r="I223" s="511"/>
    </row>
    <row r="224" spans="1:9">
      <c r="A224" s="509"/>
      <c r="B224" s="510"/>
      <c r="C224" s="23"/>
      <c r="D224" s="23"/>
      <c r="E224" s="23"/>
      <c r="F224" s="21"/>
      <c r="G224" s="21"/>
      <c r="H224" s="21"/>
      <c r="I224" s="511"/>
    </row>
    <row r="225" spans="1:9">
      <c r="A225" s="509"/>
      <c r="B225" s="510"/>
      <c r="C225" s="23"/>
      <c r="D225" s="23"/>
      <c r="E225" s="23"/>
      <c r="F225" s="21"/>
      <c r="G225" s="21"/>
      <c r="H225" s="21"/>
      <c r="I225" s="511"/>
    </row>
    <row r="226" spans="1:9">
      <c r="A226" s="509"/>
      <c r="B226" s="510"/>
      <c r="C226" s="23"/>
      <c r="D226" s="23"/>
      <c r="E226" s="23"/>
      <c r="F226" s="21"/>
      <c r="G226" s="21"/>
      <c r="H226" s="21"/>
      <c r="I226" s="511"/>
    </row>
    <row r="227" spans="1:9">
      <c r="A227" s="509"/>
      <c r="B227" s="510"/>
      <c r="C227" s="23"/>
      <c r="D227" s="23"/>
      <c r="E227" s="23"/>
      <c r="F227" s="21"/>
      <c r="G227" s="21"/>
      <c r="H227" s="21"/>
      <c r="I227" s="511"/>
    </row>
    <row r="228" spans="1:9">
      <c r="A228" s="509"/>
      <c r="B228" s="510"/>
      <c r="C228" s="23"/>
      <c r="D228" s="23"/>
      <c r="E228" s="23"/>
      <c r="F228" s="21"/>
      <c r="G228" s="21"/>
      <c r="H228" s="21"/>
      <c r="I228" s="511"/>
    </row>
    <row r="229" spans="1:9">
      <c r="A229" s="509"/>
      <c r="B229" s="510"/>
      <c r="C229" s="23"/>
      <c r="D229" s="23"/>
      <c r="E229" s="23"/>
      <c r="F229" s="21"/>
      <c r="G229" s="21"/>
      <c r="H229" s="21"/>
      <c r="I229" s="511"/>
    </row>
    <row r="230" spans="1:9">
      <c r="A230" s="509"/>
      <c r="B230" s="510"/>
      <c r="C230" s="23"/>
      <c r="D230" s="23"/>
      <c r="E230" s="23"/>
      <c r="F230" s="21"/>
      <c r="G230" s="21"/>
      <c r="H230" s="21"/>
      <c r="I230" s="511"/>
    </row>
    <row r="231" spans="1:9">
      <c r="A231" s="509"/>
      <c r="B231" s="510"/>
      <c r="C231" s="23"/>
      <c r="D231" s="23"/>
      <c r="E231" s="23"/>
      <c r="F231" s="21"/>
      <c r="G231" s="21"/>
      <c r="H231" s="21"/>
      <c r="I231" s="511"/>
    </row>
    <row r="232" spans="1:9">
      <c r="A232" s="509"/>
      <c r="B232" s="510"/>
      <c r="C232" s="23"/>
      <c r="D232" s="23"/>
      <c r="E232" s="23"/>
      <c r="F232" s="21"/>
      <c r="G232" s="21"/>
      <c r="H232" s="21"/>
      <c r="I232" s="511"/>
    </row>
    <row r="233" spans="1:9">
      <c r="A233" s="509"/>
      <c r="B233" s="510"/>
      <c r="C233" s="23"/>
      <c r="D233" s="23"/>
      <c r="E233" s="23"/>
      <c r="F233" s="21"/>
      <c r="G233" s="21"/>
      <c r="H233" s="21"/>
      <c r="I233" s="511"/>
    </row>
    <row r="234" spans="1:9">
      <c r="A234" s="509"/>
      <c r="B234" s="510"/>
      <c r="C234" s="23"/>
      <c r="D234" s="23"/>
      <c r="E234" s="23"/>
      <c r="F234" s="21"/>
      <c r="G234" s="21"/>
      <c r="H234" s="21"/>
      <c r="I234" s="511"/>
    </row>
    <row r="235" spans="1:9">
      <c r="A235" s="509"/>
      <c r="B235" s="510"/>
      <c r="C235" s="23"/>
      <c r="D235" s="23"/>
      <c r="E235" s="23"/>
      <c r="F235" s="21"/>
      <c r="G235" s="21"/>
      <c r="H235" s="21"/>
      <c r="I235" s="511"/>
    </row>
    <row r="236" spans="1:9">
      <c r="A236" s="509"/>
      <c r="B236" s="510"/>
      <c r="C236" s="23"/>
      <c r="D236" s="23"/>
      <c r="E236" s="23"/>
      <c r="F236" s="21"/>
      <c r="G236" s="21"/>
      <c r="H236" s="21"/>
      <c r="I236" s="511"/>
    </row>
    <row r="237" spans="1:9">
      <c r="A237" s="509"/>
      <c r="B237" s="510"/>
      <c r="C237" s="23"/>
      <c r="D237" s="23"/>
      <c r="E237" s="23"/>
      <c r="F237" s="21"/>
      <c r="G237" s="21"/>
      <c r="H237" s="21"/>
      <c r="I237" s="511"/>
    </row>
    <row r="238" spans="1:9">
      <c r="A238" s="509"/>
      <c r="B238" s="510"/>
      <c r="C238" s="23"/>
      <c r="D238" s="23"/>
      <c r="E238" s="23"/>
      <c r="F238" s="21"/>
      <c r="G238" s="21"/>
      <c r="H238" s="21"/>
      <c r="I238" s="511"/>
    </row>
    <row r="239" spans="1:9">
      <c r="A239" s="509"/>
      <c r="B239" s="510"/>
      <c r="C239" s="23"/>
      <c r="D239" s="23"/>
      <c r="E239" s="23"/>
      <c r="F239" s="21"/>
      <c r="G239" s="21"/>
      <c r="H239" s="21"/>
      <c r="I239" s="511"/>
    </row>
    <row r="240" spans="1:9">
      <c r="A240" s="509"/>
      <c r="B240" s="510"/>
      <c r="C240" s="23"/>
      <c r="D240" s="23"/>
      <c r="E240" s="23"/>
      <c r="F240" s="21"/>
      <c r="G240" s="21"/>
      <c r="H240" s="21"/>
      <c r="I240" s="511"/>
    </row>
    <row r="241" spans="1:9">
      <c r="A241" s="509"/>
      <c r="B241" s="510"/>
      <c r="C241" s="23"/>
      <c r="D241" s="23"/>
      <c r="E241" s="23"/>
      <c r="F241" s="21"/>
      <c r="G241" s="21"/>
      <c r="H241" s="21"/>
      <c r="I241" s="511"/>
    </row>
    <row r="242" spans="1:9">
      <c r="A242" s="509"/>
      <c r="B242" s="510"/>
      <c r="C242" s="23"/>
      <c r="D242" s="23"/>
      <c r="E242" s="23"/>
      <c r="F242" s="21"/>
      <c r="G242" s="21"/>
      <c r="H242" s="21"/>
      <c r="I242" s="511"/>
    </row>
    <row r="243" spans="1:9">
      <c r="A243" s="509"/>
      <c r="B243" s="510"/>
      <c r="C243" s="23"/>
      <c r="D243" s="23"/>
      <c r="E243" s="23"/>
      <c r="F243" s="21"/>
      <c r="G243" s="21"/>
      <c r="H243" s="21"/>
      <c r="I243" s="511"/>
    </row>
    <row r="244" spans="1:9">
      <c r="A244" s="509"/>
      <c r="B244" s="510"/>
      <c r="C244" s="23"/>
      <c r="D244" s="23"/>
      <c r="E244" s="23"/>
      <c r="F244" s="21"/>
      <c r="G244" s="21"/>
      <c r="H244" s="21"/>
      <c r="I244" s="511"/>
    </row>
    <row r="245" spans="1:9">
      <c r="A245" s="509"/>
      <c r="B245" s="510"/>
      <c r="C245" s="23"/>
      <c r="D245" s="23"/>
      <c r="E245" s="23"/>
      <c r="F245" s="21"/>
      <c r="G245" s="21"/>
      <c r="H245" s="21"/>
      <c r="I245" s="511"/>
    </row>
    <row r="246" spans="1:9">
      <c r="A246" s="509"/>
      <c r="B246" s="510"/>
      <c r="C246" s="23"/>
      <c r="D246" s="23"/>
      <c r="E246" s="23"/>
      <c r="F246" s="21"/>
      <c r="G246" s="21"/>
      <c r="H246" s="21"/>
      <c r="I246" s="511"/>
    </row>
    <row r="247" spans="1:9">
      <c r="A247" s="509"/>
      <c r="B247" s="510"/>
      <c r="C247" s="23"/>
      <c r="D247" s="23"/>
      <c r="E247" s="23"/>
      <c r="F247" s="21"/>
      <c r="G247" s="21"/>
      <c r="H247" s="21"/>
      <c r="I247" s="511"/>
    </row>
    <row r="248" spans="1:9">
      <c r="A248" s="509"/>
      <c r="B248" s="510"/>
      <c r="C248" s="23"/>
      <c r="D248" s="23"/>
      <c r="E248" s="23"/>
      <c r="F248" s="21"/>
      <c r="G248" s="21"/>
      <c r="H248" s="21"/>
      <c r="I248" s="511"/>
    </row>
    <row r="249" spans="1:9">
      <c r="A249" s="509"/>
      <c r="B249" s="510"/>
      <c r="C249" s="23"/>
      <c r="D249" s="23"/>
      <c r="E249" s="23"/>
      <c r="F249" s="21"/>
      <c r="G249" s="21"/>
      <c r="H249" s="21"/>
      <c r="I249" s="511"/>
    </row>
    <row r="250" spans="1:9">
      <c r="A250" s="509"/>
      <c r="B250" s="510"/>
      <c r="C250" s="23"/>
      <c r="D250" s="23"/>
      <c r="E250" s="23"/>
      <c r="F250" s="21"/>
      <c r="G250" s="21"/>
      <c r="H250" s="21"/>
      <c r="I250" s="511"/>
    </row>
    <row r="251" spans="1:9">
      <c r="A251" s="509"/>
      <c r="B251" s="510"/>
      <c r="C251" s="23"/>
      <c r="D251" s="23"/>
      <c r="E251" s="23"/>
      <c r="F251" s="21"/>
      <c r="G251" s="21"/>
      <c r="H251" s="21"/>
      <c r="I251" s="511"/>
    </row>
    <row r="252" spans="1:9">
      <c r="A252" s="509"/>
      <c r="B252" s="510"/>
      <c r="C252" s="23"/>
      <c r="D252" s="23"/>
      <c r="E252" s="23"/>
      <c r="F252" s="21"/>
      <c r="G252" s="21"/>
      <c r="H252" s="21"/>
      <c r="I252" s="511"/>
    </row>
    <row r="253" spans="1:9">
      <c r="A253" s="509"/>
      <c r="B253" s="510"/>
      <c r="C253" s="23"/>
      <c r="D253" s="23"/>
      <c r="E253" s="23"/>
      <c r="F253" s="21"/>
      <c r="G253" s="21"/>
      <c r="H253" s="21"/>
      <c r="I253" s="511"/>
    </row>
    <row r="254" spans="1:9">
      <c r="A254" s="509"/>
      <c r="B254" s="510"/>
      <c r="C254" s="23"/>
      <c r="D254" s="23"/>
      <c r="E254" s="23"/>
      <c r="F254" s="21"/>
      <c r="G254" s="21"/>
      <c r="H254" s="21"/>
      <c r="I254" s="511"/>
    </row>
    <row r="255" spans="1:9">
      <c r="A255" s="509"/>
      <c r="B255" s="510"/>
      <c r="C255" s="23"/>
      <c r="D255" s="23"/>
      <c r="E255" s="23"/>
      <c r="F255" s="21"/>
      <c r="G255" s="21"/>
      <c r="H255" s="21"/>
      <c r="I255" s="511"/>
    </row>
    <row r="256" spans="1:9">
      <c r="A256" s="509"/>
      <c r="B256" s="510"/>
      <c r="C256" s="23"/>
      <c r="D256" s="23"/>
      <c r="E256" s="23"/>
      <c r="F256" s="21"/>
      <c r="G256" s="21"/>
      <c r="H256" s="21"/>
      <c r="I256" s="511"/>
    </row>
    <row r="257" spans="1:9">
      <c r="A257" s="509"/>
      <c r="B257" s="510"/>
      <c r="C257" s="23"/>
      <c r="D257" s="23"/>
      <c r="E257" s="23"/>
      <c r="F257" s="21"/>
      <c r="G257" s="21"/>
      <c r="H257" s="21"/>
      <c r="I257" s="511"/>
    </row>
    <row r="258" spans="1:9">
      <c r="A258" s="509"/>
      <c r="B258" s="510"/>
      <c r="C258" s="23"/>
      <c r="D258" s="23"/>
      <c r="E258" s="23"/>
      <c r="F258" s="21"/>
      <c r="G258" s="21"/>
      <c r="H258" s="21"/>
      <c r="I258" s="511"/>
    </row>
    <row r="259" spans="1:9">
      <c r="A259" s="509"/>
      <c r="B259" s="510"/>
      <c r="C259" s="23"/>
      <c r="D259" s="23"/>
      <c r="E259" s="23"/>
      <c r="F259" s="21"/>
      <c r="G259" s="21"/>
      <c r="H259" s="21"/>
      <c r="I259" s="511"/>
    </row>
    <row r="260" spans="1:9">
      <c r="A260" s="509"/>
      <c r="B260" s="510"/>
      <c r="C260" s="23"/>
      <c r="D260" s="23"/>
      <c r="E260" s="23"/>
      <c r="F260" s="21"/>
      <c r="G260" s="21"/>
      <c r="H260" s="21"/>
      <c r="I260" s="511"/>
    </row>
    <row r="261" spans="1:9">
      <c r="A261" s="509"/>
      <c r="B261" s="510"/>
      <c r="C261" s="23"/>
      <c r="D261" s="23"/>
      <c r="E261" s="23"/>
      <c r="F261" s="21"/>
      <c r="G261" s="21"/>
      <c r="H261" s="21"/>
      <c r="I261" s="511"/>
    </row>
    <row r="262" spans="1:9">
      <c r="A262" s="509"/>
      <c r="B262" s="510"/>
      <c r="C262" s="23"/>
      <c r="D262" s="23"/>
      <c r="E262" s="23"/>
      <c r="F262" s="21"/>
      <c r="G262" s="21"/>
      <c r="H262" s="21"/>
      <c r="I262" s="511"/>
    </row>
    <row r="263" spans="1:9">
      <c r="A263" s="509"/>
      <c r="B263" s="510"/>
      <c r="C263" s="23"/>
      <c r="D263" s="23"/>
      <c r="E263" s="23"/>
      <c r="F263" s="21"/>
      <c r="G263" s="21"/>
      <c r="H263" s="21"/>
      <c r="I263" s="511"/>
    </row>
    <row r="264" spans="1:9">
      <c r="A264" s="509"/>
      <c r="B264" s="510"/>
      <c r="C264" s="23"/>
      <c r="D264" s="23"/>
      <c r="E264" s="23"/>
      <c r="F264" s="21"/>
      <c r="G264" s="21"/>
      <c r="H264" s="21"/>
      <c r="I264" s="511"/>
    </row>
    <row r="265" spans="1:9">
      <c r="A265" s="509"/>
      <c r="B265" s="510"/>
      <c r="C265" s="23"/>
      <c r="D265" s="23"/>
      <c r="E265" s="23"/>
      <c r="F265" s="21"/>
      <c r="G265" s="21"/>
      <c r="H265" s="21"/>
      <c r="I265" s="511"/>
    </row>
    <row r="266" spans="1:9">
      <c r="A266" s="509"/>
      <c r="B266" s="510"/>
      <c r="C266" s="23"/>
      <c r="D266" s="23"/>
      <c r="E266" s="23"/>
      <c r="F266" s="21"/>
      <c r="G266" s="21"/>
      <c r="H266" s="21"/>
      <c r="I266" s="511"/>
    </row>
    <row r="267" spans="1:9">
      <c r="A267" s="509"/>
      <c r="B267" s="510"/>
      <c r="C267" s="23"/>
      <c r="D267" s="23"/>
      <c r="E267" s="23"/>
      <c r="F267" s="21"/>
      <c r="G267" s="21"/>
      <c r="H267" s="21"/>
      <c r="I267" s="511"/>
    </row>
    <row r="268" spans="1:9">
      <c r="A268" s="509"/>
      <c r="B268" s="510"/>
      <c r="C268" s="23"/>
      <c r="D268" s="23"/>
      <c r="E268" s="23"/>
      <c r="F268" s="21"/>
      <c r="G268" s="21"/>
      <c r="H268" s="21"/>
      <c r="I268" s="511"/>
    </row>
    <row r="269" spans="1:9">
      <c r="A269" s="509"/>
      <c r="B269" s="510"/>
      <c r="C269" s="23"/>
      <c r="D269" s="23"/>
      <c r="E269" s="23"/>
      <c r="F269" s="21"/>
      <c r="G269" s="21"/>
      <c r="H269" s="21"/>
      <c r="I269" s="511"/>
    </row>
    <row r="270" spans="1:9">
      <c r="A270" s="509"/>
      <c r="B270" s="510"/>
      <c r="C270" s="23"/>
      <c r="D270" s="23"/>
      <c r="E270" s="23"/>
      <c r="F270" s="21"/>
      <c r="G270" s="21"/>
      <c r="H270" s="21"/>
      <c r="I270" s="511"/>
    </row>
    <row r="271" spans="1:9">
      <c r="A271" s="509"/>
      <c r="B271" s="510"/>
      <c r="C271" s="23"/>
      <c r="D271" s="23"/>
      <c r="E271" s="23"/>
      <c r="F271" s="21"/>
      <c r="G271" s="21"/>
      <c r="H271" s="21"/>
      <c r="I271" s="511"/>
    </row>
    <row r="272" spans="1:9">
      <c r="A272" s="509"/>
      <c r="B272" s="510"/>
      <c r="C272" s="23"/>
      <c r="D272" s="23"/>
      <c r="E272" s="23"/>
      <c r="F272" s="21"/>
      <c r="G272" s="21"/>
      <c r="H272" s="21"/>
      <c r="I272" s="511"/>
    </row>
    <row r="273" spans="1:9">
      <c r="A273" s="509"/>
      <c r="B273" s="510"/>
      <c r="C273" s="23"/>
      <c r="D273" s="23"/>
      <c r="E273" s="23"/>
      <c r="F273" s="21"/>
      <c r="G273" s="21"/>
      <c r="H273" s="21"/>
      <c r="I273" s="511"/>
    </row>
    <row r="274" spans="1:9">
      <c r="A274" s="509"/>
      <c r="B274" s="510"/>
      <c r="C274" s="23"/>
      <c r="D274" s="23"/>
      <c r="E274" s="23"/>
      <c r="F274" s="21"/>
      <c r="G274" s="21"/>
      <c r="H274" s="21"/>
      <c r="I274" s="511"/>
    </row>
    <row r="275" spans="1:9">
      <c r="A275" s="509"/>
      <c r="B275" s="510"/>
      <c r="C275" s="23"/>
      <c r="D275" s="23"/>
      <c r="E275" s="23"/>
      <c r="F275" s="21"/>
      <c r="G275" s="21"/>
      <c r="H275" s="21"/>
      <c r="I275" s="511"/>
    </row>
    <row r="276" spans="1:9">
      <c r="A276" s="509"/>
      <c r="B276" s="510"/>
      <c r="C276" s="23"/>
      <c r="D276" s="23"/>
      <c r="E276" s="23"/>
      <c r="F276" s="21"/>
      <c r="G276" s="21"/>
      <c r="H276" s="21"/>
      <c r="I276" s="511"/>
    </row>
    <row r="277" spans="1:9">
      <c r="A277" s="509"/>
      <c r="B277" s="510"/>
      <c r="C277" s="23"/>
      <c r="D277" s="23"/>
      <c r="E277" s="23"/>
      <c r="F277" s="21"/>
      <c r="G277" s="21"/>
      <c r="H277" s="21"/>
      <c r="I277" s="511"/>
    </row>
    <row r="278" spans="1:9">
      <c r="A278" s="509"/>
      <c r="B278" s="510"/>
      <c r="C278" s="23"/>
      <c r="D278" s="23"/>
      <c r="E278" s="23"/>
      <c r="F278" s="21"/>
      <c r="G278" s="21"/>
      <c r="H278" s="21"/>
      <c r="I278" s="511"/>
    </row>
    <row r="279" spans="1:9">
      <c r="A279" s="509"/>
      <c r="B279" s="510"/>
      <c r="C279" s="23"/>
      <c r="D279" s="23"/>
      <c r="E279" s="23"/>
      <c r="F279" s="21"/>
      <c r="G279" s="21"/>
      <c r="H279" s="21"/>
      <c r="I279" s="511"/>
    </row>
    <row r="280" spans="1:9">
      <c r="A280" s="509"/>
      <c r="B280" s="510"/>
      <c r="C280" s="23"/>
      <c r="D280" s="23"/>
      <c r="E280" s="23"/>
      <c r="F280" s="21"/>
      <c r="G280" s="21"/>
      <c r="H280" s="21"/>
      <c r="I280" s="511"/>
    </row>
    <row r="281" spans="1:9">
      <c r="A281" s="509"/>
      <c r="B281" s="510"/>
      <c r="C281" s="23"/>
      <c r="D281" s="23"/>
      <c r="E281" s="23"/>
      <c r="F281" s="21"/>
      <c r="G281" s="21"/>
      <c r="H281" s="21"/>
      <c r="I281" s="511"/>
    </row>
    <row r="282" spans="1:9">
      <c r="A282" s="509"/>
      <c r="B282" s="510"/>
      <c r="C282" s="23"/>
      <c r="D282" s="23"/>
      <c r="E282" s="23"/>
      <c r="F282" s="21"/>
      <c r="G282" s="21"/>
      <c r="H282" s="21"/>
      <c r="I282" s="511"/>
    </row>
    <row r="283" spans="1:9">
      <c r="A283" s="509"/>
      <c r="B283" s="510"/>
      <c r="C283" s="23"/>
      <c r="D283" s="23"/>
      <c r="E283" s="23"/>
      <c r="F283" s="21"/>
      <c r="G283" s="21"/>
      <c r="H283" s="21"/>
      <c r="I283" s="511"/>
    </row>
    <row r="284" spans="1:9">
      <c r="A284" s="509"/>
      <c r="B284" s="510"/>
      <c r="C284" s="23"/>
      <c r="D284" s="23"/>
      <c r="E284" s="23"/>
      <c r="F284" s="21"/>
      <c r="G284" s="21"/>
      <c r="H284" s="21"/>
      <c r="I284" s="511"/>
    </row>
    <row r="285" spans="1:9">
      <c r="A285" s="509"/>
      <c r="B285" s="510"/>
      <c r="C285" s="23"/>
      <c r="D285" s="23"/>
      <c r="E285" s="23"/>
      <c r="F285" s="21"/>
      <c r="G285" s="21"/>
      <c r="H285" s="21"/>
      <c r="I285" s="511"/>
    </row>
    <row r="286" spans="1:9">
      <c r="A286" s="509"/>
      <c r="B286" s="510"/>
      <c r="C286" s="23"/>
      <c r="D286" s="23"/>
      <c r="E286" s="23"/>
      <c r="F286" s="21"/>
      <c r="G286" s="21"/>
      <c r="H286" s="21"/>
      <c r="I286" s="511"/>
    </row>
    <row r="287" spans="1:9">
      <c r="A287" s="509"/>
      <c r="B287" s="510"/>
      <c r="C287" s="23"/>
      <c r="D287" s="23"/>
      <c r="E287" s="23"/>
      <c r="F287" s="21"/>
      <c r="G287" s="21"/>
      <c r="H287" s="21"/>
      <c r="I287" s="511"/>
    </row>
    <row r="288" spans="1:9">
      <c r="A288" s="509"/>
      <c r="B288" s="510"/>
      <c r="C288" s="23"/>
      <c r="D288" s="23"/>
      <c r="E288" s="23"/>
      <c r="F288" s="21"/>
      <c r="G288" s="21"/>
      <c r="H288" s="21"/>
      <c r="I288" s="511"/>
    </row>
    <row r="289" spans="1:9">
      <c r="A289" s="509"/>
      <c r="B289" s="510"/>
      <c r="C289" s="23"/>
      <c r="D289" s="23"/>
      <c r="E289" s="23"/>
      <c r="F289" s="21"/>
      <c r="G289" s="21"/>
      <c r="H289" s="21"/>
      <c r="I289" s="511"/>
    </row>
    <row r="290" spans="1:9">
      <c r="A290" s="509"/>
      <c r="B290" s="510"/>
      <c r="C290" s="23"/>
      <c r="D290" s="23"/>
      <c r="E290" s="23"/>
      <c r="F290" s="21"/>
      <c r="G290" s="21"/>
      <c r="H290" s="21"/>
      <c r="I290" s="511"/>
    </row>
    <row r="291" spans="1:9">
      <c r="A291" s="509"/>
      <c r="B291" s="510"/>
      <c r="C291" s="23"/>
      <c r="D291" s="23"/>
      <c r="E291" s="23"/>
      <c r="F291" s="21"/>
      <c r="G291" s="21"/>
      <c r="H291" s="21"/>
      <c r="I291" s="511"/>
    </row>
    <row r="292" spans="1:9">
      <c r="A292" s="509"/>
      <c r="B292" s="510"/>
      <c r="C292" s="23"/>
      <c r="D292" s="23"/>
      <c r="E292" s="23"/>
      <c r="F292" s="21"/>
      <c r="G292" s="21"/>
      <c r="H292" s="21"/>
      <c r="I292" s="511"/>
    </row>
    <row r="293" spans="1:9">
      <c r="A293" s="509"/>
      <c r="B293" s="510"/>
      <c r="C293" s="23"/>
      <c r="D293" s="23"/>
      <c r="E293" s="23"/>
      <c r="F293" s="21"/>
      <c r="G293" s="21"/>
      <c r="H293" s="21"/>
      <c r="I293" s="511"/>
    </row>
    <row r="294" spans="1:9">
      <c r="A294" s="509"/>
      <c r="B294" s="510"/>
      <c r="C294" s="23"/>
      <c r="D294" s="23"/>
      <c r="E294" s="23"/>
      <c r="F294" s="21"/>
      <c r="G294" s="21"/>
      <c r="H294" s="21"/>
      <c r="I294" s="511"/>
    </row>
    <row r="295" spans="1:9">
      <c r="A295" s="509"/>
      <c r="B295" s="510"/>
      <c r="C295" s="23"/>
      <c r="D295" s="23"/>
      <c r="E295" s="23"/>
      <c r="F295" s="21"/>
      <c r="G295" s="21"/>
      <c r="H295" s="21"/>
      <c r="I295" s="511"/>
    </row>
    <row r="296" spans="1:9">
      <c r="A296" s="509"/>
      <c r="B296" s="510"/>
      <c r="C296" s="23"/>
      <c r="D296" s="23"/>
      <c r="E296" s="23"/>
      <c r="F296" s="21"/>
      <c r="G296" s="21"/>
      <c r="H296" s="21"/>
      <c r="I296" s="511"/>
    </row>
    <row r="297" spans="1:9">
      <c r="A297" s="509"/>
      <c r="B297" s="510"/>
      <c r="C297" s="23"/>
      <c r="D297" s="23"/>
      <c r="E297" s="23"/>
      <c r="F297" s="21"/>
      <c r="G297" s="21"/>
      <c r="H297" s="21"/>
      <c r="I297" s="511"/>
    </row>
    <row r="298" spans="1:9">
      <c r="A298" s="509"/>
      <c r="B298" s="510"/>
      <c r="C298" s="23"/>
      <c r="D298" s="23"/>
      <c r="E298" s="23"/>
      <c r="F298" s="21"/>
      <c r="G298" s="21"/>
      <c r="H298" s="21"/>
      <c r="I298" s="511"/>
    </row>
    <row r="299" spans="1:9">
      <c r="A299" s="509"/>
      <c r="B299" s="510"/>
      <c r="C299" s="23"/>
      <c r="D299" s="23"/>
      <c r="E299" s="23"/>
      <c r="F299" s="21"/>
      <c r="G299" s="21"/>
      <c r="H299" s="21"/>
      <c r="I299" s="511"/>
    </row>
    <row r="300" spans="1:9">
      <c r="A300" s="509"/>
      <c r="B300" s="510"/>
      <c r="C300" s="23"/>
      <c r="D300" s="23"/>
      <c r="E300" s="23"/>
      <c r="F300" s="21"/>
      <c r="G300" s="21"/>
      <c r="H300" s="21"/>
      <c r="I300" s="511"/>
    </row>
    <row r="301" spans="1:9">
      <c r="A301" s="509"/>
      <c r="B301" s="510"/>
      <c r="C301" s="23"/>
      <c r="D301" s="23"/>
      <c r="E301" s="23"/>
      <c r="F301" s="21"/>
      <c r="G301" s="21"/>
      <c r="H301" s="21"/>
      <c r="I301" s="511"/>
    </row>
    <row r="302" spans="1:9">
      <c r="A302" s="509"/>
      <c r="B302" s="510"/>
      <c r="C302" s="23"/>
      <c r="D302" s="23"/>
      <c r="E302" s="23"/>
      <c r="F302" s="21"/>
      <c r="G302" s="21"/>
      <c r="H302" s="21"/>
      <c r="I302" s="511"/>
    </row>
    <row r="303" spans="1:9">
      <c r="A303" s="509"/>
      <c r="B303" s="510"/>
      <c r="C303" s="23"/>
      <c r="D303" s="23"/>
      <c r="E303" s="23"/>
      <c r="F303" s="21"/>
      <c r="G303" s="21"/>
      <c r="H303" s="21"/>
      <c r="I303" s="511"/>
    </row>
    <row r="304" spans="1:9">
      <c r="A304" s="509"/>
      <c r="B304" s="510"/>
      <c r="C304" s="23"/>
      <c r="D304" s="23"/>
      <c r="E304" s="23"/>
      <c r="F304" s="21"/>
      <c r="G304" s="21"/>
      <c r="H304" s="21"/>
      <c r="I304" s="511"/>
    </row>
    <row r="305" spans="1:9">
      <c r="A305" s="509"/>
      <c r="B305" s="510"/>
      <c r="C305" s="23"/>
      <c r="D305" s="23"/>
      <c r="E305" s="23"/>
      <c r="F305" s="21"/>
      <c r="G305" s="21"/>
      <c r="H305" s="21"/>
      <c r="I305" s="511"/>
    </row>
    <row r="306" spans="1:9">
      <c r="A306" s="509"/>
      <c r="B306" s="510"/>
      <c r="C306" s="23"/>
      <c r="D306" s="23"/>
      <c r="E306" s="23"/>
      <c r="F306" s="21"/>
      <c r="G306" s="21"/>
      <c r="H306" s="21"/>
      <c r="I306" s="511"/>
    </row>
    <row r="307" spans="1:9">
      <c r="A307" s="509"/>
      <c r="B307" s="510"/>
      <c r="C307" s="23"/>
      <c r="D307" s="23"/>
      <c r="E307" s="23"/>
      <c r="F307" s="21"/>
      <c r="G307" s="21"/>
      <c r="H307" s="21"/>
      <c r="I307" s="511"/>
    </row>
    <row r="308" spans="1:9">
      <c r="A308" s="509"/>
      <c r="B308" s="510"/>
      <c r="C308" s="23"/>
      <c r="D308" s="23"/>
      <c r="E308" s="23"/>
      <c r="F308" s="21"/>
      <c r="G308" s="21"/>
      <c r="H308" s="21"/>
      <c r="I308" s="511"/>
    </row>
    <row r="309" spans="1:9">
      <c r="A309" s="509"/>
      <c r="B309" s="510"/>
      <c r="C309" s="23"/>
      <c r="D309" s="23"/>
      <c r="E309" s="23"/>
      <c r="F309" s="21"/>
      <c r="G309" s="21"/>
      <c r="H309" s="21"/>
      <c r="I309" s="511"/>
    </row>
    <row r="310" spans="1:9">
      <c r="A310" s="509"/>
      <c r="B310" s="510"/>
      <c r="C310" s="23"/>
      <c r="D310" s="23"/>
      <c r="E310" s="23"/>
      <c r="F310" s="21"/>
      <c r="G310" s="21"/>
      <c r="H310" s="21"/>
      <c r="I310" s="511"/>
    </row>
    <row r="311" spans="1:9">
      <c r="A311" s="509"/>
      <c r="B311" s="510"/>
      <c r="C311" s="23"/>
      <c r="D311" s="23"/>
      <c r="E311" s="23"/>
      <c r="F311" s="21"/>
      <c r="G311" s="21"/>
      <c r="H311" s="21"/>
      <c r="I311" s="511"/>
    </row>
    <row r="312" spans="1:9">
      <c r="A312" s="509"/>
      <c r="B312" s="510"/>
      <c r="C312" s="23"/>
      <c r="D312" s="23"/>
      <c r="E312" s="23"/>
      <c r="F312" s="21"/>
      <c r="G312" s="21"/>
      <c r="H312" s="21"/>
      <c r="I312" s="511"/>
    </row>
    <row r="313" spans="1:9">
      <c r="A313" s="509"/>
      <c r="B313" s="510"/>
      <c r="C313" s="23"/>
      <c r="D313" s="23"/>
      <c r="E313" s="23"/>
      <c r="F313" s="21"/>
      <c r="G313" s="21"/>
      <c r="H313" s="21"/>
      <c r="I313" s="511"/>
    </row>
    <row r="314" spans="1:9">
      <c r="A314" s="509"/>
      <c r="B314" s="510"/>
      <c r="C314" s="23"/>
      <c r="D314" s="23"/>
      <c r="E314" s="23"/>
      <c r="F314" s="21"/>
      <c r="G314" s="21"/>
      <c r="H314" s="21"/>
      <c r="I314" s="511"/>
    </row>
    <row r="315" spans="1:9">
      <c r="A315" s="509"/>
      <c r="B315" s="510"/>
      <c r="C315" s="23"/>
      <c r="D315" s="23"/>
      <c r="E315" s="23"/>
      <c r="F315" s="21"/>
      <c r="G315" s="21"/>
      <c r="H315" s="21"/>
      <c r="I315" s="511"/>
    </row>
    <row r="316" spans="1:9">
      <c r="A316" s="509"/>
      <c r="B316" s="510"/>
      <c r="C316" s="23"/>
      <c r="D316" s="23"/>
      <c r="E316" s="23"/>
      <c r="F316" s="21"/>
      <c r="G316" s="21"/>
      <c r="H316" s="21"/>
      <c r="I316" s="511"/>
    </row>
    <row r="317" spans="1:9">
      <c r="A317" s="509"/>
      <c r="B317" s="510"/>
      <c r="C317" s="23"/>
      <c r="D317" s="23"/>
      <c r="E317" s="23"/>
      <c r="F317" s="21"/>
      <c r="G317" s="21"/>
      <c r="H317" s="21"/>
      <c r="I317" s="511"/>
    </row>
    <row r="318" spans="1:9">
      <c r="A318" s="509"/>
      <c r="B318" s="510"/>
      <c r="C318" s="23"/>
      <c r="D318" s="23"/>
      <c r="E318" s="23"/>
      <c r="F318" s="21"/>
      <c r="G318" s="21"/>
      <c r="H318" s="21"/>
      <c r="I318" s="511"/>
    </row>
    <row r="319" spans="1:9">
      <c r="A319" s="509"/>
      <c r="B319" s="510"/>
      <c r="C319" s="23"/>
      <c r="D319" s="23"/>
      <c r="E319" s="23"/>
      <c r="F319" s="21"/>
      <c r="G319" s="21"/>
      <c r="H319" s="21"/>
      <c r="I319" s="511"/>
    </row>
    <row r="320" spans="1:9">
      <c r="A320" s="509"/>
      <c r="B320" s="510"/>
      <c r="C320" s="23"/>
      <c r="D320" s="23"/>
      <c r="E320" s="23"/>
      <c r="F320" s="21"/>
      <c r="G320" s="21"/>
      <c r="H320" s="21"/>
      <c r="I320" s="511"/>
    </row>
    <row r="321" spans="1:9">
      <c r="A321" s="509"/>
      <c r="B321" s="510"/>
      <c r="C321" s="23"/>
      <c r="D321" s="23"/>
      <c r="E321" s="23"/>
      <c r="F321" s="21"/>
      <c r="G321" s="21"/>
      <c r="H321" s="21"/>
      <c r="I321" s="511"/>
    </row>
    <row r="322" spans="1:9">
      <c r="A322" s="509"/>
      <c r="B322" s="510"/>
      <c r="C322" s="23"/>
      <c r="D322" s="23"/>
      <c r="E322" s="23"/>
      <c r="F322" s="21"/>
      <c r="G322" s="21"/>
      <c r="H322" s="21"/>
      <c r="I322" s="511"/>
    </row>
    <row r="323" spans="1:9">
      <c r="A323" s="509"/>
      <c r="B323" s="510"/>
      <c r="C323" s="23"/>
      <c r="D323" s="23"/>
      <c r="E323" s="23"/>
      <c r="F323" s="21"/>
      <c r="G323" s="21"/>
      <c r="H323" s="21"/>
      <c r="I323" s="511"/>
    </row>
    <row r="324" spans="1:9">
      <c r="A324" s="509"/>
      <c r="B324" s="510"/>
      <c r="C324" s="23"/>
      <c r="D324" s="23"/>
      <c r="E324" s="23"/>
      <c r="F324" s="21"/>
      <c r="G324" s="21"/>
      <c r="H324" s="21"/>
      <c r="I324" s="511"/>
    </row>
    <row r="325" spans="1:9">
      <c r="A325" s="509"/>
      <c r="B325" s="510"/>
      <c r="C325" s="23"/>
      <c r="D325" s="23"/>
      <c r="E325" s="23"/>
      <c r="F325" s="21"/>
      <c r="G325" s="21"/>
      <c r="H325" s="21"/>
      <c r="I325" s="511"/>
    </row>
    <row r="326" spans="1:9">
      <c r="A326" s="509"/>
      <c r="B326" s="510"/>
      <c r="C326" s="23"/>
      <c r="D326" s="23"/>
      <c r="E326" s="23"/>
      <c r="F326" s="21"/>
      <c r="G326" s="21"/>
      <c r="H326" s="21"/>
      <c r="I326" s="511"/>
    </row>
    <row r="327" spans="1:9">
      <c r="A327" s="509"/>
      <c r="B327" s="510"/>
      <c r="C327" s="23"/>
      <c r="D327" s="23"/>
      <c r="E327" s="23"/>
      <c r="F327" s="21"/>
      <c r="G327" s="21"/>
      <c r="H327" s="21"/>
      <c r="I327" s="511"/>
    </row>
    <row r="328" spans="1:9">
      <c r="A328" s="509"/>
      <c r="B328" s="510"/>
      <c r="C328" s="23"/>
      <c r="D328" s="23"/>
      <c r="E328" s="23"/>
      <c r="F328" s="21"/>
      <c r="G328" s="21"/>
      <c r="H328" s="21"/>
      <c r="I328" s="511"/>
    </row>
    <row r="329" spans="1:9">
      <c r="A329" s="509"/>
      <c r="B329" s="510"/>
      <c r="C329" s="23"/>
      <c r="D329" s="23"/>
      <c r="E329" s="23"/>
      <c r="F329" s="21"/>
      <c r="G329" s="21"/>
      <c r="H329" s="21"/>
      <c r="I329" s="511"/>
    </row>
    <row r="330" spans="1:9">
      <c r="A330" s="509"/>
      <c r="B330" s="510"/>
      <c r="C330" s="23"/>
      <c r="D330" s="23"/>
      <c r="E330" s="23"/>
      <c r="F330" s="21"/>
      <c r="G330" s="21"/>
      <c r="H330" s="21"/>
      <c r="I330" s="511"/>
    </row>
    <row r="331" spans="1:9">
      <c r="A331" s="509"/>
      <c r="B331" s="510"/>
      <c r="C331" s="23"/>
      <c r="D331" s="23"/>
      <c r="E331" s="23"/>
      <c r="F331" s="21"/>
      <c r="G331" s="21"/>
      <c r="H331" s="21"/>
      <c r="I331" s="511"/>
    </row>
    <row r="332" spans="1:9">
      <c r="A332" s="509"/>
      <c r="B332" s="510"/>
      <c r="C332" s="23"/>
      <c r="D332" s="23"/>
      <c r="E332" s="23"/>
      <c r="F332" s="21"/>
      <c r="G332" s="21"/>
      <c r="H332" s="21"/>
      <c r="I332" s="511"/>
    </row>
    <row r="333" spans="1:9">
      <c r="A333" s="509"/>
      <c r="B333" s="510"/>
      <c r="C333" s="23"/>
      <c r="D333" s="23"/>
      <c r="E333" s="23"/>
      <c r="F333" s="21"/>
      <c r="G333" s="21"/>
      <c r="H333" s="21"/>
      <c r="I333" s="511"/>
    </row>
    <row r="334" spans="1:9">
      <c r="A334" s="509"/>
      <c r="B334" s="510"/>
      <c r="C334" s="23"/>
      <c r="D334" s="23"/>
      <c r="E334" s="23"/>
      <c r="F334" s="21"/>
      <c r="G334" s="21"/>
      <c r="H334" s="21"/>
      <c r="I334" s="511"/>
    </row>
    <row r="335" spans="1:9">
      <c r="A335" s="509"/>
      <c r="B335" s="510"/>
      <c r="C335" s="23"/>
      <c r="D335" s="23"/>
      <c r="E335" s="23"/>
      <c r="F335" s="21"/>
      <c r="G335" s="21"/>
      <c r="H335" s="21"/>
      <c r="I335" s="511"/>
    </row>
    <row r="336" spans="1:9">
      <c r="A336" s="509"/>
      <c r="B336" s="510"/>
      <c r="C336" s="23"/>
      <c r="D336" s="23"/>
      <c r="E336" s="23"/>
      <c r="F336" s="21"/>
      <c r="G336" s="21"/>
      <c r="H336" s="21"/>
      <c r="I336" s="511"/>
    </row>
    <row r="337" spans="1:9">
      <c r="A337" s="509"/>
      <c r="B337" s="510"/>
      <c r="C337" s="23"/>
      <c r="D337" s="23"/>
      <c r="E337" s="23"/>
      <c r="F337" s="21"/>
      <c r="G337" s="21"/>
      <c r="H337" s="21"/>
      <c r="I337" s="511"/>
    </row>
    <row r="338" spans="1:9">
      <c r="A338" s="509"/>
      <c r="B338" s="510"/>
      <c r="C338" s="23"/>
      <c r="D338" s="23"/>
      <c r="E338" s="23"/>
      <c r="F338" s="21"/>
      <c r="G338" s="21"/>
      <c r="H338" s="21"/>
      <c r="I338" s="511"/>
    </row>
    <row r="339" spans="1:9">
      <c r="A339" s="509"/>
      <c r="B339" s="510"/>
      <c r="C339" s="23"/>
      <c r="D339" s="23"/>
      <c r="E339" s="23"/>
      <c r="F339" s="21"/>
      <c r="G339" s="21"/>
      <c r="H339" s="21"/>
      <c r="I339" s="511"/>
    </row>
    <row r="340" spans="1:9">
      <c r="A340" s="509"/>
      <c r="B340" s="510"/>
      <c r="C340" s="23"/>
      <c r="D340" s="23"/>
      <c r="E340" s="23"/>
      <c r="F340" s="21"/>
      <c r="G340" s="21"/>
      <c r="H340" s="21"/>
      <c r="I340" s="511"/>
    </row>
    <row r="341" spans="1:9">
      <c r="A341" s="509"/>
      <c r="B341" s="510"/>
      <c r="C341" s="23"/>
      <c r="D341" s="23"/>
      <c r="E341" s="23"/>
      <c r="F341" s="21"/>
      <c r="G341" s="21"/>
      <c r="H341" s="21"/>
      <c r="I341" s="511"/>
    </row>
    <row r="342" spans="1:9">
      <c r="A342" s="509"/>
      <c r="B342" s="510"/>
      <c r="C342" s="23"/>
      <c r="D342" s="23"/>
      <c r="E342" s="23"/>
      <c r="F342" s="21"/>
      <c r="G342" s="21"/>
      <c r="H342" s="21"/>
      <c r="I342" s="511"/>
    </row>
    <row r="343" spans="1:9">
      <c r="A343" s="509"/>
      <c r="B343" s="510"/>
      <c r="C343" s="23"/>
      <c r="D343" s="23"/>
      <c r="E343" s="23"/>
      <c r="F343" s="21"/>
      <c r="G343" s="21"/>
      <c r="H343" s="21"/>
      <c r="I343" s="511"/>
    </row>
    <row r="344" spans="1:9">
      <c r="A344" s="509"/>
      <c r="B344" s="510"/>
      <c r="C344" s="23"/>
      <c r="D344" s="23"/>
      <c r="E344" s="23"/>
      <c r="F344" s="21"/>
      <c r="G344" s="21"/>
      <c r="H344" s="21"/>
      <c r="I344" s="511"/>
    </row>
    <row r="345" spans="1:9">
      <c r="A345" s="509"/>
      <c r="B345" s="510"/>
      <c r="C345" s="23"/>
      <c r="D345" s="23"/>
      <c r="E345" s="23"/>
      <c r="F345" s="21"/>
      <c r="G345" s="21"/>
      <c r="H345" s="21"/>
      <c r="I345" s="511"/>
    </row>
    <row r="346" spans="1:9">
      <c r="A346" s="509"/>
      <c r="B346" s="510"/>
      <c r="C346" s="23"/>
      <c r="D346" s="23"/>
      <c r="E346" s="23"/>
      <c r="F346" s="21"/>
      <c r="G346" s="21"/>
      <c r="H346" s="21"/>
      <c r="I346" s="511"/>
    </row>
    <row r="347" spans="1:9">
      <c r="A347" s="509"/>
      <c r="B347" s="510"/>
      <c r="C347" s="23"/>
      <c r="D347" s="23"/>
      <c r="E347" s="23"/>
      <c r="F347" s="21"/>
      <c r="G347" s="21"/>
      <c r="H347" s="21"/>
      <c r="I347" s="511"/>
    </row>
    <row r="348" spans="1:9">
      <c r="A348" s="509"/>
      <c r="B348" s="510"/>
      <c r="C348" s="23"/>
      <c r="D348" s="23"/>
      <c r="E348" s="23"/>
      <c r="F348" s="21"/>
      <c r="G348" s="21"/>
      <c r="H348" s="21"/>
      <c r="I348" s="511"/>
    </row>
    <row r="349" spans="1:9">
      <c r="A349" s="509"/>
      <c r="B349" s="510"/>
      <c r="C349" s="23"/>
      <c r="D349" s="23"/>
      <c r="E349" s="23"/>
      <c r="F349" s="21"/>
      <c r="G349" s="21"/>
      <c r="H349" s="21"/>
      <c r="I349" s="511"/>
    </row>
    <row r="350" spans="1:9">
      <c r="A350" s="509"/>
      <c r="B350" s="510"/>
      <c r="C350" s="23"/>
      <c r="D350" s="23"/>
      <c r="E350" s="23"/>
      <c r="F350" s="21"/>
      <c r="G350" s="21"/>
      <c r="H350" s="21"/>
      <c r="I350" s="511"/>
    </row>
    <row r="351" spans="1:9">
      <c r="A351" s="509"/>
      <c r="B351" s="510"/>
      <c r="C351" s="23"/>
      <c r="D351" s="23"/>
      <c r="E351" s="23"/>
      <c r="F351" s="21"/>
      <c r="G351" s="21"/>
      <c r="H351" s="21"/>
      <c r="I351" s="511"/>
    </row>
    <row r="352" spans="1:9">
      <c r="A352" s="509"/>
      <c r="B352" s="510"/>
      <c r="C352" s="23"/>
      <c r="D352" s="23"/>
      <c r="E352" s="23"/>
      <c r="F352" s="21"/>
      <c r="G352" s="21"/>
      <c r="H352" s="21"/>
      <c r="I352" s="511"/>
    </row>
    <row r="353" spans="1:9">
      <c r="A353" s="509"/>
      <c r="B353" s="510"/>
      <c r="C353" s="23"/>
      <c r="D353" s="23"/>
      <c r="E353" s="23"/>
      <c r="F353" s="21"/>
      <c r="G353" s="21"/>
      <c r="H353" s="21"/>
      <c r="I353" s="511"/>
    </row>
    <row r="354" spans="1:9">
      <c r="A354" s="509"/>
      <c r="B354" s="510"/>
      <c r="C354" s="23"/>
      <c r="D354" s="23"/>
      <c r="E354" s="23"/>
      <c r="F354" s="21"/>
      <c r="G354" s="21"/>
      <c r="H354" s="21"/>
      <c r="I354" s="511"/>
    </row>
    <row r="355" spans="1:9">
      <c r="A355" s="509"/>
      <c r="B355" s="510"/>
      <c r="C355" s="23"/>
      <c r="D355" s="23"/>
      <c r="E355" s="23"/>
      <c r="F355" s="21"/>
      <c r="G355" s="21"/>
      <c r="H355" s="21"/>
      <c r="I355" s="511"/>
    </row>
    <row r="356" spans="1:9">
      <c r="A356" s="509"/>
      <c r="B356" s="510"/>
      <c r="C356" s="23"/>
      <c r="D356" s="23"/>
      <c r="E356" s="23"/>
      <c r="F356" s="21"/>
      <c r="G356" s="21"/>
      <c r="H356" s="21"/>
      <c r="I356" s="511"/>
    </row>
    <row r="357" spans="1:9">
      <c r="A357" s="509"/>
      <c r="B357" s="510"/>
      <c r="C357" s="23"/>
      <c r="D357" s="23"/>
      <c r="E357" s="23"/>
      <c r="F357" s="21"/>
      <c r="G357" s="21"/>
      <c r="H357" s="21"/>
      <c r="I357" s="511"/>
    </row>
    <row r="358" spans="1:9">
      <c r="A358" s="509"/>
      <c r="B358" s="510"/>
      <c r="C358" s="23"/>
      <c r="D358" s="23"/>
      <c r="E358" s="23"/>
      <c r="F358" s="21"/>
      <c r="G358" s="21"/>
      <c r="H358" s="21"/>
      <c r="I358" s="511"/>
    </row>
    <row r="359" spans="1:9">
      <c r="A359" s="509"/>
      <c r="B359" s="510"/>
      <c r="C359" s="23"/>
      <c r="D359" s="23"/>
      <c r="E359" s="23"/>
      <c r="F359" s="21"/>
      <c r="G359" s="21"/>
      <c r="H359" s="21"/>
      <c r="I359" s="511"/>
    </row>
    <row r="360" spans="1:9">
      <c r="A360" s="509"/>
      <c r="B360" s="510"/>
      <c r="C360" s="23"/>
      <c r="D360" s="23"/>
      <c r="E360" s="23"/>
      <c r="F360" s="21"/>
      <c r="G360" s="21"/>
      <c r="H360" s="21"/>
      <c r="I360" s="511"/>
    </row>
    <row r="361" spans="1:9">
      <c r="A361" s="509"/>
      <c r="B361" s="510"/>
      <c r="C361" s="23"/>
      <c r="D361" s="23"/>
      <c r="E361" s="23"/>
      <c r="F361" s="21"/>
      <c r="G361" s="21"/>
      <c r="H361" s="21"/>
      <c r="I361" s="511"/>
    </row>
    <row r="362" spans="1:9">
      <c r="A362" s="509"/>
      <c r="B362" s="510"/>
      <c r="C362" s="23"/>
      <c r="D362" s="23"/>
      <c r="E362" s="23"/>
      <c r="F362" s="21"/>
      <c r="G362" s="21"/>
      <c r="H362" s="21"/>
      <c r="I362" s="511"/>
    </row>
    <row r="363" spans="1:9">
      <c r="A363" s="509"/>
      <c r="B363" s="510"/>
      <c r="C363" s="23"/>
      <c r="D363" s="23"/>
      <c r="E363" s="23"/>
      <c r="F363" s="21"/>
      <c r="G363" s="21"/>
      <c r="H363" s="21"/>
      <c r="I363" s="511"/>
    </row>
    <row r="364" spans="1:9">
      <c r="A364" s="509"/>
      <c r="B364" s="510"/>
      <c r="C364" s="23"/>
      <c r="D364" s="23"/>
      <c r="E364" s="23"/>
      <c r="F364" s="21"/>
      <c r="G364" s="21"/>
      <c r="H364" s="21"/>
      <c r="I364" s="511"/>
    </row>
    <row r="365" spans="1:9">
      <c r="A365" s="509"/>
      <c r="B365" s="510"/>
      <c r="C365" s="23"/>
      <c r="D365" s="23"/>
      <c r="E365" s="23"/>
      <c r="F365" s="21"/>
      <c r="G365" s="21"/>
      <c r="H365" s="21"/>
      <c r="I365" s="511"/>
    </row>
    <row r="366" spans="1:9">
      <c r="A366" s="509"/>
      <c r="B366" s="510"/>
      <c r="C366" s="23"/>
      <c r="D366" s="23"/>
      <c r="E366" s="23"/>
      <c r="F366" s="21"/>
      <c r="G366" s="21"/>
      <c r="H366" s="21"/>
      <c r="I366" s="511"/>
    </row>
    <row r="367" spans="1:9">
      <c r="A367" s="509"/>
      <c r="B367" s="510"/>
      <c r="C367" s="23"/>
      <c r="D367" s="23"/>
      <c r="E367" s="23"/>
      <c r="F367" s="21"/>
      <c r="G367" s="21"/>
      <c r="H367" s="21"/>
      <c r="I367" s="511"/>
    </row>
    <row r="368" spans="1:9">
      <c r="A368" s="509"/>
      <c r="B368" s="510"/>
      <c r="C368" s="23"/>
      <c r="D368" s="23"/>
      <c r="E368" s="23"/>
      <c r="F368" s="21"/>
      <c r="G368" s="21"/>
      <c r="H368" s="21"/>
      <c r="I368" s="511"/>
    </row>
    <row r="369" spans="1:9">
      <c r="A369" s="509"/>
      <c r="B369" s="510"/>
      <c r="C369" s="23"/>
      <c r="D369" s="23"/>
      <c r="E369" s="23"/>
      <c r="F369" s="21"/>
      <c r="G369" s="21"/>
      <c r="H369" s="21"/>
      <c r="I369" s="511"/>
    </row>
    <row r="370" spans="1:9">
      <c r="A370" s="509"/>
      <c r="B370" s="510"/>
      <c r="C370" s="23"/>
      <c r="D370" s="23"/>
      <c r="E370" s="23"/>
      <c r="F370" s="21"/>
      <c r="G370" s="21"/>
      <c r="H370" s="21"/>
      <c r="I370" s="511"/>
    </row>
    <row r="371" spans="1:9">
      <c r="A371" s="509"/>
      <c r="B371" s="510"/>
      <c r="C371" s="23"/>
      <c r="D371" s="23"/>
      <c r="E371" s="23"/>
      <c r="F371" s="21"/>
      <c r="G371" s="21"/>
      <c r="H371" s="21"/>
      <c r="I371" s="511"/>
    </row>
    <row r="372" spans="1:9">
      <c r="A372" s="509"/>
      <c r="B372" s="510"/>
      <c r="C372" s="23"/>
      <c r="D372" s="23"/>
      <c r="E372" s="23"/>
      <c r="F372" s="21"/>
      <c r="G372" s="21"/>
      <c r="H372" s="21"/>
      <c r="I372" s="511"/>
    </row>
    <row r="373" spans="1:9">
      <c r="A373" s="509"/>
      <c r="B373" s="510"/>
      <c r="C373" s="23"/>
      <c r="D373" s="23"/>
      <c r="E373" s="23"/>
      <c r="F373" s="21"/>
      <c r="G373" s="21"/>
      <c r="H373" s="21"/>
      <c r="I373" s="511"/>
    </row>
    <row r="374" spans="1:9">
      <c r="A374" s="509"/>
      <c r="B374" s="510"/>
      <c r="C374" s="23"/>
      <c r="D374" s="23"/>
      <c r="E374" s="23"/>
      <c r="F374" s="21"/>
      <c r="G374" s="21"/>
      <c r="H374" s="21"/>
      <c r="I374" s="511"/>
    </row>
    <row r="375" spans="1:9">
      <c r="A375" s="509"/>
      <c r="B375" s="510"/>
      <c r="C375" s="23"/>
      <c r="D375" s="23"/>
      <c r="E375" s="23"/>
      <c r="F375" s="21"/>
      <c r="G375" s="21"/>
      <c r="H375" s="21"/>
      <c r="I375" s="511"/>
    </row>
    <row r="376" spans="1:9">
      <c r="A376" s="509"/>
      <c r="B376" s="510"/>
      <c r="C376" s="23"/>
      <c r="D376" s="23"/>
      <c r="E376" s="23"/>
      <c r="F376" s="21"/>
      <c r="G376" s="21"/>
      <c r="H376" s="21"/>
      <c r="I376" s="511"/>
    </row>
    <row r="377" spans="1:9">
      <c r="A377" s="509"/>
      <c r="B377" s="510"/>
      <c r="C377" s="23"/>
      <c r="D377" s="23"/>
      <c r="E377" s="23"/>
      <c r="F377" s="21"/>
      <c r="G377" s="21"/>
      <c r="H377" s="21"/>
      <c r="I377" s="511"/>
    </row>
    <row r="378" spans="1:9">
      <c r="A378" s="509"/>
      <c r="B378" s="510"/>
      <c r="C378" s="23"/>
      <c r="D378" s="23"/>
      <c r="E378" s="23"/>
      <c r="F378" s="21"/>
      <c r="G378" s="21"/>
      <c r="H378" s="21"/>
      <c r="I378" s="511"/>
    </row>
    <row r="379" spans="1:9">
      <c r="A379" s="509"/>
      <c r="B379" s="510"/>
      <c r="C379" s="23"/>
      <c r="D379" s="23"/>
      <c r="E379" s="23"/>
      <c r="F379" s="21"/>
      <c r="G379" s="21"/>
      <c r="H379" s="21"/>
      <c r="I379" s="511"/>
    </row>
    <row r="380" spans="1:9">
      <c r="A380" s="509"/>
      <c r="B380" s="510"/>
      <c r="C380" s="23"/>
      <c r="D380" s="23"/>
      <c r="E380" s="23"/>
      <c r="F380" s="21"/>
      <c r="G380" s="21"/>
      <c r="H380" s="21"/>
      <c r="I380" s="511"/>
    </row>
    <row r="381" spans="1:9">
      <c r="A381" s="509"/>
      <c r="B381" s="510"/>
      <c r="C381" s="23"/>
      <c r="D381" s="23"/>
      <c r="E381" s="23"/>
      <c r="F381" s="21"/>
      <c r="G381" s="21"/>
      <c r="H381" s="21"/>
      <c r="I381" s="511"/>
    </row>
    <row r="382" spans="1:9">
      <c r="A382" s="509"/>
      <c r="B382" s="510"/>
      <c r="C382" s="23"/>
      <c r="D382" s="23"/>
      <c r="E382" s="23"/>
      <c r="F382" s="21"/>
      <c r="G382" s="21"/>
      <c r="H382" s="21"/>
      <c r="I382" s="511"/>
    </row>
    <row r="383" spans="1:9">
      <c r="A383" s="509"/>
      <c r="B383" s="510"/>
      <c r="C383" s="23"/>
      <c r="D383" s="23"/>
      <c r="E383" s="23"/>
      <c r="F383" s="21"/>
      <c r="G383" s="21"/>
      <c r="H383" s="21"/>
      <c r="I383" s="511"/>
    </row>
    <row r="384" spans="1:9">
      <c r="A384" s="509"/>
      <c r="B384" s="510"/>
      <c r="C384" s="23"/>
      <c r="D384" s="23"/>
      <c r="E384" s="23"/>
      <c r="F384" s="21"/>
      <c r="G384" s="21"/>
      <c r="H384" s="21"/>
      <c r="I384" s="511"/>
    </row>
    <row r="385" spans="1:9">
      <c r="A385" s="509"/>
      <c r="B385" s="510"/>
      <c r="C385" s="23"/>
      <c r="D385" s="23"/>
      <c r="E385" s="23"/>
      <c r="F385" s="21"/>
      <c r="G385" s="21"/>
      <c r="H385" s="21"/>
      <c r="I385" s="511"/>
    </row>
    <row r="386" spans="1:9">
      <c r="A386" s="509"/>
      <c r="B386" s="510"/>
      <c r="C386" s="23"/>
      <c r="D386" s="23"/>
      <c r="E386" s="23"/>
      <c r="F386" s="21"/>
      <c r="G386" s="21"/>
      <c r="H386" s="21"/>
      <c r="I386" s="511"/>
    </row>
    <row r="387" spans="1:9">
      <c r="A387" s="509"/>
      <c r="B387" s="510"/>
      <c r="C387" s="23"/>
      <c r="D387" s="23"/>
      <c r="E387" s="23"/>
      <c r="F387" s="21"/>
      <c r="G387" s="21"/>
      <c r="H387" s="21"/>
      <c r="I387" s="511"/>
    </row>
    <row r="388" spans="1:9">
      <c r="A388" s="509"/>
      <c r="B388" s="510"/>
      <c r="C388" s="23"/>
      <c r="D388" s="23"/>
      <c r="E388" s="23"/>
      <c r="F388" s="21"/>
      <c r="G388" s="21"/>
      <c r="H388" s="21"/>
      <c r="I388" s="511"/>
    </row>
    <row r="389" spans="1:9">
      <c r="A389" s="509"/>
      <c r="B389" s="510"/>
      <c r="C389" s="23"/>
      <c r="D389" s="23"/>
      <c r="E389" s="23"/>
      <c r="F389" s="21"/>
      <c r="G389" s="21"/>
      <c r="H389" s="21"/>
      <c r="I389" s="511"/>
    </row>
    <row r="390" spans="1:9">
      <c r="A390" s="509"/>
      <c r="B390" s="510"/>
      <c r="C390" s="23"/>
      <c r="D390" s="23"/>
      <c r="E390" s="23"/>
      <c r="F390" s="21"/>
      <c r="G390" s="21"/>
      <c r="H390" s="21"/>
      <c r="I390" s="511"/>
    </row>
    <row r="391" spans="1:9">
      <c r="A391" s="509"/>
      <c r="B391" s="510"/>
      <c r="C391" s="23"/>
      <c r="D391" s="23"/>
      <c r="E391" s="23"/>
      <c r="F391" s="21"/>
      <c r="G391" s="21"/>
      <c r="H391" s="21"/>
      <c r="I391" s="511"/>
    </row>
    <row r="392" spans="1:9">
      <c r="A392" s="509"/>
      <c r="B392" s="510"/>
      <c r="C392" s="23"/>
      <c r="D392" s="23"/>
      <c r="E392" s="23"/>
      <c r="F392" s="21"/>
      <c r="G392" s="21"/>
      <c r="H392" s="21"/>
      <c r="I392" s="511"/>
    </row>
    <row r="393" spans="1:9">
      <c r="A393" s="509"/>
      <c r="B393" s="510"/>
      <c r="C393" s="23"/>
      <c r="D393" s="23"/>
      <c r="E393" s="23"/>
      <c r="F393" s="21"/>
      <c r="G393" s="21"/>
      <c r="H393" s="21"/>
      <c r="I393" s="511"/>
    </row>
    <row r="394" spans="1:9">
      <c r="A394" s="509"/>
      <c r="B394" s="510"/>
      <c r="C394" s="23"/>
      <c r="D394" s="23"/>
      <c r="E394" s="23"/>
      <c r="F394" s="21"/>
      <c r="G394" s="21"/>
      <c r="H394" s="21"/>
      <c r="I394" s="511"/>
    </row>
    <row r="395" spans="1:9">
      <c r="A395" s="509"/>
      <c r="B395" s="510"/>
      <c r="C395" s="23"/>
      <c r="D395" s="23"/>
      <c r="E395" s="23"/>
      <c r="F395" s="21"/>
      <c r="G395" s="21"/>
      <c r="H395" s="21"/>
      <c r="I395" s="511"/>
    </row>
    <row r="396" spans="1:9">
      <c r="A396" s="509"/>
      <c r="B396" s="510"/>
      <c r="C396" s="23"/>
      <c r="D396" s="23"/>
      <c r="E396" s="23"/>
      <c r="F396" s="21"/>
      <c r="G396" s="21"/>
      <c r="H396" s="21"/>
      <c r="I396" s="511"/>
    </row>
    <row r="397" spans="1:9">
      <c r="A397" s="509"/>
      <c r="B397" s="510"/>
      <c r="C397" s="23"/>
      <c r="D397" s="23"/>
      <c r="E397" s="23"/>
      <c r="F397" s="21"/>
      <c r="G397" s="21"/>
      <c r="H397" s="21"/>
      <c r="I397" s="511"/>
    </row>
    <row r="398" spans="1:9">
      <c r="A398" s="509"/>
      <c r="B398" s="510"/>
      <c r="C398" s="23"/>
      <c r="D398" s="23"/>
      <c r="E398" s="23"/>
      <c r="F398" s="21"/>
      <c r="G398" s="21"/>
      <c r="H398" s="21"/>
      <c r="I398" s="511"/>
    </row>
    <row r="399" spans="1:9">
      <c r="A399" s="509"/>
      <c r="B399" s="510"/>
      <c r="C399" s="23"/>
      <c r="D399" s="23"/>
      <c r="E399" s="23"/>
      <c r="F399" s="21"/>
      <c r="G399" s="21"/>
      <c r="H399" s="21"/>
      <c r="I399" s="511"/>
    </row>
    <row r="400" spans="1:9">
      <c r="A400" s="509"/>
      <c r="B400" s="510"/>
      <c r="C400" s="23"/>
      <c r="D400" s="23"/>
      <c r="E400" s="23"/>
      <c r="F400" s="21"/>
      <c r="G400" s="21"/>
      <c r="H400" s="21"/>
      <c r="I400" s="511"/>
    </row>
    <row r="401" spans="1:9">
      <c r="A401" s="509"/>
      <c r="B401" s="510"/>
      <c r="C401" s="23"/>
      <c r="D401" s="23"/>
      <c r="E401" s="23"/>
      <c r="F401" s="21"/>
      <c r="G401" s="21"/>
      <c r="H401" s="21"/>
      <c r="I401" s="511"/>
    </row>
    <row r="402" spans="1:9">
      <c r="A402" s="509"/>
      <c r="B402" s="510"/>
      <c r="C402" s="23"/>
      <c r="D402" s="23"/>
      <c r="E402" s="23"/>
      <c r="F402" s="21"/>
      <c r="G402" s="21"/>
      <c r="H402" s="21"/>
      <c r="I402" s="511"/>
    </row>
    <row r="403" spans="1:9">
      <c r="A403" s="509"/>
      <c r="B403" s="510"/>
      <c r="C403" s="23"/>
      <c r="D403" s="23"/>
      <c r="E403" s="23"/>
      <c r="F403" s="21"/>
      <c r="G403" s="21"/>
      <c r="H403" s="21"/>
      <c r="I403" s="511"/>
    </row>
    <row r="404" spans="1:9">
      <c r="A404" s="509"/>
      <c r="B404" s="510"/>
      <c r="C404" s="23"/>
      <c r="D404" s="23"/>
      <c r="E404" s="23"/>
      <c r="F404" s="21"/>
      <c r="G404" s="21"/>
      <c r="H404" s="21"/>
      <c r="I404" s="511"/>
    </row>
    <row r="405" spans="1:9">
      <c r="A405" s="509"/>
      <c r="B405" s="510"/>
      <c r="C405" s="23"/>
      <c r="D405" s="23"/>
      <c r="E405" s="23"/>
      <c r="F405" s="21"/>
      <c r="G405" s="21"/>
      <c r="H405" s="21"/>
      <c r="I405" s="511"/>
    </row>
    <row r="406" spans="1:9">
      <c r="A406" s="509"/>
      <c r="B406" s="510"/>
      <c r="C406" s="23"/>
      <c r="D406" s="23"/>
      <c r="E406" s="23"/>
      <c r="F406" s="21"/>
      <c r="G406" s="21"/>
      <c r="H406" s="21"/>
      <c r="I406" s="511"/>
    </row>
    <row r="407" spans="1:9">
      <c r="A407" s="509"/>
      <c r="B407" s="510"/>
      <c r="C407" s="23"/>
      <c r="D407" s="23"/>
      <c r="E407" s="23"/>
      <c r="F407" s="21"/>
      <c r="G407" s="21"/>
      <c r="H407" s="21"/>
      <c r="I407" s="511"/>
    </row>
    <row r="408" spans="1:9">
      <c r="A408" s="509"/>
      <c r="B408" s="510"/>
      <c r="C408" s="23"/>
      <c r="D408" s="23"/>
      <c r="E408" s="23"/>
      <c r="F408" s="21"/>
      <c r="G408" s="21"/>
      <c r="H408" s="21"/>
      <c r="I408" s="511"/>
    </row>
    <row r="409" spans="1:9">
      <c r="A409" s="509"/>
      <c r="B409" s="510"/>
      <c r="C409" s="23"/>
      <c r="D409" s="23"/>
      <c r="E409" s="23"/>
      <c r="F409" s="21"/>
      <c r="G409" s="21"/>
      <c r="H409" s="21"/>
      <c r="I409" s="511"/>
    </row>
    <row r="410" spans="1:9">
      <c r="A410" s="509"/>
      <c r="B410" s="510"/>
      <c r="C410" s="23"/>
      <c r="D410" s="23"/>
      <c r="E410" s="23"/>
      <c r="F410" s="21"/>
      <c r="G410" s="21"/>
      <c r="H410" s="21"/>
      <c r="I410" s="511"/>
    </row>
    <row r="411" spans="1:9">
      <c r="A411" s="509"/>
      <c r="B411" s="510"/>
      <c r="C411" s="23"/>
      <c r="D411" s="23"/>
      <c r="E411" s="23"/>
      <c r="F411" s="21"/>
      <c r="G411" s="21"/>
      <c r="H411" s="21"/>
      <c r="I411" s="511"/>
    </row>
    <row r="412" spans="1:9">
      <c r="A412" s="509"/>
      <c r="B412" s="510"/>
      <c r="C412" s="23"/>
      <c r="D412" s="23"/>
      <c r="E412" s="23"/>
      <c r="F412" s="21"/>
      <c r="G412" s="21"/>
      <c r="H412" s="21"/>
      <c r="I412" s="511"/>
    </row>
    <row r="413" spans="1:9">
      <c r="A413" s="509"/>
      <c r="B413" s="510"/>
      <c r="C413" s="23"/>
      <c r="D413" s="23"/>
      <c r="E413" s="23"/>
      <c r="F413" s="21"/>
      <c r="G413" s="21"/>
      <c r="H413" s="21"/>
      <c r="I413" s="511"/>
    </row>
    <row r="414" spans="1:9">
      <c r="A414" s="509"/>
      <c r="B414" s="510"/>
      <c r="C414" s="23"/>
      <c r="D414" s="23"/>
      <c r="E414" s="23"/>
      <c r="F414" s="21"/>
      <c r="G414" s="21"/>
      <c r="H414" s="21"/>
      <c r="I414" s="511"/>
    </row>
    <row r="415" spans="1:9">
      <c r="A415" s="509"/>
      <c r="B415" s="510"/>
      <c r="C415" s="23"/>
      <c r="D415" s="23"/>
      <c r="E415" s="23"/>
      <c r="F415" s="21"/>
      <c r="G415" s="21"/>
      <c r="H415" s="21"/>
      <c r="I415" s="511"/>
    </row>
    <row r="416" spans="1:9">
      <c r="A416" s="509"/>
      <c r="B416" s="510"/>
      <c r="C416" s="23"/>
      <c r="D416" s="23"/>
      <c r="E416" s="23"/>
      <c r="F416" s="21"/>
      <c r="G416" s="21"/>
      <c r="H416" s="21"/>
      <c r="I416" s="511"/>
    </row>
    <row r="417" spans="1:9">
      <c r="A417" s="509"/>
      <c r="B417" s="510"/>
      <c r="C417" s="23"/>
      <c r="D417" s="23"/>
      <c r="E417" s="23"/>
      <c r="F417" s="21"/>
      <c r="G417" s="21"/>
      <c r="H417" s="21"/>
      <c r="I417" s="511"/>
    </row>
    <row r="418" spans="1:9">
      <c r="A418" s="509"/>
      <c r="B418" s="510"/>
      <c r="C418" s="23"/>
      <c r="D418" s="23"/>
      <c r="E418" s="23"/>
      <c r="F418" s="21"/>
      <c r="G418" s="21"/>
      <c r="H418" s="21"/>
      <c r="I418" s="511"/>
    </row>
    <row r="419" spans="1:9">
      <c r="A419" s="509"/>
      <c r="B419" s="510"/>
      <c r="C419" s="23"/>
      <c r="D419" s="23"/>
      <c r="E419" s="23"/>
      <c r="F419" s="21"/>
      <c r="G419" s="21"/>
      <c r="H419" s="21"/>
      <c r="I419" s="511"/>
    </row>
    <row r="420" spans="1:9">
      <c r="A420" s="509"/>
      <c r="B420" s="510"/>
      <c r="C420" s="23"/>
      <c r="D420" s="23"/>
      <c r="E420" s="23"/>
      <c r="F420" s="21"/>
      <c r="G420" s="21"/>
      <c r="H420" s="21"/>
      <c r="I420" s="511"/>
    </row>
    <row r="421" spans="1:9">
      <c r="A421" s="509"/>
      <c r="B421" s="510"/>
      <c r="C421" s="23"/>
      <c r="D421" s="23"/>
      <c r="E421" s="23"/>
      <c r="F421" s="21"/>
      <c r="G421" s="21"/>
      <c r="H421" s="21"/>
      <c r="I421" s="511"/>
    </row>
    <row r="422" spans="1:9">
      <c r="A422" s="509"/>
      <c r="B422" s="510"/>
      <c r="C422" s="23"/>
      <c r="D422" s="23"/>
      <c r="E422" s="23"/>
      <c r="F422" s="21"/>
      <c r="G422" s="21"/>
      <c r="H422" s="21"/>
      <c r="I422" s="511"/>
    </row>
    <row r="423" spans="1:9">
      <c r="A423" s="509"/>
      <c r="B423" s="510"/>
      <c r="C423" s="23"/>
      <c r="D423" s="23"/>
      <c r="E423" s="23"/>
      <c r="F423" s="21"/>
      <c r="G423" s="21"/>
      <c r="H423" s="21"/>
      <c r="I423" s="511"/>
    </row>
    <row r="424" spans="1:9">
      <c r="A424" s="509"/>
      <c r="B424" s="510"/>
      <c r="C424" s="23"/>
      <c r="D424" s="23"/>
      <c r="E424" s="23"/>
      <c r="F424" s="21"/>
      <c r="G424" s="21"/>
      <c r="H424" s="21"/>
      <c r="I424" s="511"/>
    </row>
    <row r="425" spans="1:9">
      <c r="A425" s="509"/>
      <c r="B425" s="510"/>
      <c r="C425" s="23"/>
      <c r="D425" s="23"/>
      <c r="E425" s="23"/>
      <c r="F425" s="21"/>
      <c r="G425" s="21"/>
      <c r="H425" s="21"/>
      <c r="I425" s="511"/>
    </row>
    <row r="426" spans="1:9">
      <c r="A426" s="509"/>
      <c r="B426" s="510"/>
      <c r="C426" s="23"/>
      <c r="D426" s="23"/>
      <c r="E426" s="23"/>
      <c r="F426" s="21"/>
      <c r="G426" s="21"/>
      <c r="H426" s="21"/>
      <c r="I426" s="511"/>
    </row>
    <row r="427" spans="1:9">
      <c r="A427" s="509"/>
      <c r="B427" s="510"/>
      <c r="C427" s="23"/>
      <c r="D427" s="23"/>
      <c r="E427" s="23"/>
      <c r="F427" s="21"/>
      <c r="G427" s="21"/>
      <c r="H427" s="21"/>
      <c r="I427" s="511"/>
    </row>
    <row r="428" spans="1:9">
      <c r="A428" s="509"/>
      <c r="B428" s="510"/>
      <c r="C428" s="23"/>
      <c r="D428" s="23"/>
      <c r="E428" s="23"/>
      <c r="F428" s="21"/>
      <c r="G428" s="21"/>
      <c r="H428" s="21"/>
      <c r="I428" s="511"/>
    </row>
    <row r="429" spans="1:9">
      <c r="A429" s="509"/>
      <c r="B429" s="510"/>
      <c r="C429" s="23"/>
      <c r="D429" s="23"/>
      <c r="E429" s="23"/>
      <c r="F429" s="21"/>
      <c r="G429" s="21"/>
      <c r="H429" s="21"/>
      <c r="I429" s="511"/>
    </row>
    <row r="430" spans="1:9">
      <c r="A430" s="509"/>
      <c r="B430" s="510"/>
      <c r="C430" s="23"/>
      <c r="D430" s="23"/>
      <c r="E430" s="23"/>
      <c r="F430" s="21"/>
      <c r="G430" s="21"/>
      <c r="H430" s="21"/>
      <c r="I430" s="511"/>
    </row>
    <row r="431" spans="1:9">
      <c r="A431" s="509"/>
      <c r="B431" s="510"/>
      <c r="C431" s="23"/>
      <c r="D431" s="23"/>
      <c r="E431" s="23"/>
      <c r="F431" s="21"/>
      <c r="G431" s="21"/>
      <c r="H431" s="21"/>
      <c r="I431" s="511"/>
    </row>
    <row r="432" spans="1:9">
      <c r="A432" s="509"/>
      <c r="B432" s="510"/>
      <c r="C432" s="23"/>
      <c r="D432" s="23"/>
      <c r="E432" s="23"/>
      <c r="F432" s="21"/>
      <c r="G432" s="21"/>
      <c r="H432" s="21"/>
      <c r="I432" s="511"/>
    </row>
    <row r="433" spans="1:9">
      <c r="A433" s="509"/>
      <c r="B433" s="510"/>
      <c r="C433" s="23"/>
      <c r="D433" s="23"/>
      <c r="E433" s="23"/>
      <c r="F433" s="21"/>
      <c r="G433" s="21"/>
      <c r="H433" s="21"/>
      <c r="I433" s="511"/>
    </row>
    <row r="434" spans="1:9">
      <c r="A434" s="509"/>
      <c r="B434" s="510"/>
      <c r="C434" s="23"/>
      <c r="D434" s="23"/>
      <c r="E434" s="23"/>
      <c r="F434" s="21"/>
      <c r="G434" s="21"/>
      <c r="H434" s="21"/>
      <c r="I434" s="511"/>
    </row>
    <row r="435" spans="1:9">
      <c r="A435" s="509"/>
      <c r="B435" s="510"/>
      <c r="C435" s="23"/>
      <c r="D435" s="23"/>
      <c r="E435" s="23"/>
      <c r="F435" s="21"/>
      <c r="G435" s="21"/>
      <c r="H435" s="21"/>
      <c r="I435" s="511"/>
    </row>
    <row r="436" spans="1:9">
      <c r="A436" s="509"/>
      <c r="B436" s="510"/>
      <c r="C436" s="23"/>
      <c r="D436" s="23"/>
      <c r="E436" s="23"/>
      <c r="F436" s="21"/>
      <c r="G436" s="21"/>
      <c r="H436" s="21"/>
      <c r="I436" s="511"/>
    </row>
    <row r="437" spans="1:9">
      <c r="A437" s="509"/>
      <c r="B437" s="510"/>
      <c r="C437" s="23"/>
      <c r="D437" s="23"/>
      <c r="E437" s="23"/>
      <c r="F437" s="21"/>
      <c r="G437" s="21"/>
      <c r="H437" s="21"/>
      <c r="I437" s="511"/>
    </row>
    <row r="438" spans="1:9">
      <c r="A438" s="509"/>
      <c r="B438" s="510"/>
      <c r="C438" s="23"/>
      <c r="D438" s="23"/>
      <c r="E438" s="23"/>
      <c r="F438" s="21"/>
      <c r="G438" s="21"/>
      <c r="H438" s="21"/>
      <c r="I438" s="511"/>
    </row>
    <row r="439" spans="1:9">
      <c r="A439" s="509"/>
      <c r="B439" s="510"/>
      <c r="C439" s="23"/>
      <c r="D439" s="23"/>
      <c r="E439" s="23"/>
      <c r="F439" s="21"/>
      <c r="G439" s="21"/>
      <c r="H439" s="21"/>
      <c r="I439" s="511"/>
    </row>
    <row r="440" spans="1:9">
      <c r="A440" s="509"/>
      <c r="B440" s="510"/>
      <c r="C440" s="23"/>
      <c r="D440" s="23"/>
      <c r="E440" s="23"/>
      <c r="F440" s="21"/>
      <c r="G440" s="21"/>
      <c r="H440" s="21"/>
      <c r="I440" s="511"/>
    </row>
    <row r="441" spans="1:9">
      <c r="A441" s="509"/>
      <c r="B441" s="510"/>
      <c r="C441" s="23"/>
      <c r="D441" s="23"/>
      <c r="E441" s="23"/>
      <c r="F441" s="21"/>
      <c r="G441" s="21"/>
      <c r="H441" s="21"/>
      <c r="I441" s="511"/>
    </row>
    <row r="442" spans="1:9">
      <c r="A442" s="509"/>
      <c r="B442" s="510"/>
      <c r="C442" s="23"/>
      <c r="D442" s="23"/>
      <c r="E442" s="23"/>
      <c r="F442" s="21"/>
      <c r="G442" s="21"/>
      <c r="H442" s="21"/>
      <c r="I442" s="511"/>
    </row>
    <row r="443" spans="1:9">
      <c r="A443" s="509"/>
      <c r="B443" s="510"/>
      <c r="C443" s="23"/>
      <c r="D443" s="23"/>
      <c r="E443" s="23"/>
      <c r="F443" s="21"/>
      <c r="G443" s="21"/>
      <c r="H443" s="21"/>
      <c r="I443" s="511"/>
    </row>
    <row r="444" spans="1:9">
      <c r="A444" s="509"/>
      <c r="B444" s="510"/>
      <c r="C444" s="23"/>
      <c r="D444" s="23"/>
      <c r="E444" s="23"/>
      <c r="F444" s="21"/>
      <c r="G444" s="21"/>
      <c r="H444" s="21"/>
      <c r="I444" s="511"/>
    </row>
    <row r="445" spans="1:9">
      <c r="A445" s="509"/>
      <c r="B445" s="510"/>
      <c r="C445" s="23"/>
      <c r="D445" s="23"/>
      <c r="E445" s="23"/>
      <c r="F445" s="21"/>
      <c r="G445" s="21"/>
      <c r="H445" s="21"/>
      <c r="I445" s="511"/>
    </row>
    <row r="446" spans="1:9">
      <c r="A446" s="509"/>
      <c r="B446" s="510"/>
      <c r="C446" s="23"/>
      <c r="D446" s="23"/>
      <c r="E446" s="23"/>
      <c r="F446" s="21"/>
      <c r="G446" s="21"/>
      <c r="H446" s="21"/>
      <c r="I446" s="511"/>
    </row>
    <row r="447" spans="1:9">
      <c r="A447" s="509"/>
      <c r="B447" s="510"/>
      <c r="C447" s="23"/>
      <c r="D447" s="23"/>
      <c r="E447" s="23"/>
      <c r="F447" s="21"/>
      <c r="G447" s="21"/>
      <c r="H447" s="21"/>
      <c r="I447" s="511"/>
    </row>
    <row r="448" spans="1:9">
      <c r="A448" s="509"/>
      <c r="B448" s="510"/>
      <c r="C448" s="23"/>
      <c r="D448" s="23"/>
      <c r="E448" s="23"/>
      <c r="F448" s="21"/>
      <c r="G448" s="21"/>
      <c r="H448" s="21"/>
      <c r="I448" s="511"/>
    </row>
    <row r="449" spans="1:9">
      <c r="A449" s="509"/>
      <c r="B449" s="510"/>
      <c r="C449" s="23"/>
      <c r="D449" s="23"/>
      <c r="E449" s="23"/>
      <c r="F449" s="21"/>
      <c r="G449" s="21"/>
      <c r="H449" s="21"/>
      <c r="I449" s="511"/>
    </row>
    <row r="450" spans="1:9">
      <c r="A450" s="509"/>
      <c r="B450" s="510"/>
      <c r="C450" s="23"/>
      <c r="D450" s="23"/>
      <c r="E450" s="23"/>
      <c r="F450" s="21"/>
      <c r="G450" s="21"/>
      <c r="H450" s="21"/>
      <c r="I450" s="511"/>
    </row>
    <row r="451" spans="1:9">
      <c r="A451" s="509"/>
      <c r="B451" s="510"/>
      <c r="C451" s="23"/>
      <c r="D451" s="23"/>
      <c r="E451" s="23"/>
      <c r="F451" s="21"/>
      <c r="G451" s="21"/>
      <c r="H451" s="21"/>
      <c r="I451" s="511"/>
    </row>
    <row r="452" spans="1:9">
      <c r="A452" s="509"/>
      <c r="B452" s="510"/>
      <c r="C452" s="23"/>
      <c r="D452" s="23"/>
      <c r="E452" s="23"/>
      <c r="F452" s="21"/>
      <c r="G452" s="21"/>
      <c r="H452" s="21"/>
      <c r="I452" s="511"/>
    </row>
    <row r="453" spans="1:9">
      <c r="A453" s="509"/>
      <c r="B453" s="510"/>
      <c r="C453" s="23"/>
      <c r="D453" s="23"/>
      <c r="E453" s="23"/>
      <c r="F453" s="21"/>
      <c r="G453" s="21"/>
      <c r="H453" s="21"/>
      <c r="I453" s="511"/>
    </row>
    <row r="454" spans="1:9">
      <c r="A454" s="509"/>
      <c r="B454" s="510"/>
      <c r="C454" s="23"/>
      <c r="D454" s="23"/>
      <c r="E454" s="23"/>
      <c r="F454" s="21"/>
      <c r="G454" s="21"/>
      <c r="H454" s="21"/>
      <c r="I454" s="511"/>
    </row>
    <row r="455" spans="1:9">
      <c r="A455" s="509"/>
      <c r="B455" s="510"/>
      <c r="C455" s="23"/>
      <c r="D455" s="23"/>
      <c r="E455" s="23"/>
      <c r="F455" s="21"/>
      <c r="G455" s="21"/>
      <c r="H455" s="21"/>
      <c r="I455" s="511"/>
    </row>
    <row r="456" spans="1:9">
      <c r="A456" s="509"/>
      <c r="B456" s="510"/>
      <c r="C456" s="23"/>
      <c r="D456" s="23"/>
      <c r="E456" s="23"/>
      <c r="F456" s="21"/>
      <c r="G456" s="21"/>
      <c r="H456" s="21"/>
      <c r="I456" s="511"/>
    </row>
    <row r="457" spans="1:9">
      <c r="A457" s="509"/>
      <c r="B457" s="510"/>
      <c r="C457" s="23"/>
      <c r="D457" s="23"/>
      <c r="E457" s="23"/>
      <c r="F457" s="21"/>
      <c r="G457" s="21"/>
      <c r="H457" s="21"/>
      <c r="I457" s="511"/>
    </row>
    <row r="458" spans="1:9">
      <c r="A458" s="509"/>
      <c r="B458" s="510"/>
      <c r="C458" s="23"/>
      <c r="D458" s="23"/>
      <c r="E458" s="23"/>
      <c r="F458" s="21"/>
      <c r="G458" s="21"/>
      <c r="H458" s="21"/>
      <c r="I458" s="511"/>
    </row>
    <row r="459" spans="1:9">
      <c r="A459" s="509"/>
      <c r="B459" s="510"/>
      <c r="C459" s="23"/>
      <c r="D459" s="23"/>
      <c r="E459" s="23"/>
      <c r="F459" s="21"/>
      <c r="G459" s="21"/>
      <c r="H459" s="21"/>
      <c r="I459" s="511"/>
    </row>
    <row r="460" spans="1:9">
      <c r="A460" s="509"/>
      <c r="B460" s="510"/>
      <c r="C460" s="23"/>
      <c r="D460" s="23"/>
      <c r="E460" s="23"/>
      <c r="F460" s="21"/>
      <c r="G460" s="21"/>
      <c r="H460" s="21"/>
      <c r="I460" s="511"/>
    </row>
    <row r="461" spans="1:9">
      <c r="A461" s="509"/>
      <c r="B461" s="510"/>
      <c r="C461" s="23"/>
      <c r="D461" s="23"/>
      <c r="E461" s="23"/>
      <c r="F461" s="21"/>
      <c r="G461" s="21"/>
      <c r="H461" s="21"/>
      <c r="I461" s="511"/>
    </row>
    <row r="462" spans="1:9">
      <c r="A462" s="509"/>
      <c r="B462" s="510"/>
      <c r="C462" s="23"/>
      <c r="D462" s="23"/>
      <c r="E462" s="23"/>
      <c r="F462" s="21"/>
      <c r="G462" s="21"/>
      <c r="H462" s="21"/>
      <c r="I462" s="511"/>
    </row>
    <row r="463" spans="1:9">
      <c r="A463" s="509"/>
      <c r="B463" s="510"/>
      <c r="C463" s="23"/>
      <c r="D463" s="23"/>
      <c r="E463" s="23"/>
      <c r="F463" s="21"/>
      <c r="G463" s="21"/>
      <c r="H463" s="21"/>
      <c r="I463" s="511"/>
    </row>
    <row r="464" spans="1:9">
      <c r="A464" s="509"/>
      <c r="B464" s="510"/>
      <c r="C464" s="23"/>
      <c r="D464" s="23"/>
      <c r="E464" s="23"/>
      <c r="F464" s="21"/>
      <c r="G464" s="21"/>
      <c r="H464" s="21"/>
      <c r="I464" s="511"/>
    </row>
    <row r="465" spans="1:9">
      <c r="A465" s="509"/>
      <c r="B465" s="510"/>
      <c r="C465" s="23"/>
      <c r="D465" s="23"/>
      <c r="E465" s="23"/>
      <c r="F465" s="21"/>
      <c r="G465" s="21"/>
      <c r="H465" s="21"/>
      <c r="I465" s="511"/>
    </row>
    <row r="466" spans="1:9">
      <c r="A466" s="509"/>
      <c r="B466" s="510"/>
      <c r="C466" s="23"/>
      <c r="D466" s="23"/>
      <c r="E466" s="23"/>
      <c r="F466" s="21"/>
      <c r="G466" s="21"/>
      <c r="H466" s="21"/>
      <c r="I466" s="511"/>
    </row>
    <row r="467" spans="1:9">
      <c r="A467" s="509"/>
      <c r="B467" s="510"/>
      <c r="C467" s="23"/>
      <c r="D467" s="23"/>
      <c r="E467" s="23"/>
      <c r="F467" s="21"/>
      <c r="G467" s="21"/>
      <c r="H467" s="21"/>
      <c r="I467" s="511"/>
    </row>
    <row r="468" spans="1:9">
      <c r="A468" s="509"/>
      <c r="B468" s="510"/>
      <c r="C468" s="23"/>
      <c r="D468" s="23"/>
      <c r="E468" s="23"/>
      <c r="F468" s="21"/>
      <c r="G468" s="21"/>
      <c r="H468" s="21"/>
      <c r="I468" s="511"/>
    </row>
    <row r="469" spans="1:9">
      <c r="A469" s="509"/>
      <c r="B469" s="510"/>
      <c r="C469" s="23"/>
      <c r="D469" s="23"/>
      <c r="E469" s="23"/>
      <c r="F469" s="21"/>
      <c r="G469" s="21"/>
      <c r="H469" s="21"/>
      <c r="I469" s="511"/>
    </row>
    <row r="470" spans="1:9">
      <c r="A470" s="509"/>
      <c r="B470" s="510"/>
      <c r="C470" s="23"/>
      <c r="D470" s="23"/>
      <c r="E470" s="23"/>
      <c r="F470" s="21"/>
      <c r="G470" s="21"/>
      <c r="H470" s="21"/>
      <c r="I470" s="511"/>
    </row>
    <row r="471" spans="1:9">
      <c r="A471" s="509"/>
      <c r="B471" s="510"/>
      <c r="C471" s="23"/>
      <c r="D471" s="23"/>
      <c r="E471" s="23"/>
      <c r="F471" s="21"/>
      <c r="G471" s="21"/>
      <c r="H471" s="21"/>
      <c r="I471" s="511"/>
    </row>
    <row r="472" spans="1:9">
      <c r="A472" s="509"/>
      <c r="B472" s="510"/>
      <c r="C472" s="23"/>
      <c r="D472" s="23"/>
      <c r="E472" s="23"/>
      <c r="F472" s="21"/>
      <c r="G472" s="21"/>
      <c r="H472" s="21"/>
      <c r="I472" s="511"/>
    </row>
    <row r="473" spans="1:9">
      <c r="A473" s="509"/>
      <c r="B473" s="510"/>
      <c r="C473" s="23"/>
      <c r="D473" s="23"/>
      <c r="E473" s="23"/>
      <c r="F473" s="21"/>
      <c r="G473" s="21"/>
      <c r="H473" s="21"/>
      <c r="I473" s="511"/>
    </row>
    <row r="474" spans="1:9">
      <c r="A474" s="509"/>
      <c r="B474" s="510"/>
      <c r="C474" s="23"/>
      <c r="D474" s="23"/>
      <c r="E474" s="23"/>
      <c r="F474" s="21"/>
      <c r="G474" s="21"/>
      <c r="H474" s="21"/>
      <c r="I474" s="511"/>
    </row>
    <row r="475" spans="1:9">
      <c r="A475" s="509"/>
      <c r="B475" s="510"/>
      <c r="C475" s="23"/>
      <c r="D475" s="23"/>
      <c r="E475" s="23"/>
      <c r="F475" s="21"/>
      <c r="G475" s="21"/>
      <c r="H475" s="21"/>
      <c r="I475" s="511"/>
    </row>
    <row r="476" spans="1:9">
      <c r="A476" s="509"/>
      <c r="B476" s="510"/>
      <c r="C476" s="23"/>
      <c r="D476" s="23"/>
      <c r="E476" s="23"/>
      <c r="F476" s="21"/>
      <c r="G476" s="21"/>
      <c r="H476" s="21"/>
      <c r="I476" s="511"/>
    </row>
    <row r="477" spans="1:9">
      <c r="A477" s="509"/>
      <c r="B477" s="510"/>
      <c r="C477" s="23"/>
      <c r="D477" s="23"/>
      <c r="E477" s="23"/>
      <c r="F477" s="21"/>
      <c r="G477" s="21"/>
      <c r="H477" s="21"/>
      <c r="I477" s="511"/>
    </row>
    <row r="478" spans="1:9">
      <c r="A478" s="509"/>
      <c r="B478" s="510"/>
      <c r="C478" s="23"/>
      <c r="D478" s="23"/>
      <c r="E478" s="23"/>
      <c r="F478" s="21"/>
      <c r="G478" s="21"/>
      <c r="H478" s="21"/>
      <c r="I478" s="511"/>
    </row>
    <row r="479" spans="1:9">
      <c r="A479" s="509"/>
      <c r="B479" s="510"/>
      <c r="C479" s="23"/>
      <c r="D479" s="23"/>
      <c r="E479" s="23"/>
      <c r="F479" s="21"/>
      <c r="G479" s="21"/>
      <c r="H479" s="21"/>
      <c r="I479" s="511"/>
    </row>
    <row r="480" spans="1:9">
      <c r="A480" s="509"/>
      <c r="B480" s="510"/>
      <c r="C480" s="23"/>
      <c r="D480" s="23"/>
      <c r="E480" s="23"/>
      <c r="F480" s="21"/>
      <c r="G480" s="21"/>
      <c r="H480" s="21"/>
      <c r="I480" s="511"/>
    </row>
    <row r="481" spans="1:9">
      <c r="A481" s="509"/>
      <c r="B481" s="510"/>
      <c r="C481" s="23"/>
      <c r="D481" s="23"/>
      <c r="E481" s="23"/>
      <c r="F481" s="21"/>
      <c r="G481" s="21"/>
      <c r="H481" s="21"/>
      <c r="I481" s="511"/>
    </row>
    <row r="482" spans="1:9">
      <c r="A482" s="509"/>
      <c r="B482" s="510"/>
      <c r="C482" s="23"/>
      <c r="D482" s="23"/>
      <c r="E482" s="23"/>
      <c r="F482" s="21"/>
      <c r="G482" s="21"/>
      <c r="H482" s="21"/>
      <c r="I482" s="511"/>
    </row>
    <row r="483" spans="1:9">
      <c r="A483" s="509"/>
      <c r="B483" s="510"/>
      <c r="C483" s="23"/>
      <c r="D483" s="23"/>
      <c r="E483" s="23"/>
      <c r="F483" s="21"/>
      <c r="G483" s="21"/>
      <c r="H483" s="21"/>
      <c r="I483" s="511"/>
    </row>
    <row r="484" spans="1:9">
      <c r="A484" s="509"/>
      <c r="B484" s="510"/>
      <c r="C484" s="23"/>
      <c r="D484" s="23"/>
      <c r="E484" s="23"/>
      <c r="F484" s="21"/>
      <c r="G484" s="21"/>
      <c r="H484" s="21"/>
      <c r="I484" s="511"/>
    </row>
    <row r="485" spans="1:9">
      <c r="A485" s="509"/>
      <c r="B485" s="510"/>
      <c r="C485" s="23"/>
      <c r="D485" s="23"/>
      <c r="E485" s="23"/>
      <c r="F485" s="21"/>
      <c r="G485" s="21"/>
      <c r="H485" s="21"/>
      <c r="I485" s="511"/>
    </row>
    <row r="486" spans="1:9">
      <c r="A486" s="509"/>
      <c r="B486" s="510"/>
      <c r="C486" s="23"/>
      <c r="D486" s="23"/>
      <c r="E486" s="23"/>
      <c r="F486" s="21"/>
      <c r="G486" s="21"/>
      <c r="H486" s="21"/>
      <c r="I486" s="511"/>
    </row>
    <row r="487" spans="1:9">
      <c r="A487" s="509"/>
      <c r="B487" s="510"/>
      <c r="C487" s="23"/>
      <c r="D487" s="23"/>
      <c r="E487" s="23"/>
      <c r="F487" s="21"/>
      <c r="G487" s="21"/>
      <c r="H487" s="21"/>
      <c r="I487" s="511"/>
    </row>
    <row r="488" spans="1:9">
      <c r="A488" s="509"/>
      <c r="B488" s="510"/>
      <c r="C488" s="23"/>
      <c r="D488" s="23"/>
      <c r="E488" s="23"/>
      <c r="F488" s="21"/>
      <c r="G488" s="21"/>
      <c r="H488" s="21"/>
      <c r="I488" s="511"/>
    </row>
    <row r="489" spans="1:9">
      <c r="A489" s="509"/>
      <c r="B489" s="510"/>
      <c r="C489" s="23"/>
      <c r="D489" s="23"/>
      <c r="E489" s="23"/>
      <c r="F489" s="21"/>
      <c r="G489" s="21"/>
      <c r="H489" s="21"/>
      <c r="I489" s="511"/>
    </row>
    <row r="490" spans="1:9">
      <c r="A490" s="509"/>
      <c r="B490" s="510"/>
      <c r="C490" s="23"/>
      <c r="D490" s="23"/>
      <c r="E490" s="23"/>
      <c r="F490" s="21"/>
      <c r="G490" s="21"/>
      <c r="H490" s="21"/>
      <c r="I490" s="511"/>
    </row>
    <row r="491" spans="1:9">
      <c r="A491" s="509"/>
      <c r="B491" s="510"/>
      <c r="C491" s="23"/>
      <c r="D491" s="23"/>
      <c r="E491" s="23"/>
      <c r="F491" s="21"/>
      <c r="G491" s="21"/>
      <c r="H491" s="21"/>
      <c r="I491" s="511"/>
    </row>
    <row r="492" spans="1:9">
      <c r="A492" s="509"/>
      <c r="B492" s="510"/>
      <c r="C492" s="23"/>
      <c r="D492" s="23"/>
      <c r="E492" s="23"/>
      <c r="F492" s="21"/>
      <c r="G492" s="21"/>
      <c r="H492" s="21"/>
      <c r="I492" s="511"/>
    </row>
    <row r="493" spans="1:9">
      <c r="A493" s="509"/>
      <c r="B493" s="510"/>
      <c r="C493" s="23"/>
      <c r="D493" s="23"/>
      <c r="E493" s="23"/>
      <c r="F493" s="21"/>
      <c r="G493" s="21"/>
      <c r="H493" s="21"/>
      <c r="I493" s="511"/>
    </row>
    <row r="494" spans="1:9">
      <c r="A494" s="509"/>
      <c r="B494" s="510"/>
      <c r="C494" s="23"/>
      <c r="D494" s="23"/>
      <c r="E494" s="23"/>
      <c r="F494" s="21"/>
      <c r="G494" s="21"/>
      <c r="H494" s="21"/>
      <c r="I494" s="511"/>
    </row>
    <row r="495" spans="1:9">
      <c r="A495" s="509"/>
      <c r="B495" s="510"/>
      <c r="C495" s="23"/>
      <c r="D495" s="23"/>
      <c r="E495" s="23"/>
      <c r="F495" s="21"/>
      <c r="G495" s="21"/>
      <c r="H495" s="21"/>
      <c r="I495" s="511"/>
    </row>
    <row r="496" spans="1:9">
      <c r="A496" s="509"/>
      <c r="B496" s="510"/>
      <c r="C496" s="23"/>
      <c r="D496" s="23"/>
      <c r="E496" s="23"/>
      <c r="F496" s="21"/>
      <c r="G496" s="21"/>
      <c r="H496" s="21"/>
      <c r="I496" s="511"/>
    </row>
    <row r="497" spans="1:9">
      <c r="A497" s="509"/>
      <c r="B497" s="510"/>
      <c r="C497" s="23"/>
      <c r="D497" s="23"/>
      <c r="E497" s="23"/>
      <c r="F497" s="21"/>
      <c r="G497" s="21"/>
      <c r="H497" s="21"/>
      <c r="I497" s="511"/>
    </row>
    <row r="498" spans="1:9">
      <c r="A498" s="509"/>
      <c r="B498" s="510"/>
      <c r="C498" s="23"/>
      <c r="D498" s="23"/>
      <c r="E498" s="23"/>
      <c r="F498" s="21"/>
      <c r="G498" s="21"/>
      <c r="H498" s="21"/>
      <c r="I498" s="511"/>
    </row>
    <row r="499" spans="1:9">
      <c r="A499" s="509"/>
      <c r="B499" s="510"/>
      <c r="C499" s="23"/>
      <c r="D499" s="23"/>
      <c r="E499" s="23"/>
      <c r="F499" s="21"/>
      <c r="G499" s="21"/>
      <c r="H499" s="21"/>
      <c r="I499" s="511"/>
    </row>
    <row r="500" spans="1:9">
      <c r="A500" s="509"/>
      <c r="B500" s="510"/>
      <c r="C500" s="23"/>
      <c r="D500" s="23"/>
      <c r="E500" s="23"/>
      <c r="F500" s="21"/>
      <c r="G500" s="21"/>
      <c r="H500" s="21"/>
      <c r="I500" s="511"/>
    </row>
    <row r="501" spans="1:9">
      <c r="A501" s="509"/>
      <c r="B501" s="510"/>
      <c r="C501" s="23"/>
      <c r="D501" s="23"/>
      <c r="E501" s="23"/>
      <c r="F501" s="21"/>
      <c r="G501" s="21"/>
      <c r="H501" s="21"/>
      <c r="I501" s="511"/>
    </row>
    <row r="502" spans="1:9">
      <c r="A502" s="509"/>
      <c r="B502" s="510"/>
      <c r="C502" s="23"/>
      <c r="D502" s="23"/>
      <c r="E502" s="23"/>
      <c r="F502" s="21"/>
      <c r="G502" s="21"/>
      <c r="H502" s="21"/>
      <c r="I502" s="511"/>
    </row>
    <row r="503" spans="1:9">
      <c r="A503" s="509"/>
      <c r="B503" s="510"/>
      <c r="C503" s="23"/>
      <c r="D503" s="23"/>
      <c r="E503" s="23"/>
      <c r="F503" s="21"/>
      <c r="G503" s="21"/>
      <c r="H503" s="21"/>
      <c r="I503" s="511"/>
    </row>
    <row r="504" spans="1:9">
      <c r="A504" s="509"/>
      <c r="B504" s="510"/>
      <c r="C504" s="23"/>
      <c r="D504" s="23"/>
      <c r="E504" s="23"/>
      <c r="F504" s="21"/>
      <c r="G504" s="21"/>
      <c r="H504" s="21"/>
      <c r="I504" s="511"/>
    </row>
    <row r="505" spans="1:9">
      <c r="A505" s="509"/>
      <c r="B505" s="510"/>
      <c r="C505" s="23"/>
      <c r="D505" s="23"/>
      <c r="E505" s="23"/>
      <c r="F505" s="21"/>
      <c r="G505" s="21"/>
      <c r="H505" s="21"/>
      <c r="I505" s="511"/>
    </row>
    <row r="506" spans="1:9">
      <c r="A506" s="509"/>
      <c r="B506" s="510"/>
      <c r="C506" s="23"/>
      <c r="D506" s="23"/>
      <c r="E506" s="23"/>
      <c r="F506" s="21"/>
      <c r="G506" s="21"/>
      <c r="H506" s="21"/>
      <c r="I506" s="511"/>
    </row>
    <row r="507" spans="1:9">
      <c r="A507" s="509"/>
      <c r="B507" s="510"/>
      <c r="C507" s="23"/>
      <c r="D507" s="23"/>
      <c r="E507" s="23"/>
      <c r="F507" s="21"/>
      <c r="G507" s="21"/>
      <c r="H507" s="21"/>
      <c r="I507" s="511"/>
    </row>
    <row r="508" spans="1:9">
      <c r="A508" s="509"/>
      <c r="B508" s="510"/>
      <c r="C508" s="23"/>
      <c r="D508" s="23"/>
      <c r="E508" s="23"/>
      <c r="F508" s="21"/>
      <c r="G508" s="21"/>
      <c r="H508" s="21"/>
      <c r="I508" s="511"/>
    </row>
    <row r="509" spans="1:9">
      <c r="A509" s="509"/>
      <c r="B509" s="510"/>
      <c r="C509" s="23"/>
      <c r="D509" s="23"/>
      <c r="E509" s="23"/>
      <c r="F509" s="21"/>
      <c r="G509" s="21"/>
      <c r="H509" s="21"/>
      <c r="I509" s="511"/>
    </row>
    <row r="510" spans="1:9">
      <c r="A510" s="509"/>
      <c r="B510" s="510"/>
      <c r="C510" s="23"/>
      <c r="D510" s="23"/>
      <c r="E510" s="23"/>
      <c r="F510" s="21"/>
      <c r="G510" s="21"/>
      <c r="H510" s="21"/>
      <c r="I510" s="511"/>
    </row>
    <row r="511" spans="1:9">
      <c r="A511" s="509"/>
      <c r="B511" s="510"/>
      <c r="C511" s="23"/>
      <c r="D511" s="23"/>
      <c r="E511" s="23"/>
      <c r="F511" s="21"/>
      <c r="G511" s="21"/>
      <c r="H511" s="21"/>
      <c r="I511" s="511"/>
    </row>
    <row r="512" spans="1:9">
      <c r="A512" s="509"/>
      <c r="B512" s="510"/>
      <c r="C512" s="23"/>
      <c r="D512" s="23"/>
      <c r="E512" s="23"/>
      <c r="F512" s="21"/>
      <c r="G512" s="21"/>
      <c r="H512" s="21"/>
      <c r="I512" s="511"/>
    </row>
    <row r="513" spans="1:9">
      <c r="A513" s="509"/>
      <c r="B513" s="510"/>
      <c r="C513" s="23"/>
      <c r="D513" s="23"/>
      <c r="E513" s="23"/>
      <c r="F513" s="21"/>
      <c r="G513" s="21"/>
      <c r="H513" s="21"/>
      <c r="I513" s="511"/>
    </row>
    <row r="514" spans="1:9">
      <c r="A514" s="509"/>
      <c r="B514" s="510"/>
      <c r="C514" s="23"/>
      <c r="D514" s="23"/>
      <c r="E514" s="23"/>
      <c r="F514" s="21"/>
      <c r="G514" s="21"/>
      <c r="H514" s="21"/>
      <c r="I514" s="511"/>
    </row>
    <row r="515" spans="1:9">
      <c r="A515" s="509"/>
      <c r="B515" s="510"/>
      <c r="C515" s="23"/>
      <c r="D515" s="23"/>
      <c r="E515" s="23"/>
      <c r="F515" s="21"/>
      <c r="G515" s="21"/>
      <c r="H515" s="21"/>
      <c r="I515" s="511"/>
    </row>
    <row r="516" spans="1:9">
      <c r="A516" s="509"/>
      <c r="B516" s="510"/>
      <c r="C516" s="23"/>
      <c r="D516" s="23"/>
      <c r="E516" s="23"/>
      <c r="F516" s="21"/>
      <c r="G516" s="21"/>
      <c r="H516" s="21"/>
      <c r="I516" s="511"/>
    </row>
    <row r="517" spans="1:9">
      <c r="A517" s="509"/>
      <c r="B517" s="510"/>
      <c r="C517" s="23"/>
      <c r="D517" s="23"/>
      <c r="E517" s="23"/>
      <c r="F517" s="21"/>
      <c r="G517" s="21"/>
      <c r="H517" s="21"/>
      <c r="I517" s="511"/>
    </row>
    <row r="518" spans="1:9">
      <c r="A518" s="509"/>
      <c r="B518" s="510"/>
      <c r="C518" s="23"/>
      <c r="D518" s="23"/>
      <c r="E518" s="23"/>
      <c r="F518" s="21"/>
      <c r="G518" s="21"/>
      <c r="H518" s="21"/>
      <c r="I518" s="511"/>
    </row>
    <row r="519" spans="1:9">
      <c r="A519" s="509"/>
      <c r="B519" s="510"/>
      <c r="C519" s="23"/>
      <c r="D519" s="23"/>
      <c r="E519" s="23"/>
      <c r="F519" s="21"/>
      <c r="G519" s="21"/>
      <c r="H519" s="21"/>
      <c r="I519" s="511"/>
    </row>
    <row r="520" spans="1:9">
      <c r="A520" s="509"/>
      <c r="B520" s="510"/>
      <c r="C520" s="23"/>
      <c r="D520" s="23"/>
      <c r="E520" s="23"/>
      <c r="F520" s="21"/>
      <c r="G520" s="21"/>
      <c r="H520" s="21"/>
      <c r="I520" s="511"/>
    </row>
    <row r="521" spans="1:9">
      <c r="A521" s="509"/>
      <c r="B521" s="510"/>
      <c r="C521" s="23"/>
      <c r="D521" s="23"/>
      <c r="E521" s="23"/>
      <c r="F521" s="21"/>
      <c r="G521" s="21"/>
      <c r="H521" s="21"/>
      <c r="I521" s="511"/>
    </row>
    <row r="522" spans="1:9">
      <c r="A522" s="509"/>
      <c r="B522" s="510"/>
      <c r="C522" s="23"/>
      <c r="D522" s="23"/>
      <c r="E522" s="23"/>
      <c r="F522" s="21"/>
      <c r="G522" s="21"/>
      <c r="H522" s="21"/>
      <c r="I522" s="511"/>
    </row>
    <row r="523" spans="1:9">
      <c r="A523" s="509"/>
      <c r="B523" s="510"/>
      <c r="C523" s="23"/>
      <c r="D523" s="23"/>
      <c r="E523" s="23"/>
      <c r="F523" s="21"/>
      <c r="G523" s="21"/>
      <c r="H523" s="21"/>
      <c r="I523" s="511"/>
    </row>
    <row r="524" spans="1:9">
      <c r="A524" s="509"/>
      <c r="B524" s="510"/>
      <c r="C524" s="23"/>
      <c r="D524" s="23"/>
      <c r="E524" s="23"/>
      <c r="F524" s="21"/>
      <c r="G524" s="21"/>
      <c r="H524" s="21"/>
      <c r="I524" s="511"/>
    </row>
    <row r="525" spans="1:9">
      <c r="A525" s="509"/>
      <c r="B525" s="510"/>
      <c r="C525" s="23"/>
      <c r="D525" s="23"/>
      <c r="E525" s="23"/>
      <c r="F525" s="21"/>
      <c r="G525" s="21"/>
      <c r="H525" s="21"/>
      <c r="I525" s="511"/>
    </row>
    <row r="526" spans="1:9">
      <c r="A526" s="509"/>
      <c r="B526" s="510"/>
      <c r="C526" s="23"/>
      <c r="D526" s="23"/>
      <c r="E526" s="23"/>
      <c r="F526" s="21"/>
      <c r="G526" s="21"/>
      <c r="H526" s="21"/>
      <c r="I526" s="511"/>
    </row>
    <row r="527" spans="1:9">
      <c r="A527" s="509"/>
      <c r="B527" s="510"/>
      <c r="C527" s="23"/>
      <c r="D527" s="23"/>
      <c r="E527" s="23"/>
      <c r="F527" s="21"/>
      <c r="G527" s="21"/>
      <c r="H527" s="21"/>
      <c r="I527" s="511"/>
    </row>
    <row r="528" spans="1:9">
      <c r="A528" s="509"/>
      <c r="B528" s="510"/>
      <c r="C528" s="23"/>
      <c r="D528" s="23"/>
      <c r="E528" s="23"/>
      <c r="F528" s="21"/>
      <c r="G528" s="21"/>
      <c r="H528" s="21"/>
      <c r="I528" s="511"/>
    </row>
    <row r="529" spans="1:9">
      <c r="A529" s="509"/>
      <c r="B529" s="510"/>
      <c r="C529" s="23"/>
      <c r="D529" s="23"/>
      <c r="E529" s="23"/>
      <c r="F529" s="21"/>
      <c r="G529" s="21"/>
      <c r="H529" s="21"/>
      <c r="I529" s="511"/>
    </row>
    <row r="530" spans="1:9">
      <c r="A530" s="509"/>
      <c r="B530" s="510"/>
      <c r="C530" s="23"/>
      <c r="D530" s="23"/>
      <c r="E530" s="23"/>
      <c r="F530" s="21"/>
      <c r="G530" s="21"/>
      <c r="H530" s="21"/>
      <c r="I530" s="511"/>
    </row>
    <row r="531" spans="1:9">
      <c r="A531" s="509"/>
      <c r="B531" s="510"/>
      <c r="C531" s="23"/>
      <c r="D531" s="23"/>
      <c r="E531" s="23"/>
      <c r="F531" s="21"/>
      <c r="G531" s="21"/>
      <c r="H531" s="21"/>
      <c r="I531" s="511"/>
    </row>
    <row r="532" spans="1:9">
      <c r="A532" s="509"/>
      <c r="B532" s="510"/>
      <c r="C532" s="23"/>
      <c r="D532" s="23"/>
      <c r="E532" s="23"/>
      <c r="F532" s="21"/>
      <c r="G532" s="21"/>
      <c r="H532" s="21"/>
      <c r="I532" s="511"/>
    </row>
    <row r="533" spans="1:9">
      <c r="A533" s="509"/>
      <c r="B533" s="510"/>
      <c r="C533" s="23"/>
      <c r="D533" s="23"/>
      <c r="E533" s="23"/>
      <c r="F533" s="21"/>
      <c r="G533" s="21"/>
      <c r="H533" s="21"/>
      <c r="I533" s="511"/>
    </row>
    <row r="534" spans="1:9">
      <c r="A534" s="509"/>
      <c r="B534" s="510"/>
      <c r="C534" s="23"/>
      <c r="D534" s="23"/>
      <c r="E534" s="23"/>
      <c r="F534" s="21"/>
      <c r="G534" s="21"/>
      <c r="H534" s="21"/>
      <c r="I534" s="511"/>
    </row>
    <row r="535" spans="1:9">
      <c r="A535" s="509"/>
      <c r="B535" s="510"/>
      <c r="C535" s="23"/>
      <c r="D535" s="23"/>
      <c r="E535" s="23"/>
      <c r="F535" s="21"/>
      <c r="G535" s="21"/>
      <c r="H535" s="21"/>
      <c r="I535" s="511"/>
    </row>
    <row r="536" spans="1:9">
      <c r="A536" s="509"/>
      <c r="B536" s="510"/>
      <c r="C536" s="23"/>
      <c r="D536" s="23"/>
      <c r="E536" s="23"/>
      <c r="F536" s="21"/>
      <c r="G536" s="21"/>
      <c r="H536" s="21"/>
      <c r="I536" s="511"/>
    </row>
    <row r="537" spans="1:9">
      <c r="A537" s="509"/>
      <c r="B537" s="510"/>
      <c r="C537" s="23"/>
      <c r="D537" s="23"/>
      <c r="E537" s="23"/>
      <c r="F537" s="21"/>
      <c r="G537" s="21"/>
      <c r="H537" s="21"/>
      <c r="I537" s="511"/>
    </row>
    <row r="538" spans="1:9">
      <c r="A538" s="509"/>
      <c r="B538" s="510"/>
      <c r="C538" s="23"/>
      <c r="D538" s="23"/>
      <c r="E538" s="23"/>
      <c r="F538" s="21"/>
      <c r="G538" s="21"/>
      <c r="H538" s="21"/>
      <c r="I538" s="511"/>
    </row>
    <row r="539" spans="1:9">
      <c r="A539" s="509"/>
      <c r="B539" s="510"/>
      <c r="C539" s="23"/>
      <c r="D539" s="23"/>
      <c r="E539" s="23"/>
      <c r="F539" s="21"/>
      <c r="G539" s="21"/>
      <c r="H539" s="21"/>
      <c r="I539" s="511"/>
    </row>
    <row r="540" spans="1:9">
      <c r="A540" s="509"/>
      <c r="B540" s="510"/>
      <c r="C540" s="23"/>
      <c r="D540" s="23"/>
      <c r="E540" s="23"/>
      <c r="F540" s="21"/>
      <c r="G540" s="21"/>
      <c r="H540" s="21"/>
      <c r="I540" s="511"/>
    </row>
    <row r="541" spans="1:9">
      <c r="A541" s="509"/>
      <c r="B541" s="510"/>
      <c r="C541" s="23"/>
      <c r="D541" s="23"/>
      <c r="E541" s="23"/>
      <c r="F541" s="21"/>
      <c r="G541" s="21"/>
      <c r="H541" s="21"/>
      <c r="I541" s="511"/>
    </row>
    <row r="542" spans="1:9">
      <c r="A542" s="509"/>
      <c r="B542" s="510"/>
      <c r="C542" s="23"/>
      <c r="D542" s="23"/>
      <c r="E542" s="23"/>
      <c r="F542" s="21"/>
      <c r="G542" s="21"/>
      <c r="H542" s="21"/>
      <c r="I542" s="511"/>
    </row>
    <row r="543" spans="1:9">
      <c r="A543" s="509"/>
      <c r="B543" s="510"/>
      <c r="C543" s="23"/>
      <c r="D543" s="23"/>
      <c r="E543" s="23"/>
      <c r="F543" s="21"/>
      <c r="G543" s="21"/>
      <c r="H543" s="21"/>
      <c r="I543" s="511"/>
    </row>
    <row r="544" spans="1:9">
      <c r="A544" s="509"/>
      <c r="B544" s="510"/>
      <c r="C544" s="23"/>
      <c r="D544" s="23"/>
      <c r="E544" s="23"/>
      <c r="F544" s="21"/>
      <c r="G544" s="21"/>
      <c r="H544" s="21"/>
      <c r="I544" s="511"/>
    </row>
    <row r="545" spans="1:9">
      <c r="A545" s="509"/>
      <c r="B545" s="510"/>
      <c r="C545" s="23"/>
      <c r="D545" s="23"/>
      <c r="E545" s="23"/>
      <c r="F545" s="21"/>
      <c r="G545" s="21"/>
      <c r="H545" s="21"/>
      <c r="I545" s="511"/>
    </row>
    <row r="546" spans="1:9">
      <c r="A546" s="509"/>
      <c r="B546" s="510"/>
      <c r="C546" s="23"/>
      <c r="D546" s="23"/>
      <c r="E546" s="23"/>
      <c r="F546" s="21"/>
      <c r="G546" s="21"/>
      <c r="H546" s="21"/>
      <c r="I546" s="511"/>
    </row>
    <row r="547" spans="1:9">
      <c r="A547" s="509"/>
      <c r="B547" s="510"/>
      <c r="C547" s="23"/>
      <c r="D547" s="23"/>
      <c r="E547" s="23"/>
      <c r="F547" s="21"/>
      <c r="G547" s="21"/>
      <c r="H547" s="21"/>
      <c r="I547" s="511"/>
    </row>
    <row r="548" spans="1:9">
      <c r="A548" s="509"/>
      <c r="B548" s="510"/>
      <c r="C548" s="23"/>
      <c r="D548" s="23"/>
      <c r="E548" s="23"/>
      <c r="F548" s="21"/>
      <c r="G548" s="21"/>
      <c r="H548" s="21"/>
      <c r="I548" s="511"/>
    </row>
    <row r="549" spans="1:9">
      <c r="A549" s="509"/>
      <c r="B549" s="510"/>
      <c r="C549" s="23"/>
      <c r="D549" s="23"/>
      <c r="E549" s="23"/>
      <c r="F549" s="21"/>
      <c r="G549" s="21"/>
      <c r="H549" s="21"/>
      <c r="I549" s="511"/>
    </row>
    <row r="550" spans="1:9">
      <c r="A550" s="509"/>
      <c r="B550" s="510"/>
      <c r="C550" s="23"/>
      <c r="D550" s="23"/>
      <c r="E550" s="23"/>
      <c r="F550" s="21"/>
      <c r="G550" s="21"/>
      <c r="H550" s="21"/>
      <c r="I550" s="511"/>
    </row>
    <row r="551" spans="1:9">
      <c r="A551" s="509"/>
      <c r="B551" s="510"/>
      <c r="C551" s="23"/>
      <c r="D551" s="23"/>
      <c r="E551" s="23"/>
      <c r="F551" s="21"/>
      <c r="G551" s="21"/>
      <c r="H551" s="21"/>
      <c r="I551" s="511"/>
    </row>
    <row r="552" spans="1:9">
      <c r="A552" s="509"/>
      <c r="B552" s="510"/>
      <c r="C552" s="23"/>
      <c r="D552" s="23"/>
      <c r="E552" s="23"/>
      <c r="F552" s="21"/>
      <c r="G552" s="21"/>
      <c r="H552" s="21"/>
      <c r="I552" s="511"/>
    </row>
    <row r="553" spans="1:9">
      <c r="A553" s="509"/>
      <c r="B553" s="510"/>
      <c r="C553" s="23"/>
      <c r="D553" s="23"/>
      <c r="E553" s="23"/>
      <c r="F553" s="21"/>
      <c r="G553" s="21"/>
      <c r="H553" s="21"/>
      <c r="I553" s="511"/>
    </row>
    <row r="554" spans="1:9">
      <c r="A554" s="509"/>
      <c r="B554" s="510"/>
      <c r="C554" s="23"/>
      <c r="D554" s="23"/>
      <c r="E554" s="23"/>
      <c r="F554" s="21"/>
      <c r="G554" s="21"/>
      <c r="H554" s="21"/>
      <c r="I554" s="511"/>
    </row>
    <row r="555" spans="1:9">
      <c r="A555" s="509"/>
      <c r="B555" s="510"/>
      <c r="C555" s="23"/>
      <c r="D555" s="23"/>
      <c r="E555" s="23"/>
      <c r="F555" s="21"/>
      <c r="G555" s="21"/>
      <c r="H555" s="21"/>
      <c r="I555" s="511"/>
    </row>
    <row r="556" spans="1:9">
      <c r="A556" s="509"/>
      <c r="B556" s="510"/>
      <c r="C556" s="23"/>
      <c r="D556" s="23"/>
      <c r="E556" s="23"/>
      <c r="F556" s="21"/>
      <c r="G556" s="21"/>
      <c r="H556" s="21"/>
      <c r="I556" s="511"/>
    </row>
    <row r="557" spans="1:9">
      <c r="A557" s="509"/>
      <c r="B557" s="510"/>
      <c r="C557" s="23"/>
      <c r="D557" s="23"/>
      <c r="E557" s="23"/>
      <c r="F557" s="21"/>
      <c r="G557" s="21"/>
      <c r="H557" s="21"/>
      <c r="I557" s="511"/>
    </row>
    <row r="558" spans="1:9">
      <c r="A558" s="509"/>
      <c r="B558" s="510"/>
      <c r="C558" s="23"/>
      <c r="D558" s="23"/>
      <c r="E558" s="23"/>
      <c r="F558" s="21"/>
      <c r="G558" s="21"/>
      <c r="H558" s="21"/>
      <c r="I558" s="511"/>
    </row>
    <row r="559" spans="1:9">
      <c r="A559" s="509"/>
      <c r="B559" s="510"/>
      <c r="C559" s="23"/>
      <c r="D559" s="23"/>
      <c r="E559" s="23"/>
      <c r="F559" s="21"/>
      <c r="G559" s="21"/>
      <c r="H559" s="21"/>
      <c r="I559" s="511"/>
    </row>
    <row r="560" spans="1:9">
      <c r="A560" s="509"/>
      <c r="B560" s="510"/>
      <c r="C560" s="23"/>
      <c r="D560" s="23"/>
      <c r="E560" s="23"/>
      <c r="F560" s="21"/>
      <c r="G560" s="21"/>
      <c r="H560" s="21"/>
      <c r="I560" s="511"/>
    </row>
    <row r="561" spans="1:9">
      <c r="A561" s="509"/>
      <c r="B561" s="510"/>
      <c r="C561" s="23"/>
      <c r="D561" s="23"/>
      <c r="E561" s="23"/>
      <c r="F561" s="21"/>
      <c r="G561" s="21"/>
      <c r="H561" s="21"/>
      <c r="I561" s="511"/>
    </row>
    <row r="562" spans="1:9">
      <c r="A562" s="509"/>
      <c r="B562" s="510"/>
      <c r="C562" s="23"/>
      <c r="D562" s="23"/>
      <c r="E562" s="23"/>
      <c r="F562" s="21"/>
      <c r="G562" s="21"/>
      <c r="H562" s="21"/>
      <c r="I562" s="511"/>
    </row>
    <row r="563" spans="1:9">
      <c r="A563" s="509"/>
      <c r="B563" s="510"/>
      <c r="C563" s="23"/>
      <c r="D563" s="23"/>
      <c r="E563" s="23"/>
      <c r="F563" s="21"/>
      <c r="G563" s="21"/>
      <c r="H563" s="21"/>
      <c r="I563" s="511"/>
    </row>
    <row r="564" spans="1:9">
      <c r="A564" s="509"/>
      <c r="B564" s="510"/>
      <c r="C564" s="23"/>
      <c r="D564" s="23"/>
      <c r="E564" s="23"/>
      <c r="F564" s="21"/>
      <c r="G564" s="21"/>
      <c r="H564" s="21"/>
      <c r="I564" s="511"/>
    </row>
    <row r="565" spans="1:9">
      <c r="A565" s="509"/>
      <c r="B565" s="510"/>
      <c r="C565" s="23"/>
      <c r="D565" s="23"/>
      <c r="E565" s="23"/>
      <c r="F565" s="21"/>
      <c r="G565" s="21"/>
      <c r="H565" s="21"/>
      <c r="I565" s="511"/>
    </row>
    <row r="566" spans="1:9">
      <c r="A566" s="509"/>
      <c r="B566" s="510"/>
      <c r="C566" s="23"/>
      <c r="D566" s="23"/>
      <c r="E566" s="23"/>
      <c r="F566" s="21"/>
      <c r="G566" s="21"/>
      <c r="H566" s="21"/>
      <c r="I566" s="511"/>
    </row>
    <row r="567" spans="1:9">
      <c r="A567" s="509"/>
      <c r="B567" s="510"/>
      <c r="C567" s="23"/>
      <c r="D567" s="23"/>
      <c r="E567" s="23"/>
      <c r="F567" s="21"/>
      <c r="G567" s="21"/>
      <c r="H567" s="21"/>
      <c r="I567" s="511"/>
    </row>
    <row r="568" spans="1:9">
      <c r="A568" s="509"/>
      <c r="B568" s="510"/>
      <c r="C568" s="23"/>
      <c r="D568" s="23"/>
      <c r="E568" s="23"/>
      <c r="F568" s="21"/>
      <c r="G568" s="21"/>
      <c r="H568" s="21"/>
      <c r="I568" s="511"/>
    </row>
    <row r="569" spans="1:9">
      <c r="A569" s="509"/>
      <c r="B569" s="510"/>
      <c r="C569" s="23"/>
      <c r="D569" s="23"/>
      <c r="E569" s="23"/>
      <c r="F569" s="21"/>
      <c r="G569" s="21"/>
      <c r="H569" s="21"/>
      <c r="I569" s="511"/>
    </row>
    <row r="570" spans="1:9">
      <c r="A570" s="509"/>
      <c r="B570" s="510"/>
      <c r="C570" s="23"/>
      <c r="D570" s="23"/>
      <c r="E570" s="23"/>
      <c r="F570" s="21"/>
      <c r="G570" s="21"/>
      <c r="H570" s="21"/>
      <c r="I570" s="511"/>
    </row>
    <row r="571" spans="1:9">
      <c r="A571" s="509"/>
      <c r="B571" s="510"/>
      <c r="C571" s="23"/>
      <c r="D571" s="23"/>
      <c r="E571" s="23"/>
      <c r="F571" s="21"/>
      <c r="G571" s="21"/>
      <c r="H571" s="21"/>
      <c r="I571" s="511"/>
    </row>
    <row r="572" spans="1:9">
      <c r="A572" s="509"/>
      <c r="B572" s="510"/>
      <c r="C572" s="23"/>
      <c r="D572" s="23"/>
      <c r="E572" s="23"/>
      <c r="F572" s="21"/>
      <c r="G572" s="21"/>
      <c r="H572" s="21"/>
      <c r="I572" s="511"/>
    </row>
    <row r="573" spans="1:9">
      <c r="A573" s="509"/>
      <c r="B573" s="510"/>
      <c r="C573" s="23"/>
      <c r="D573" s="23"/>
      <c r="E573" s="23"/>
      <c r="F573" s="21"/>
      <c r="G573" s="21"/>
      <c r="H573" s="21"/>
      <c r="I573" s="511"/>
    </row>
    <row r="574" spans="1:9">
      <c r="A574" s="509"/>
      <c r="B574" s="510"/>
      <c r="C574" s="23"/>
      <c r="D574" s="23"/>
      <c r="E574" s="23"/>
      <c r="F574" s="21"/>
      <c r="G574" s="21"/>
      <c r="H574" s="21"/>
      <c r="I574" s="511"/>
    </row>
    <row r="575" spans="1:9">
      <c r="A575" s="509"/>
      <c r="B575" s="510"/>
      <c r="C575" s="23"/>
      <c r="D575" s="23"/>
      <c r="E575" s="23"/>
      <c r="F575" s="21"/>
      <c r="G575" s="21"/>
      <c r="H575" s="21"/>
      <c r="I575" s="511"/>
    </row>
    <row r="576" spans="1:9">
      <c r="A576" s="509"/>
      <c r="B576" s="510"/>
      <c r="C576" s="23"/>
      <c r="D576" s="23"/>
      <c r="E576" s="23"/>
      <c r="F576" s="21"/>
      <c r="G576" s="21"/>
      <c r="H576" s="21"/>
      <c r="I576" s="511"/>
    </row>
    <row r="577" spans="1:9">
      <c r="A577" s="509"/>
      <c r="B577" s="510"/>
      <c r="C577" s="23"/>
      <c r="D577" s="23"/>
      <c r="E577" s="23"/>
      <c r="F577" s="21"/>
      <c r="G577" s="21"/>
      <c r="H577" s="21"/>
      <c r="I577" s="511"/>
    </row>
    <row r="578" spans="1:9">
      <c r="A578" s="509"/>
      <c r="B578" s="510"/>
      <c r="C578" s="23"/>
      <c r="D578" s="23"/>
      <c r="E578" s="23"/>
      <c r="F578" s="21"/>
      <c r="G578" s="21"/>
      <c r="H578" s="21"/>
      <c r="I578" s="511"/>
    </row>
    <row r="579" spans="1:9">
      <c r="A579" s="509"/>
      <c r="B579" s="510"/>
      <c r="C579" s="23"/>
      <c r="D579" s="23"/>
      <c r="E579" s="23"/>
      <c r="F579" s="21"/>
      <c r="G579" s="21"/>
      <c r="H579" s="21"/>
      <c r="I579" s="511"/>
    </row>
    <row r="580" spans="1:9">
      <c r="A580" s="509"/>
      <c r="B580" s="510"/>
      <c r="C580" s="23"/>
      <c r="D580" s="23"/>
      <c r="E580" s="23"/>
      <c r="F580" s="21"/>
      <c r="G580" s="21"/>
      <c r="H580" s="21"/>
      <c r="I580" s="511"/>
    </row>
    <row r="581" spans="1:9">
      <c r="A581" s="509"/>
      <c r="B581" s="510"/>
      <c r="C581" s="23"/>
      <c r="D581" s="23"/>
      <c r="E581" s="23"/>
      <c r="F581" s="21"/>
      <c r="G581" s="21"/>
      <c r="H581" s="21"/>
      <c r="I581" s="511"/>
    </row>
    <row r="582" spans="1:9">
      <c r="A582" s="509"/>
      <c r="B582" s="510"/>
      <c r="C582" s="23"/>
      <c r="D582" s="23"/>
      <c r="E582" s="23"/>
      <c r="F582" s="21"/>
      <c r="G582" s="21"/>
      <c r="H582" s="21"/>
      <c r="I582" s="511"/>
    </row>
    <row r="583" spans="1:9">
      <c r="A583" s="509"/>
      <c r="B583" s="510"/>
      <c r="C583" s="23"/>
      <c r="D583" s="23"/>
      <c r="E583" s="23"/>
      <c r="F583" s="21"/>
      <c r="G583" s="21"/>
      <c r="H583" s="21"/>
      <c r="I583" s="511"/>
    </row>
    <row r="584" spans="1:9">
      <c r="A584" s="509"/>
      <c r="B584" s="510"/>
      <c r="C584" s="23"/>
      <c r="D584" s="23"/>
      <c r="E584" s="23"/>
      <c r="F584" s="21"/>
      <c r="G584" s="21"/>
      <c r="H584" s="21"/>
      <c r="I584" s="511"/>
    </row>
    <row r="585" spans="1:9">
      <c r="A585" s="509"/>
      <c r="B585" s="510"/>
      <c r="C585" s="23"/>
      <c r="D585" s="23"/>
      <c r="E585" s="23"/>
      <c r="F585" s="21"/>
      <c r="G585" s="21"/>
      <c r="H585" s="21"/>
      <c r="I585" s="511"/>
    </row>
    <row r="586" spans="1:9">
      <c r="A586" s="509"/>
      <c r="B586" s="510"/>
      <c r="C586" s="23"/>
      <c r="D586" s="23"/>
      <c r="E586" s="23"/>
      <c r="F586" s="21"/>
      <c r="G586" s="21"/>
      <c r="H586" s="21"/>
      <c r="I586" s="511"/>
    </row>
    <row r="587" spans="1:9">
      <c r="A587" s="509"/>
      <c r="B587" s="510"/>
      <c r="C587" s="23"/>
      <c r="D587" s="23"/>
      <c r="E587" s="23"/>
      <c r="F587" s="21"/>
      <c r="G587" s="21"/>
      <c r="H587" s="21"/>
      <c r="I587" s="511"/>
    </row>
    <row r="588" spans="1:9">
      <c r="A588" s="509"/>
      <c r="B588" s="510"/>
      <c r="C588" s="23"/>
      <c r="D588" s="23"/>
      <c r="E588" s="23"/>
      <c r="F588" s="21"/>
      <c r="G588" s="21"/>
      <c r="H588" s="21"/>
      <c r="I588" s="511"/>
    </row>
    <row r="589" spans="1:9">
      <c r="A589" s="509"/>
      <c r="B589" s="510"/>
      <c r="C589" s="23"/>
      <c r="D589" s="23"/>
      <c r="E589" s="23"/>
      <c r="F589" s="21"/>
      <c r="G589" s="21"/>
      <c r="H589" s="21"/>
      <c r="I589" s="511"/>
    </row>
    <row r="590" spans="1:9">
      <c r="A590" s="509"/>
      <c r="B590" s="510"/>
      <c r="C590" s="23"/>
      <c r="D590" s="23"/>
      <c r="E590" s="23"/>
      <c r="F590" s="21"/>
      <c r="G590" s="21"/>
      <c r="H590" s="21"/>
      <c r="I590" s="511"/>
    </row>
    <row r="591" spans="1:9">
      <c r="A591" s="509"/>
      <c r="B591" s="510"/>
      <c r="C591" s="23"/>
      <c r="D591" s="23"/>
      <c r="E591" s="23"/>
      <c r="F591" s="21"/>
      <c r="G591" s="21"/>
      <c r="H591" s="21"/>
      <c r="I591" s="511"/>
    </row>
    <row r="592" spans="1:9">
      <c r="A592" s="509"/>
      <c r="B592" s="510"/>
      <c r="C592" s="23"/>
      <c r="D592" s="23"/>
      <c r="E592" s="23"/>
      <c r="F592" s="21"/>
      <c r="G592" s="21"/>
      <c r="H592" s="21"/>
      <c r="I592" s="511"/>
    </row>
    <row r="593" spans="1:9">
      <c r="A593" s="509"/>
      <c r="B593" s="510"/>
      <c r="C593" s="23"/>
      <c r="D593" s="23"/>
      <c r="E593" s="23"/>
      <c r="F593" s="21"/>
      <c r="G593" s="21"/>
      <c r="H593" s="21"/>
      <c r="I593" s="511"/>
    </row>
    <row r="594" spans="1:9">
      <c r="A594" s="509"/>
      <c r="B594" s="510"/>
      <c r="C594" s="23"/>
      <c r="D594" s="23"/>
      <c r="E594" s="23"/>
      <c r="F594" s="21"/>
      <c r="G594" s="21"/>
      <c r="H594" s="21"/>
      <c r="I594" s="511"/>
    </row>
    <row r="595" spans="1:9">
      <c r="A595" s="509"/>
      <c r="B595" s="510"/>
      <c r="C595" s="23"/>
      <c r="D595" s="23"/>
      <c r="E595" s="23"/>
      <c r="F595" s="21"/>
      <c r="G595" s="21"/>
      <c r="H595" s="21"/>
      <c r="I595" s="511"/>
    </row>
    <row r="596" spans="1:9">
      <c r="A596" s="509"/>
      <c r="B596" s="510"/>
      <c r="C596" s="23"/>
      <c r="D596" s="23"/>
      <c r="E596" s="23"/>
      <c r="F596" s="21"/>
      <c r="G596" s="21"/>
      <c r="H596" s="21"/>
      <c r="I596" s="511"/>
    </row>
    <row r="597" spans="1:9">
      <c r="A597" s="509"/>
      <c r="B597" s="510"/>
      <c r="C597" s="23"/>
      <c r="D597" s="23"/>
      <c r="E597" s="23"/>
      <c r="F597" s="21"/>
      <c r="G597" s="21"/>
      <c r="H597" s="21"/>
      <c r="I597" s="511"/>
    </row>
    <row r="598" spans="1:9">
      <c r="A598" s="509"/>
      <c r="B598" s="510"/>
      <c r="C598" s="23"/>
      <c r="D598" s="23"/>
      <c r="E598" s="23"/>
      <c r="F598" s="21"/>
      <c r="G598" s="21"/>
      <c r="H598" s="21"/>
      <c r="I598" s="511"/>
    </row>
    <row r="599" spans="1:9">
      <c r="A599" s="509"/>
      <c r="B599" s="510"/>
      <c r="C599" s="23"/>
      <c r="D599" s="23"/>
      <c r="E599" s="23"/>
      <c r="F599" s="21"/>
      <c r="G599" s="21"/>
      <c r="H599" s="21"/>
      <c r="I599" s="511"/>
    </row>
    <row r="600" spans="1:9">
      <c r="A600" s="509"/>
      <c r="B600" s="510"/>
      <c r="C600" s="23"/>
      <c r="D600" s="23"/>
      <c r="E600" s="23"/>
      <c r="F600" s="21"/>
      <c r="G600" s="21"/>
      <c r="H600" s="21"/>
      <c r="I600" s="511"/>
    </row>
    <row r="601" spans="1:9">
      <c r="A601" s="509"/>
      <c r="B601" s="510"/>
      <c r="C601" s="23"/>
      <c r="D601" s="23"/>
      <c r="E601" s="23"/>
      <c r="F601" s="21"/>
      <c r="G601" s="21"/>
      <c r="H601" s="21"/>
      <c r="I601" s="511"/>
    </row>
    <row r="602" spans="1:9">
      <c r="A602" s="509"/>
      <c r="B602" s="510"/>
      <c r="C602" s="23"/>
      <c r="D602" s="23"/>
      <c r="E602" s="23"/>
      <c r="F602" s="21"/>
      <c r="G602" s="21"/>
      <c r="H602" s="21"/>
      <c r="I602" s="511"/>
    </row>
    <row r="603" spans="1:9">
      <c r="A603" s="509"/>
      <c r="B603" s="510"/>
      <c r="C603" s="23"/>
      <c r="D603" s="23"/>
      <c r="E603" s="23"/>
      <c r="F603" s="21"/>
      <c r="G603" s="21"/>
      <c r="H603" s="21"/>
      <c r="I603" s="511"/>
    </row>
    <row r="604" spans="1:9">
      <c r="A604" s="509"/>
      <c r="B604" s="510"/>
      <c r="C604" s="23"/>
      <c r="D604" s="23"/>
      <c r="E604" s="23"/>
      <c r="F604" s="21"/>
      <c r="G604" s="21"/>
      <c r="H604" s="21"/>
      <c r="I604" s="511"/>
    </row>
    <row r="605" spans="1:9">
      <c r="A605" s="509"/>
      <c r="B605" s="510"/>
      <c r="C605" s="23"/>
      <c r="D605" s="23"/>
      <c r="E605" s="23"/>
      <c r="F605" s="21"/>
      <c r="G605" s="21"/>
      <c r="H605" s="21"/>
      <c r="I605" s="511"/>
    </row>
    <row r="606" spans="1:9">
      <c r="A606" s="509"/>
      <c r="B606" s="510"/>
      <c r="C606" s="23"/>
      <c r="D606" s="23"/>
      <c r="E606" s="23"/>
      <c r="F606" s="21"/>
      <c r="G606" s="21"/>
      <c r="H606" s="21"/>
      <c r="I606" s="511"/>
    </row>
    <row r="607" spans="1:9">
      <c r="A607" s="509"/>
      <c r="B607" s="510"/>
      <c r="C607" s="23"/>
      <c r="D607" s="23"/>
      <c r="E607" s="23"/>
      <c r="F607" s="21"/>
      <c r="G607" s="21"/>
      <c r="H607" s="21"/>
      <c r="I607" s="511"/>
    </row>
    <row r="608" spans="1:9">
      <c r="A608" s="509"/>
      <c r="B608" s="510"/>
      <c r="C608" s="23"/>
      <c r="D608" s="23"/>
      <c r="E608" s="23"/>
      <c r="F608" s="21"/>
      <c r="G608" s="21"/>
      <c r="H608" s="21"/>
      <c r="I608" s="511"/>
    </row>
    <row r="609" spans="1:9">
      <c r="A609" s="509"/>
      <c r="B609" s="510"/>
      <c r="C609" s="23"/>
      <c r="D609" s="23"/>
      <c r="E609" s="23"/>
      <c r="F609" s="21"/>
      <c r="G609" s="21"/>
      <c r="H609" s="21"/>
      <c r="I609" s="511"/>
    </row>
    <row r="610" spans="1:9">
      <c r="A610" s="509"/>
      <c r="B610" s="510"/>
      <c r="C610" s="23"/>
      <c r="D610" s="23"/>
      <c r="E610" s="23"/>
      <c r="F610" s="21"/>
      <c r="G610" s="21"/>
      <c r="H610" s="21"/>
      <c r="I610" s="511"/>
    </row>
    <row r="611" spans="1:9">
      <c r="A611" s="509"/>
      <c r="B611" s="510"/>
      <c r="C611" s="23"/>
      <c r="D611" s="23"/>
      <c r="E611" s="23"/>
      <c r="F611" s="21"/>
      <c r="G611" s="21"/>
      <c r="H611" s="21"/>
      <c r="I611" s="511"/>
    </row>
    <row r="612" spans="1:9">
      <c r="A612" s="509"/>
      <c r="B612" s="510"/>
      <c r="C612" s="23"/>
      <c r="D612" s="23"/>
      <c r="E612" s="23"/>
      <c r="F612" s="21"/>
      <c r="G612" s="21"/>
      <c r="H612" s="21"/>
      <c r="I612" s="511"/>
    </row>
    <row r="613" spans="1:9">
      <c r="A613" s="509"/>
      <c r="B613" s="510"/>
      <c r="C613" s="23"/>
      <c r="D613" s="23"/>
      <c r="E613" s="23"/>
      <c r="F613" s="21"/>
      <c r="G613" s="21"/>
      <c r="H613" s="21"/>
      <c r="I613" s="511"/>
    </row>
    <row r="614" spans="1:9">
      <c r="A614" s="509"/>
      <c r="B614" s="510"/>
      <c r="C614" s="23"/>
      <c r="D614" s="23"/>
      <c r="E614" s="23"/>
      <c r="F614" s="21"/>
      <c r="G614" s="21"/>
      <c r="H614" s="21"/>
      <c r="I614" s="511"/>
    </row>
    <row r="615" spans="1:9">
      <c r="A615" s="509"/>
      <c r="B615" s="510"/>
      <c r="C615" s="23"/>
      <c r="D615" s="23"/>
      <c r="E615" s="23"/>
      <c r="F615" s="21"/>
      <c r="G615" s="21"/>
      <c r="H615" s="21"/>
      <c r="I615" s="511"/>
    </row>
    <row r="616" spans="1:9">
      <c r="A616" s="509"/>
      <c r="B616" s="510"/>
      <c r="C616" s="23"/>
      <c r="D616" s="23"/>
      <c r="E616" s="23"/>
      <c r="F616" s="21"/>
      <c r="G616" s="21"/>
      <c r="H616" s="21"/>
      <c r="I616" s="511"/>
    </row>
    <row r="617" spans="1:9">
      <c r="A617" s="509"/>
      <c r="B617" s="510"/>
      <c r="C617" s="23"/>
      <c r="D617" s="23"/>
      <c r="E617" s="23"/>
      <c r="F617" s="21"/>
      <c r="G617" s="21"/>
      <c r="H617" s="21"/>
      <c r="I617" s="511"/>
    </row>
    <row r="618" spans="1:9">
      <c r="A618" s="509"/>
      <c r="B618" s="510"/>
      <c r="C618" s="23"/>
      <c r="D618" s="23"/>
      <c r="E618" s="23"/>
      <c r="F618" s="21"/>
      <c r="G618" s="21"/>
      <c r="H618" s="21"/>
      <c r="I618" s="511"/>
    </row>
    <row r="619" spans="1:9">
      <c r="A619" s="509"/>
      <c r="B619" s="510"/>
      <c r="C619" s="23"/>
      <c r="D619" s="23"/>
      <c r="E619" s="23"/>
      <c r="F619" s="21"/>
      <c r="G619" s="21"/>
      <c r="H619" s="21"/>
      <c r="I619" s="511"/>
    </row>
    <row r="620" spans="1:9">
      <c r="A620" s="509"/>
      <c r="B620" s="510"/>
      <c r="C620" s="23"/>
      <c r="D620" s="23"/>
      <c r="E620" s="23"/>
      <c r="F620" s="21"/>
      <c r="G620" s="21"/>
      <c r="H620" s="21"/>
      <c r="I620" s="511"/>
    </row>
    <row r="621" spans="1:9">
      <c r="A621" s="509"/>
      <c r="B621" s="510"/>
      <c r="C621" s="23"/>
      <c r="D621" s="23"/>
      <c r="E621" s="23"/>
      <c r="F621" s="21"/>
      <c r="G621" s="21"/>
      <c r="H621" s="21"/>
      <c r="I621" s="511"/>
    </row>
    <row r="622" spans="1:9">
      <c r="A622" s="509"/>
      <c r="B622" s="510"/>
      <c r="C622" s="23"/>
      <c r="D622" s="23"/>
      <c r="E622" s="23"/>
      <c r="F622" s="21"/>
      <c r="G622" s="21"/>
      <c r="H622" s="21"/>
      <c r="I622" s="511"/>
    </row>
    <row r="623" spans="1:9">
      <c r="A623" s="509"/>
      <c r="B623" s="510"/>
      <c r="C623" s="23"/>
      <c r="D623" s="23"/>
      <c r="E623" s="23"/>
      <c r="F623" s="21"/>
      <c r="G623" s="21"/>
      <c r="H623" s="21"/>
      <c r="I623" s="511"/>
    </row>
    <row r="624" spans="1:9">
      <c r="A624" s="509"/>
      <c r="B624" s="510"/>
      <c r="C624" s="23"/>
      <c r="D624" s="23"/>
      <c r="E624" s="23"/>
      <c r="F624" s="21"/>
      <c r="G624" s="21"/>
      <c r="H624" s="21"/>
      <c r="I624" s="511"/>
    </row>
    <row r="625" spans="1:9">
      <c r="A625" s="509"/>
      <c r="B625" s="510"/>
      <c r="C625" s="23"/>
      <c r="D625" s="23"/>
      <c r="E625" s="23"/>
      <c r="F625" s="21"/>
      <c r="G625" s="21"/>
      <c r="H625" s="21"/>
      <c r="I625" s="511"/>
    </row>
    <row r="626" spans="1:9">
      <c r="A626" s="509"/>
      <c r="B626" s="510"/>
      <c r="C626" s="23"/>
      <c r="D626" s="23"/>
      <c r="E626" s="23"/>
      <c r="F626" s="21"/>
      <c r="G626" s="21"/>
      <c r="H626" s="21"/>
      <c r="I626" s="511"/>
    </row>
    <row r="627" spans="1:9">
      <c r="A627" s="509"/>
      <c r="B627" s="510"/>
      <c r="C627" s="23"/>
      <c r="D627" s="23"/>
      <c r="E627" s="23"/>
      <c r="F627" s="21"/>
      <c r="G627" s="21"/>
      <c r="H627" s="21"/>
      <c r="I627" s="511"/>
    </row>
    <row r="628" spans="1:9">
      <c r="A628" s="509"/>
      <c r="B628" s="510"/>
      <c r="C628" s="23"/>
      <c r="D628" s="23"/>
      <c r="E628" s="23"/>
      <c r="F628" s="21"/>
      <c r="G628" s="21"/>
      <c r="H628" s="21"/>
      <c r="I628" s="511"/>
    </row>
    <row r="629" spans="1:9">
      <c r="A629" s="509"/>
      <c r="B629" s="510"/>
      <c r="C629" s="23"/>
      <c r="D629" s="23"/>
      <c r="E629" s="23"/>
      <c r="F629" s="21"/>
      <c r="G629" s="21"/>
      <c r="H629" s="21"/>
      <c r="I629" s="511"/>
    </row>
    <row r="630" spans="1:9">
      <c r="A630" s="509"/>
      <c r="B630" s="510"/>
      <c r="C630" s="23"/>
      <c r="D630" s="23"/>
      <c r="E630" s="23"/>
      <c r="F630" s="21"/>
      <c r="G630" s="21"/>
      <c r="H630" s="21"/>
      <c r="I630" s="511"/>
    </row>
    <row r="631" spans="1:9">
      <c r="A631" s="509"/>
      <c r="B631" s="510"/>
      <c r="C631" s="23"/>
      <c r="D631" s="23"/>
      <c r="E631" s="23"/>
      <c r="F631" s="21"/>
      <c r="G631" s="21"/>
      <c r="H631" s="21"/>
      <c r="I631" s="511"/>
    </row>
    <row r="632" spans="1:9">
      <c r="A632" s="509"/>
      <c r="B632" s="510"/>
      <c r="C632" s="23"/>
      <c r="D632" s="23"/>
      <c r="E632" s="23"/>
      <c r="F632" s="21"/>
      <c r="G632" s="21"/>
      <c r="H632" s="21"/>
      <c r="I632" s="511"/>
    </row>
    <row r="633" spans="1:9">
      <c r="A633" s="509"/>
      <c r="B633" s="510"/>
      <c r="C633" s="23"/>
      <c r="D633" s="23"/>
      <c r="E633" s="23"/>
      <c r="F633" s="21"/>
      <c r="G633" s="21"/>
      <c r="H633" s="21"/>
      <c r="I633" s="511"/>
    </row>
    <row r="634" spans="1:9">
      <c r="A634" s="509"/>
      <c r="B634" s="510"/>
      <c r="C634" s="23"/>
      <c r="D634" s="23"/>
      <c r="E634" s="23"/>
      <c r="F634" s="21"/>
      <c r="G634" s="21"/>
      <c r="H634" s="21"/>
      <c r="I634" s="511"/>
    </row>
    <row r="635" spans="1:9">
      <c r="A635" s="509"/>
      <c r="B635" s="510"/>
      <c r="C635" s="23"/>
      <c r="D635" s="23"/>
      <c r="E635" s="23"/>
      <c r="F635" s="21"/>
      <c r="G635" s="21"/>
      <c r="H635" s="21"/>
      <c r="I635" s="511"/>
    </row>
    <row r="636" spans="1:9">
      <c r="A636" s="509"/>
      <c r="B636" s="510"/>
      <c r="C636" s="23"/>
      <c r="D636" s="23"/>
      <c r="E636" s="23"/>
      <c r="F636" s="21"/>
      <c r="G636" s="21"/>
      <c r="H636" s="21"/>
      <c r="I636" s="511"/>
    </row>
    <row r="637" spans="1:9">
      <c r="A637" s="509"/>
      <c r="B637" s="510"/>
      <c r="C637" s="23"/>
      <c r="D637" s="23"/>
      <c r="E637" s="23"/>
      <c r="F637" s="21"/>
      <c r="G637" s="21"/>
      <c r="H637" s="21"/>
      <c r="I637" s="511"/>
    </row>
    <row r="638" spans="1:9">
      <c r="A638" s="509"/>
      <c r="B638" s="510"/>
      <c r="C638" s="23"/>
      <c r="D638" s="23"/>
      <c r="E638" s="23"/>
      <c r="F638" s="21"/>
      <c r="G638" s="21"/>
      <c r="H638" s="21"/>
      <c r="I638" s="511"/>
    </row>
    <row r="639" spans="1:9">
      <c r="A639" s="509"/>
      <c r="B639" s="510"/>
      <c r="C639" s="23"/>
      <c r="D639" s="23"/>
      <c r="E639" s="23"/>
      <c r="F639" s="21"/>
      <c r="G639" s="21"/>
      <c r="H639" s="21"/>
      <c r="I639" s="511"/>
    </row>
    <row r="640" spans="1:9">
      <c r="A640" s="509"/>
      <c r="B640" s="510"/>
      <c r="C640" s="23"/>
      <c r="D640" s="23"/>
      <c r="E640" s="23"/>
      <c r="F640" s="21"/>
      <c r="G640" s="21"/>
      <c r="H640" s="21"/>
      <c r="I640" s="511"/>
    </row>
    <row r="641" spans="1:9">
      <c r="A641" s="509"/>
      <c r="B641" s="510"/>
      <c r="C641" s="23"/>
      <c r="D641" s="23"/>
      <c r="E641" s="23"/>
      <c r="F641" s="21"/>
      <c r="G641" s="21"/>
      <c r="H641" s="21"/>
      <c r="I641" s="511"/>
    </row>
    <row r="642" spans="1:9">
      <c r="A642" s="509"/>
      <c r="B642" s="510"/>
      <c r="C642" s="23"/>
      <c r="D642" s="23"/>
      <c r="E642" s="23"/>
      <c r="F642" s="21"/>
      <c r="G642" s="21"/>
      <c r="H642" s="21"/>
      <c r="I642" s="511"/>
    </row>
    <row r="643" spans="1:9">
      <c r="A643" s="509"/>
      <c r="B643" s="510"/>
      <c r="C643" s="23"/>
      <c r="D643" s="23"/>
      <c r="E643" s="23"/>
      <c r="F643" s="21"/>
      <c r="G643" s="21"/>
      <c r="H643" s="21"/>
      <c r="I643" s="511"/>
    </row>
    <row r="644" spans="1:9">
      <c r="A644" s="509"/>
      <c r="B644" s="510"/>
      <c r="C644" s="23"/>
      <c r="D644" s="23"/>
      <c r="E644" s="23"/>
      <c r="F644" s="21"/>
      <c r="G644" s="21"/>
      <c r="H644" s="21"/>
      <c r="I644" s="511"/>
    </row>
    <row r="645" spans="1:9">
      <c r="A645" s="509"/>
      <c r="B645" s="510"/>
      <c r="C645" s="23"/>
      <c r="D645" s="23"/>
      <c r="E645" s="23"/>
      <c r="F645" s="21"/>
      <c r="G645" s="21"/>
      <c r="H645" s="21"/>
      <c r="I645" s="511"/>
    </row>
    <row r="646" spans="1:9">
      <c r="A646" s="509"/>
      <c r="B646" s="510"/>
      <c r="C646" s="23"/>
      <c r="D646" s="23"/>
      <c r="E646" s="23"/>
      <c r="F646" s="21"/>
      <c r="G646" s="21"/>
      <c r="H646" s="21"/>
      <c r="I646" s="511"/>
    </row>
    <row r="647" spans="1:9">
      <c r="A647" s="509"/>
      <c r="B647" s="510"/>
      <c r="C647" s="23"/>
      <c r="D647" s="23"/>
      <c r="E647" s="23"/>
      <c r="F647" s="21"/>
      <c r="G647" s="21"/>
      <c r="H647" s="21"/>
      <c r="I647" s="511"/>
    </row>
    <row r="648" spans="1:9">
      <c r="A648" s="509"/>
      <c r="B648" s="510"/>
      <c r="C648" s="23"/>
      <c r="D648" s="23"/>
      <c r="E648" s="23"/>
      <c r="F648" s="21"/>
      <c r="G648" s="21"/>
      <c r="H648" s="21"/>
      <c r="I648" s="511"/>
    </row>
    <row r="649" spans="1:9">
      <c r="A649" s="509"/>
      <c r="B649" s="510"/>
      <c r="C649" s="23"/>
      <c r="D649" s="23"/>
      <c r="E649" s="23"/>
      <c r="F649" s="21"/>
      <c r="G649" s="21"/>
      <c r="H649" s="21"/>
      <c r="I649" s="511"/>
    </row>
    <row r="650" spans="1:9">
      <c r="A650" s="509"/>
      <c r="B650" s="510"/>
      <c r="C650" s="23"/>
      <c r="D650" s="23"/>
      <c r="E650" s="23"/>
      <c r="F650" s="21"/>
      <c r="G650" s="21"/>
      <c r="H650" s="21"/>
      <c r="I650" s="511"/>
    </row>
    <row r="651" spans="1:9">
      <c r="A651" s="509"/>
      <c r="B651" s="510"/>
      <c r="C651" s="23"/>
      <c r="D651" s="23"/>
      <c r="E651" s="23"/>
      <c r="F651" s="21"/>
      <c r="G651" s="21"/>
      <c r="H651" s="21"/>
      <c r="I651" s="511"/>
    </row>
    <row r="652" spans="1:9">
      <c r="A652" s="509"/>
      <c r="B652" s="510"/>
      <c r="C652" s="23"/>
      <c r="D652" s="23"/>
      <c r="E652" s="23"/>
      <c r="F652" s="21"/>
      <c r="G652" s="21"/>
      <c r="H652" s="21"/>
      <c r="I652" s="511"/>
    </row>
    <row r="653" spans="1:9">
      <c r="A653" s="509"/>
      <c r="B653" s="510"/>
      <c r="C653" s="23"/>
      <c r="D653" s="23"/>
      <c r="E653" s="23"/>
      <c r="F653" s="21"/>
      <c r="G653" s="21"/>
      <c r="H653" s="21"/>
      <c r="I653" s="511"/>
    </row>
    <row r="654" spans="1:9">
      <c r="A654" s="509"/>
      <c r="B654" s="510"/>
      <c r="C654" s="23"/>
      <c r="D654" s="23"/>
      <c r="E654" s="23"/>
      <c r="F654" s="21"/>
      <c r="G654" s="21"/>
      <c r="H654" s="21"/>
      <c r="I654" s="511"/>
    </row>
    <row r="655" spans="1:9">
      <c r="A655" s="509"/>
      <c r="B655" s="510"/>
      <c r="C655" s="23"/>
      <c r="D655" s="23"/>
      <c r="E655" s="23"/>
      <c r="F655" s="21"/>
      <c r="G655" s="21"/>
      <c r="H655" s="21"/>
      <c r="I655" s="511"/>
    </row>
    <row r="656" spans="1:9">
      <c r="A656" s="509"/>
      <c r="B656" s="510"/>
      <c r="C656" s="23"/>
      <c r="D656" s="23"/>
      <c r="E656" s="23"/>
      <c r="F656" s="21"/>
      <c r="G656" s="21"/>
      <c r="H656" s="21"/>
      <c r="I656" s="511"/>
    </row>
    <row r="657" spans="1:9">
      <c r="A657" s="509"/>
      <c r="B657" s="510"/>
      <c r="C657" s="23"/>
      <c r="D657" s="23"/>
      <c r="E657" s="23"/>
      <c r="F657" s="21"/>
      <c r="G657" s="21"/>
      <c r="H657" s="21"/>
      <c r="I657" s="511"/>
    </row>
    <row r="658" spans="1:9">
      <c r="A658" s="509"/>
      <c r="B658" s="510"/>
      <c r="C658" s="23"/>
      <c r="D658" s="23"/>
      <c r="E658" s="23"/>
      <c r="F658" s="21"/>
      <c r="G658" s="21"/>
      <c r="H658" s="21"/>
      <c r="I658" s="511"/>
    </row>
    <row r="659" spans="1:9">
      <c r="A659" s="509"/>
      <c r="B659" s="510"/>
      <c r="C659" s="23"/>
      <c r="D659" s="23"/>
      <c r="E659" s="23"/>
      <c r="F659" s="21"/>
      <c r="G659" s="21"/>
      <c r="H659" s="21"/>
      <c r="I659" s="511"/>
    </row>
    <row r="660" spans="1:9">
      <c r="A660" s="509"/>
      <c r="B660" s="510"/>
      <c r="C660" s="23"/>
      <c r="D660" s="23"/>
      <c r="E660" s="23"/>
      <c r="F660" s="21"/>
      <c r="G660" s="21"/>
      <c r="H660" s="21"/>
      <c r="I660" s="511"/>
    </row>
    <row r="661" spans="1:9">
      <c r="A661" s="509"/>
      <c r="B661" s="510"/>
      <c r="C661" s="23"/>
      <c r="D661" s="23"/>
      <c r="E661" s="23"/>
      <c r="F661" s="21"/>
      <c r="G661" s="21"/>
      <c r="H661" s="21"/>
      <c r="I661" s="511"/>
    </row>
    <row r="662" spans="1:9">
      <c r="A662" s="509"/>
      <c r="B662" s="510"/>
      <c r="C662" s="23"/>
      <c r="D662" s="23"/>
      <c r="E662" s="23"/>
      <c r="F662" s="21"/>
      <c r="G662" s="21"/>
      <c r="H662" s="21"/>
      <c r="I662" s="511"/>
    </row>
    <row r="663" spans="1:9">
      <c r="A663" s="509"/>
      <c r="B663" s="510"/>
      <c r="C663" s="23"/>
      <c r="D663" s="23"/>
      <c r="E663" s="23"/>
      <c r="F663" s="21"/>
      <c r="G663" s="21"/>
      <c r="H663" s="21"/>
      <c r="I663" s="511"/>
    </row>
    <row r="664" spans="1:9">
      <c r="A664" s="509"/>
      <c r="B664" s="510"/>
      <c r="C664" s="23"/>
      <c r="D664" s="23"/>
      <c r="E664" s="23"/>
      <c r="F664" s="21"/>
      <c r="G664" s="21"/>
      <c r="H664" s="21"/>
      <c r="I664" s="511"/>
    </row>
    <row r="665" spans="1:9">
      <c r="A665" s="509"/>
      <c r="B665" s="510"/>
      <c r="C665" s="23"/>
      <c r="D665" s="23"/>
      <c r="E665" s="23"/>
      <c r="F665" s="21"/>
      <c r="G665" s="21"/>
      <c r="H665" s="21"/>
      <c r="I665" s="511"/>
    </row>
    <row r="666" spans="1:9">
      <c r="A666" s="509"/>
      <c r="B666" s="510"/>
      <c r="C666" s="23"/>
      <c r="D666" s="23"/>
      <c r="E666" s="23"/>
      <c r="F666" s="21"/>
      <c r="G666" s="21"/>
      <c r="H666" s="21"/>
      <c r="I666" s="511"/>
    </row>
    <row r="667" spans="1:9">
      <c r="A667" s="509"/>
      <c r="B667" s="510"/>
      <c r="C667" s="23"/>
      <c r="D667" s="23"/>
      <c r="E667" s="23"/>
      <c r="F667" s="21"/>
      <c r="G667" s="21"/>
      <c r="H667" s="21"/>
      <c r="I667" s="511"/>
    </row>
    <row r="668" spans="1:9">
      <c r="A668" s="509"/>
      <c r="B668" s="510"/>
      <c r="C668" s="23"/>
      <c r="D668" s="23"/>
      <c r="E668" s="23"/>
      <c r="F668" s="21"/>
      <c r="G668" s="21"/>
      <c r="H668" s="21"/>
      <c r="I668" s="511"/>
    </row>
    <row r="669" spans="1:9">
      <c r="A669" s="509"/>
      <c r="B669" s="510"/>
      <c r="C669" s="23"/>
      <c r="D669" s="23"/>
      <c r="E669" s="23"/>
      <c r="F669" s="21"/>
      <c r="G669" s="21"/>
      <c r="H669" s="21"/>
      <c r="I669" s="511"/>
    </row>
    <row r="670" spans="1:9">
      <c r="A670" s="509"/>
      <c r="B670" s="510"/>
      <c r="C670" s="23"/>
      <c r="D670" s="23"/>
      <c r="E670" s="23"/>
      <c r="F670" s="21"/>
      <c r="G670" s="21"/>
      <c r="H670" s="21"/>
      <c r="I670" s="511"/>
    </row>
    <row r="671" spans="1:9">
      <c r="A671" s="509"/>
      <c r="B671" s="510"/>
      <c r="C671" s="23"/>
      <c r="D671" s="23"/>
      <c r="E671" s="23"/>
      <c r="F671" s="21"/>
      <c r="G671" s="21"/>
      <c r="H671" s="21"/>
      <c r="I671" s="511"/>
    </row>
    <row r="672" spans="1:9">
      <c r="A672" s="509"/>
      <c r="B672" s="510"/>
      <c r="C672" s="23"/>
      <c r="D672" s="23"/>
      <c r="E672" s="23"/>
      <c r="F672" s="21"/>
      <c r="G672" s="21"/>
      <c r="H672" s="21"/>
      <c r="I672" s="511"/>
    </row>
    <row r="673" spans="1:9">
      <c r="A673" s="509"/>
      <c r="B673" s="510"/>
      <c r="C673" s="23"/>
      <c r="D673" s="23"/>
      <c r="E673" s="23"/>
      <c r="F673" s="21"/>
      <c r="G673" s="21"/>
      <c r="H673" s="21"/>
      <c r="I673" s="511"/>
    </row>
    <row r="674" spans="1:9">
      <c r="A674" s="509"/>
      <c r="B674" s="510"/>
      <c r="C674" s="23"/>
      <c r="D674" s="23"/>
      <c r="E674" s="23"/>
      <c r="F674" s="21"/>
      <c r="G674" s="21"/>
      <c r="H674" s="21"/>
      <c r="I674" s="511"/>
    </row>
    <row r="675" spans="1:9">
      <c r="A675" s="509"/>
      <c r="B675" s="510"/>
      <c r="C675" s="23"/>
      <c r="D675" s="23"/>
      <c r="E675" s="23"/>
      <c r="F675" s="21"/>
      <c r="G675" s="21"/>
      <c r="H675" s="21"/>
      <c r="I675" s="511"/>
    </row>
    <row r="676" spans="1:9">
      <c r="A676" s="509"/>
      <c r="B676" s="510"/>
      <c r="C676" s="23"/>
      <c r="D676" s="23"/>
      <c r="E676" s="23"/>
      <c r="F676" s="21"/>
      <c r="G676" s="21"/>
      <c r="H676" s="21"/>
      <c r="I676" s="511"/>
    </row>
    <row r="677" spans="1:9">
      <c r="A677" s="509"/>
      <c r="B677" s="510"/>
      <c r="C677" s="23"/>
      <c r="D677" s="23"/>
      <c r="E677" s="23"/>
      <c r="F677" s="21"/>
      <c r="G677" s="21"/>
      <c r="H677" s="21"/>
      <c r="I677" s="511"/>
    </row>
    <row r="678" spans="1:9">
      <c r="A678" s="509"/>
      <c r="B678" s="510"/>
      <c r="C678" s="23"/>
      <c r="D678" s="23"/>
      <c r="E678" s="23"/>
      <c r="F678" s="21"/>
      <c r="G678" s="21"/>
      <c r="H678" s="21"/>
      <c r="I678" s="511"/>
    </row>
    <row r="679" spans="1:9">
      <c r="A679" s="509"/>
      <c r="B679" s="510"/>
      <c r="C679" s="23"/>
      <c r="D679" s="23"/>
      <c r="E679" s="23"/>
      <c r="F679" s="21"/>
      <c r="G679" s="21"/>
      <c r="H679" s="21"/>
      <c r="I679" s="511"/>
    </row>
    <row r="680" spans="1:9">
      <c r="A680" s="509"/>
      <c r="B680" s="510"/>
      <c r="C680" s="23"/>
      <c r="D680" s="23"/>
      <c r="E680" s="23"/>
      <c r="F680" s="21"/>
      <c r="G680" s="21"/>
      <c r="H680" s="21"/>
      <c r="I680" s="511"/>
    </row>
    <row r="681" spans="1:9">
      <c r="A681" s="509"/>
      <c r="B681" s="510"/>
      <c r="C681" s="23"/>
      <c r="D681" s="23"/>
      <c r="E681" s="23"/>
      <c r="F681" s="21"/>
      <c r="G681" s="21"/>
      <c r="H681" s="21"/>
      <c r="I681" s="511"/>
    </row>
    <row r="682" spans="1:9">
      <c r="A682" s="509"/>
      <c r="B682" s="510"/>
      <c r="C682" s="23"/>
      <c r="D682" s="23"/>
      <c r="E682" s="23"/>
      <c r="F682" s="21"/>
      <c r="G682" s="21"/>
      <c r="H682" s="21"/>
      <c r="I682" s="511"/>
    </row>
    <row r="683" spans="1:9">
      <c r="A683" s="509"/>
      <c r="B683" s="510"/>
      <c r="C683" s="23"/>
      <c r="D683" s="23"/>
      <c r="E683" s="23"/>
      <c r="F683" s="21"/>
      <c r="G683" s="21"/>
      <c r="H683" s="21"/>
      <c r="I683" s="511"/>
    </row>
    <row r="684" spans="1:9">
      <c r="A684" s="509"/>
      <c r="B684" s="510"/>
      <c r="C684" s="23"/>
      <c r="D684" s="23"/>
      <c r="E684" s="23"/>
      <c r="F684" s="21"/>
      <c r="G684" s="21"/>
      <c r="H684" s="21"/>
      <c r="I684" s="511"/>
    </row>
    <row r="685" spans="1:9">
      <c r="A685" s="509"/>
      <c r="B685" s="510"/>
      <c r="C685" s="23"/>
      <c r="D685" s="23"/>
      <c r="E685" s="23"/>
      <c r="F685" s="21"/>
      <c r="G685" s="21"/>
      <c r="H685" s="21"/>
      <c r="I685" s="511"/>
    </row>
    <row r="686" spans="1:9">
      <c r="A686" s="509"/>
      <c r="B686" s="510"/>
      <c r="C686" s="23"/>
      <c r="D686" s="23"/>
      <c r="E686" s="23"/>
      <c r="F686" s="21"/>
      <c r="G686" s="21"/>
      <c r="H686" s="21"/>
      <c r="I686" s="511"/>
    </row>
    <row r="687" spans="1:9">
      <c r="A687" s="509"/>
      <c r="B687" s="510"/>
      <c r="C687" s="23"/>
      <c r="D687" s="23"/>
      <c r="E687" s="23"/>
      <c r="F687" s="21"/>
      <c r="G687" s="21"/>
      <c r="H687" s="21"/>
      <c r="I687" s="511"/>
    </row>
    <row r="688" spans="1:9">
      <c r="A688" s="509"/>
      <c r="B688" s="510"/>
      <c r="C688" s="23"/>
      <c r="D688" s="23"/>
      <c r="E688" s="23"/>
      <c r="F688" s="21"/>
      <c r="G688" s="21"/>
      <c r="H688" s="21"/>
      <c r="I688" s="511"/>
    </row>
    <row r="689" spans="1:9">
      <c r="A689" s="509"/>
      <c r="B689" s="510"/>
      <c r="C689" s="23"/>
      <c r="D689" s="23"/>
      <c r="E689" s="23"/>
      <c r="F689" s="21"/>
      <c r="G689" s="21"/>
      <c r="H689" s="21"/>
      <c r="I689" s="511"/>
    </row>
    <row r="690" spans="1:9">
      <c r="A690" s="509"/>
      <c r="B690" s="510"/>
      <c r="C690" s="23"/>
      <c r="D690" s="23"/>
      <c r="E690" s="23"/>
      <c r="F690" s="21"/>
      <c r="G690" s="21"/>
      <c r="H690" s="21"/>
      <c r="I690" s="511"/>
    </row>
    <row r="691" spans="1:9">
      <c r="A691" s="509"/>
      <c r="B691" s="510"/>
      <c r="C691" s="23"/>
      <c r="D691" s="23"/>
      <c r="E691" s="23"/>
      <c r="F691" s="21"/>
      <c r="G691" s="21"/>
      <c r="H691" s="21"/>
      <c r="I691" s="511"/>
    </row>
    <row r="692" spans="1:9">
      <c r="A692" s="509"/>
      <c r="B692" s="510"/>
      <c r="C692" s="23"/>
      <c r="D692" s="23"/>
      <c r="E692" s="23"/>
      <c r="F692" s="21"/>
      <c r="G692" s="21"/>
      <c r="H692" s="21"/>
      <c r="I692" s="511"/>
    </row>
    <row r="693" spans="1:9">
      <c r="A693" s="509"/>
      <c r="B693" s="510"/>
      <c r="C693" s="23"/>
      <c r="D693" s="23"/>
      <c r="E693" s="23"/>
      <c r="F693" s="21"/>
      <c r="G693" s="21"/>
      <c r="H693" s="21"/>
      <c r="I693" s="511"/>
    </row>
    <row r="694" spans="1:9">
      <c r="A694" s="509"/>
      <c r="B694" s="510"/>
      <c r="C694" s="23"/>
      <c r="D694" s="23"/>
      <c r="E694" s="23"/>
      <c r="F694" s="21"/>
      <c r="G694" s="21"/>
      <c r="H694" s="21"/>
      <c r="I694" s="511"/>
    </row>
    <row r="695" spans="1:9">
      <c r="A695" s="509"/>
      <c r="B695" s="510"/>
      <c r="C695" s="23"/>
      <c r="D695" s="23"/>
      <c r="E695" s="23"/>
      <c r="F695" s="21"/>
      <c r="G695" s="21"/>
      <c r="H695" s="21"/>
      <c r="I695" s="511"/>
    </row>
    <row r="696" spans="1:9">
      <c r="A696" s="509"/>
      <c r="B696" s="510"/>
      <c r="C696" s="23"/>
      <c r="D696" s="23"/>
      <c r="E696" s="23"/>
      <c r="F696" s="21"/>
      <c r="G696" s="21"/>
      <c r="H696" s="21"/>
      <c r="I696" s="511"/>
    </row>
    <row r="697" spans="1:9">
      <c r="A697" s="509"/>
      <c r="B697" s="510"/>
      <c r="C697" s="23"/>
      <c r="D697" s="23"/>
      <c r="E697" s="23"/>
      <c r="F697" s="21"/>
      <c r="G697" s="21"/>
      <c r="H697" s="21"/>
      <c r="I697" s="511"/>
    </row>
    <row r="698" spans="1:9">
      <c r="A698" s="509"/>
      <c r="B698" s="510"/>
      <c r="C698" s="23"/>
      <c r="D698" s="23"/>
      <c r="E698" s="23"/>
      <c r="F698" s="21"/>
      <c r="G698" s="21"/>
      <c r="H698" s="21"/>
      <c r="I698" s="511"/>
    </row>
    <row r="699" spans="1:9">
      <c r="A699" s="509"/>
      <c r="B699" s="510"/>
      <c r="C699" s="23"/>
      <c r="D699" s="23"/>
      <c r="E699" s="23"/>
      <c r="F699" s="21"/>
      <c r="G699" s="21"/>
      <c r="H699" s="21"/>
      <c r="I699" s="511"/>
    </row>
    <row r="700" spans="1:9">
      <c r="A700" s="509"/>
      <c r="B700" s="510"/>
      <c r="C700" s="23"/>
      <c r="D700" s="23"/>
      <c r="E700" s="23"/>
      <c r="F700" s="21"/>
      <c r="G700" s="21"/>
      <c r="H700" s="21"/>
      <c r="I700" s="511"/>
    </row>
    <row r="701" spans="1:9">
      <c r="A701" s="509"/>
      <c r="B701" s="510"/>
      <c r="C701" s="23"/>
      <c r="D701" s="23"/>
      <c r="E701" s="23"/>
      <c r="F701" s="21"/>
      <c r="G701" s="21"/>
      <c r="H701" s="21"/>
      <c r="I701" s="511"/>
    </row>
    <row r="702" spans="1:9">
      <c r="A702" s="509"/>
      <c r="B702" s="510"/>
      <c r="C702" s="23"/>
      <c r="D702" s="23"/>
      <c r="E702" s="23"/>
      <c r="F702" s="21"/>
      <c r="G702" s="21"/>
      <c r="H702" s="21"/>
      <c r="I702" s="511"/>
    </row>
    <row r="703" spans="1:9">
      <c r="A703" s="509"/>
      <c r="B703" s="510"/>
      <c r="C703" s="23"/>
      <c r="D703" s="23"/>
      <c r="E703" s="23"/>
      <c r="F703" s="21"/>
      <c r="G703" s="21"/>
      <c r="H703" s="21"/>
      <c r="I703" s="511"/>
    </row>
    <row r="704" spans="1:9">
      <c r="A704" s="509"/>
      <c r="B704" s="510"/>
      <c r="C704" s="23"/>
      <c r="D704" s="23"/>
      <c r="E704" s="23"/>
      <c r="F704" s="21"/>
      <c r="G704" s="21"/>
      <c r="H704" s="21"/>
      <c r="I704" s="511"/>
    </row>
    <row r="705" spans="1:9">
      <c r="A705" s="509"/>
      <c r="B705" s="510"/>
      <c r="C705" s="23"/>
      <c r="D705" s="23"/>
      <c r="E705" s="23"/>
      <c r="F705" s="21"/>
      <c r="G705" s="21"/>
      <c r="H705" s="21"/>
      <c r="I705" s="511"/>
    </row>
    <row r="706" spans="1:9">
      <c r="A706" s="509"/>
      <c r="B706" s="510"/>
      <c r="C706" s="23"/>
      <c r="D706" s="23"/>
      <c r="E706" s="23"/>
      <c r="F706" s="21"/>
      <c r="G706" s="21"/>
      <c r="H706" s="21"/>
      <c r="I706" s="511"/>
    </row>
    <row r="707" spans="1:9">
      <c r="A707" s="509"/>
      <c r="B707" s="510"/>
      <c r="C707" s="23"/>
      <c r="D707" s="23"/>
      <c r="E707" s="23"/>
      <c r="F707" s="21"/>
      <c r="G707" s="21"/>
      <c r="H707" s="21"/>
      <c r="I707" s="511"/>
    </row>
    <row r="708" spans="1:9">
      <c r="A708" s="509"/>
      <c r="B708" s="510"/>
      <c r="C708" s="23"/>
      <c r="D708" s="23"/>
      <c r="E708" s="23"/>
      <c r="F708" s="21"/>
      <c r="G708" s="21"/>
      <c r="H708" s="21"/>
      <c r="I708" s="511"/>
    </row>
    <row r="709" spans="1:9">
      <c r="A709" s="509"/>
      <c r="B709" s="510"/>
      <c r="C709" s="23"/>
      <c r="D709" s="23"/>
      <c r="E709" s="23"/>
      <c r="F709" s="21"/>
      <c r="G709" s="21"/>
      <c r="H709" s="21"/>
      <c r="I709" s="511"/>
    </row>
    <row r="710" spans="1:9">
      <c r="A710" s="509"/>
      <c r="B710" s="510"/>
      <c r="C710" s="23"/>
      <c r="D710" s="23"/>
      <c r="E710" s="23"/>
      <c r="F710" s="21"/>
      <c r="G710" s="21"/>
      <c r="H710" s="21"/>
      <c r="I710" s="511"/>
    </row>
    <row r="711" spans="1:9">
      <c r="A711" s="509"/>
      <c r="B711" s="510"/>
      <c r="C711" s="23"/>
      <c r="D711" s="23"/>
      <c r="E711" s="23"/>
      <c r="F711" s="21"/>
      <c r="G711" s="21"/>
      <c r="H711" s="21"/>
      <c r="I711" s="511"/>
    </row>
    <row r="712" spans="1:9">
      <c r="A712" s="509"/>
      <c r="B712" s="510"/>
      <c r="C712" s="23"/>
      <c r="D712" s="23"/>
      <c r="E712" s="23"/>
      <c r="F712" s="21"/>
      <c r="G712" s="21"/>
      <c r="H712" s="21"/>
      <c r="I712" s="511"/>
    </row>
    <row r="713" spans="1:9">
      <c r="A713" s="509"/>
      <c r="B713" s="510"/>
      <c r="C713" s="23"/>
      <c r="D713" s="23"/>
      <c r="E713" s="23"/>
      <c r="F713" s="21"/>
      <c r="G713" s="21"/>
      <c r="H713" s="21"/>
      <c r="I713" s="511"/>
    </row>
    <row r="714" spans="1:9">
      <c r="A714" s="509"/>
      <c r="B714" s="510"/>
      <c r="C714" s="23"/>
      <c r="D714" s="23"/>
      <c r="E714" s="23"/>
      <c r="F714" s="21"/>
      <c r="G714" s="21"/>
      <c r="H714" s="21"/>
      <c r="I714" s="511"/>
    </row>
    <row r="715" spans="1:9">
      <c r="A715" s="509"/>
      <c r="B715" s="510"/>
      <c r="C715" s="23"/>
      <c r="D715" s="23"/>
      <c r="E715" s="23"/>
      <c r="F715" s="21"/>
      <c r="G715" s="21"/>
      <c r="H715" s="21"/>
      <c r="I715" s="511"/>
    </row>
    <row r="716" spans="1:9">
      <c r="A716" s="509"/>
      <c r="B716" s="510"/>
      <c r="C716" s="23"/>
      <c r="D716" s="23"/>
      <c r="E716" s="23"/>
      <c r="F716" s="21"/>
      <c r="G716" s="21"/>
      <c r="H716" s="21"/>
      <c r="I716" s="511"/>
    </row>
    <row r="717" spans="1:9">
      <c r="A717" s="509"/>
      <c r="B717" s="510"/>
      <c r="C717" s="23"/>
      <c r="D717" s="23"/>
      <c r="E717" s="23"/>
      <c r="F717" s="21"/>
      <c r="G717" s="21"/>
      <c r="H717" s="21"/>
      <c r="I717" s="511"/>
    </row>
    <row r="718" spans="1:9">
      <c r="A718" s="509"/>
      <c r="B718" s="510"/>
      <c r="C718" s="23"/>
      <c r="D718" s="23"/>
      <c r="E718" s="23"/>
      <c r="F718" s="21"/>
      <c r="G718" s="21"/>
      <c r="H718" s="21"/>
      <c r="I718" s="511"/>
    </row>
    <row r="719" spans="1:9">
      <c r="A719" s="509"/>
      <c r="B719" s="510"/>
      <c r="C719" s="23"/>
      <c r="D719" s="23"/>
      <c r="E719" s="23"/>
      <c r="F719" s="21"/>
      <c r="G719" s="21"/>
      <c r="H719" s="21"/>
      <c r="I719" s="511"/>
    </row>
    <row r="720" spans="1:9">
      <c r="A720" s="509"/>
      <c r="B720" s="510"/>
      <c r="C720" s="23"/>
      <c r="D720" s="23"/>
      <c r="E720" s="23"/>
      <c r="F720" s="21"/>
      <c r="G720" s="21"/>
      <c r="H720" s="21"/>
      <c r="I720" s="511"/>
    </row>
    <row r="721" spans="1:9">
      <c r="A721" s="509"/>
      <c r="B721" s="510"/>
      <c r="C721" s="23"/>
      <c r="D721" s="23"/>
      <c r="E721" s="23"/>
      <c r="F721" s="21"/>
      <c r="G721" s="21"/>
      <c r="H721" s="21"/>
      <c r="I721" s="511"/>
    </row>
    <row r="722" spans="1:9">
      <c r="A722" s="509"/>
      <c r="B722" s="510"/>
      <c r="C722" s="23"/>
      <c r="D722" s="23"/>
      <c r="E722" s="23"/>
      <c r="F722" s="21"/>
      <c r="G722" s="21"/>
      <c r="H722" s="21"/>
      <c r="I722" s="511"/>
    </row>
    <row r="723" spans="1:9">
      <c r="A723" s="509"/>
      <c r="B723" s="510"/>
      <c r="C723" s="23"/>
      <c r="D723" s="23"/>
      <c r="E723" s="23"/>
      <c r="F723" s="21"/>
      <c r="G723" s="21"/>
      <c r="H723" s="21"/>
      <c r="I723" s="511"/>
    </row>
    <row r="724" spans="1:9">
      <c r="A724" s="509"/>
      <c r="B724" s="510"/>
      <c r="C724" s="23"/>
      <c r="D724" s="23"/>
      <c r="E724" s="23"/>
      <c r="F724" s="21"/>
      <c r="G724" s="21"/>
      <c r="H724" s="21"/>
      <c r="I724" s="511"/>
    </row>
    <row r="725" spans="1:9">
      <c r="A725" s="509"/>
      <c r="B725" s="510"/>
      <c r="C725" s="23"/>
      <c r="D725" s="23"/>
      <c r="E725" s="23"/>
      <c r="F725" s="21"/>
      <c r="G725" s="21"/>
      <c r="H725" s="21"/>
      <c r="I725" s="511"/>
    </row>
    <row r="726" spans="1:9">
      <c r="A726" s="509"/>
      <c r="B726" s="510"/>
      <c r="C726" s="23"/>
      <c r="D726" s="23"/>
      <c r="E726" s="23"/>
      <c r="F726" s="21"/>
      <c r="G726" s="21"/>
      <c r="H726" s="21"/>
      <c r="I726" s="511"/>
    </row>
    <row r="727" spans="1:9">
      <c r="A727" s="509"/>
      <c r="B727" s="510"/>
      <c r="C727" s="23"/>
      <c r="D727" s="23"/>
      <c r="E727" s="23"/>
      <c r="F727" s="21"/>
      <c r="G727" s="21"/>
      <c r="H727" s="21"/>
      <c r="I727" s="511"/>
    </row>
    <row r="728" spans="1:9">
      <c r="A728" s="509"/>
      <c r="B728" s="510"/>
      <c r="C728" s="23"/>
      <c r="D728" s="23"/>
      <c r="E728" s="23"/>
      <c r="F728" s="21"/>
      <c r="G728" s="21"/>
      <c r="H728" s="21"/>
      <c r="I728" s="511"/>
    </row>
    <row r="729" spans="1:9">
      <c r="A729" s="509"/>
      <c r="B729" s="510"/>
      <c r="C729" s="23"/>
      <c r="D729" s="23"/>
      <c r="E729" s="23"/>
      <c r="F729" s="21"/>
      <c r="G729" s="21"/>
      <c r="H729" s="21"/>
      <c r="I729" s="511"/>
    </row>
    <row r="730" spans="1:9">
      <c r="A730" s="509"/>
      <c r="B730" s="510"/>
      <c r="C730" s="23"/>
      <c r="D730" s="23"/>
      <c r="E730" s="23"/>
      <c r="F730" s="21"/>
      <c r="G730" s="21"/>
      <c r="H730" s="21"/>
      <c r="I730" s="511"/>
    </row>
    <row r="731" spans="1:9">
      <c r="A731" s="509"/>
      <c r="B731" s="510"/>
      <c r="C731" s="23"/>
      <c r="D731" s="23"/>
      <c r="E731" s="23"/>
      <c r="F731" s="21"/>
      <c r="G731" s="21"/>
      <c r="H731" s="21"/>
      <c r="I731" s="511"/>
    </row>
    <row r="732" spans="1:9">
      <c r="A732" s="509"/>
      <c r="B732" s="510"/>
      <c r="C732" s="23"/>
      <c r="D732" s="23"/>
      <c r="E732" s="23"/>
      <c r="F732" s="21"/>
      <c r="G732" s="21"/>
      <c r="H732" s="21"/>
      <c r="I732" s="511"/>
    </row>
    <row r="733" spans="1:9">
      <c r="A733" s="509"/>
      <c r="B733" s="510"/>
      <c r="C733" s="23"/>
      <c r="D733" s="23"/>
      <c r="E733" s="23"/>
      <c r="F733" s="21"/>
      <c r="G733" s="21"/>
      <c r="H733" s="21"/>
      <c r="I733" s="511"/>
    </row>
    <row r="734" spans="1:9">
      <c r="A734" s="509"/>
      <c r="B734" s="510"/>
      <c r="C734" s="23"/>
      <c r="D734" s="23"/>
      <c r="E734" s="23"/>
      <c r="F734" s="21"/>
      <c r="G734" s="21"/>
      <c r="H734" s="21"/>
      <c r="I734" s="511"/>
    </row>
    <row r="735" spans="1:9">
      <c r="A735" s="509"/>
      <c r="B735" s="510"/>
      <c r="C735" s="23"/>
      <c r="D735" s="23"/>
      <c r="E735" s="23"/>
      <c r="F735" s="21"/>
      <c r="G735" s="21"/>
      <c r="H735" s="21"/>
      <c r="I735" s="511"/>
    </row>
    <row r="736" spans="1:9">
      <c r="A736" s="509"/>
      <c r="B736" s="510"/>
      <c r="C736" s="23"/>
      <c r="D736" s="23"/>
      <c r="E736" s="23"/>
      <c r="F736" s="21"/>
      <c r="G736" s="21"/>
      <c r="H736" s="21"/>
      <c r="I736" s="511"/>
    </row>
    <row r="737" spans="1:9">
      <c r="A737" s="509"/>
      <c r="B737" s="510"/>
      <c r="C737" s="23"/>
      <c r="D737" s="23"/>
      <c r="E737" s="23"/>
      <c r="F737" s="21"/>
      <c r="G737" s="21"/>
      <c r="H737" s="21"/>
      <c r="I737" s="511"/>
    </row>
    <row r="738" spans="1:9">
      <c r="A738" s="509"/>
      <c r="B738" s="510"/>
      <c r="C738" s="23"/>
      <c r="D738" s="23"/>
      <c r="E738" s="23"/>
      <c r="F738" s="21"/>
      <c r="G738" s="21"/>
      <c r="H738" s="21"/>
      <c r="I738" s="511"/>
    </row>
    <row r="739" spans="1:9">
      <c r="A739" s="509"/>
      <c r="B739" s="510"/>
      <c r="C739" s="23"/>
      <c r="D739" s="23"/>
      <c r="E739" s="23"/>
      <c r="F739" s="21"/>
      <c r="G739" s="21"/>
      <c r="H739" s="21"/>
      <c r="I739" s="511"/>
    </row>
    <row r="740" spans="1:9">
      <c r="A740" s="509"/>
      <c r="B740" s="510"/>
      <c r="C740" s="23"/>
      <c r="D740" s="23"/>
      <c r="E740" s="23"/>
      <c r="F740" s="21"/>
      <c r="G740" s="21"/>
      <c r="H740" s="21"/>
      <c r="I740" s="511"/>
    </row>
    <row r="741" spans="1:9">
      <c r="A741" s="509"/>
      <c r="B741" s="510"/>
      <c r="C741" s="23"/>
      <c r="D741" s="23"/>
      <c r="E741" s="23"/>
      <c r="F741" s="21"/>
      <c r="G741" s="21"/>
      <c r="H741" s="21"/>
      <c r="I741" s="511"/>
    </row>
    <row r="742" spans="1:9">
      <c r="A742" s="509"/>
      <c r="B742" s="510"/>
      <c r="C742" s="23"/>
      <c r="D742" s="23"/>
      <c r="E742" s="23"/>
      <c r="F742" s="21"/>
      <c r="G742" s="21"/>
      <c r="H742" s="21"/>
      <c r="I742" s="511"/>
    </row>
    <row r="743" spans="1:9">
      <c r="A743" s="509"/>
      <c r="B743" s="510"/>
      <c r="C743" s="23"/>
      <c r="D743" s="23"/>
      <c r="E743" s="23"/>
      <c r="F743" s="21"/>
      <c r="G743" s="21"/>
      <c r="H743" s="21"/>
      <c r="I743" s="511"/>
    </row>
    <row r="744" spans="1:9">
      <c r="A744" s="509"/>
      <c r="B744" s="510"/>
      <c r="C744" s="23"/>
      <c r="D744" s="23"/>
      <c r="E744" s="23"/>
      <c r="F744" s="21"/>
      <c r="G744" s="21"/>
      <c r="H744" s="21"/>
      <c r="I744" s="511"/>
    </row>
    <row r="745" spans="1:9">
      <c r="A745" s="509"/>
      <c r="B745" s="510"/>
      <c r="C745" s="23"/>
      <c r="D745" s="23"/>
      <c r="E745" s="23"/>
      <c r="F745" s="21"/>
      <c r="G745" s="21"/>
      <c r="H745" s="21"/>
      <c r="I745" s="511"/>
    </row>
    <row r="746" spans="1:9">
      <c r="A746" s="509"/>
      <c r="B746" s="510"/>
      <c r="C746" s="23"/>
      <c r="D746" s="23"/>
      <c r="E746" s="23"/>
      <c r="F746" s="21"/>
      <c r="G746" s="21"/>
      <c r="H746" s="21"/>
      <c r="I746" s="511"/>
    </row>
    <row r="747" spans="1:9">
      <c r="A747" s="509"/>
      <c r="B747" s="510"/>
      <c r="C747" s="23"/>
      <c r="D747" s="23"/>
      <c r="E747" s="23"/>
      <c r="F747" s="21"/>
      <c r="G747" s="21"/>
      <c r="H747" s="21"/>
      <c r="I747" s="511"/>
    </row>
    <row r="748" spans="1:9">
      <c r="A748" s="509"/>
      <c r="B748" s="510"/>
      <c r="C748" s="23"/>
      <c r="D748" s="23"/>
      <c r="E748" s="23"/>
      <c r="F748" s="21"/>
      <c r="G748" s="21"/>
      <c r="H748" s="21"/>
      <c r="I748" s="511"/>
    </row>
    <row r="749" spans="1:9">
      <c r="A749" s="509"/>
      <c r="B749" s="510"/>
      <c r="C749" s="23"/>
      <c r="D749" s="23"/>
      <c r="E749" s="23"/>
      <c r="F749" s="21"/>
      <c r="G749" s="21"/>
      <c r="H749" s="21"/>
      <c r="I749" s="511"/>
    </row>
    <row r="750" spans="1:9">
      <c r="A750" s="509"/>
      <c r="B750" s="510"/>
      <c r="C750" s="23"/>
      <c r="D750" s="23"/>
      <c r="E750" s="23"/>
      <c r="F750" s="21"/>
      <c r="G750" s="21"/>
      <c r="H750" s="21"/>
      <c r="I750" s="511"/>
    </row>
    <row r="751" spans="1:9">
      <c r="A751" s="509"/>
      <c r="B751" s="510"/>
      <c r="C751" s="23"/>
      <c r="D751" s="23"/>
      <c r="E751" s="23"/>
      <c r="F751" s="21"/>
      <c r="G751" s="21"/>
      <c r="H751" s="21"/>
      <c r="I751" s="511"/>
    </row>
    <row r="752" spans="1:9">
      <c r="A752" s="509"/>
      <c r="B752" s="510"/>
      <c r="C752" s="23"/>
      <c r="D752" s="23"/>
      <c r="E752" s="23"/>
      <c r="F752" s="21"/>
      <c r="G752" s="21"/>
      <c r="H752" s="21"/>
      <c r="I752" s="511"/>
    </row>
    <row r="753" spans="1:9">
      <c r="A753" s="509"/>
      <c r="B753" s="510"/>
      <c r="C753" s="23"/>
      <c r="D753" s="23"/>
      <c r="E753" s="23"/>
      <c r="F753" s="21"/>
      <c r="G753" s="21"/>
      <c r="H753" s="21"/>
      <c r="I753" s="511"/>
    </row>
    <row r="754" spans="1:9">
      <c r="A754" s="509"/>
      <c r="B754" s="510"/>
      <c r="C754" s="23"/>
      <c r="D754" s="23"/>
      <c r="E754" s="23"/>
      <c r="F754" s="21"/>
      <c r="G754" s="21"/>
      <c r="H754" s="21"/>
      <c r="I754" s="511"/>
    </row>
    <row r="755" spans="1:9">
      <c r="A755" s="509"/>
      <c r="B755" s="510"/>
      <c r="C755" s="23"/>
      <c r="D755" s="23"/>
      <c r="E755" s="23"/>
      <c r="F755" s="21"/>
      <c r="G755" s="21"/>
      <c r="H755" s="21"/>
      <c r="I755" s="511"/>
    </row>
    <row r="756" spans="1:9">
      <c r="A756" s="509"/>
      <c r="B756" s="510"/>
      <c r="C756" s="23"/>
      <c r="D756" s="23"/>
      <c r="E756" s="23"/>
      <c r="F756" s="21"/>
      <c r="G756" s="21"/>
      <c r="H756" s="21"/>
      <c r="I756" s="511"/>
    </row>
    <row r="757" spans="1:9">
      <c r="A757" s="509"/>
      <c r="B757" s="510"/>
      <c r="C757" s="23"/>
      <c r="D757" s="23"/>
      <c r="E757" s="23"/>
      <c r="F757" s="21"/>
      <c r="G757" s="21"/>
      <c r="H757" s="21"/>
      <c r="I757" s="511"/>
    </row>
    <row r="758" spans="1:9">
      <c r="A758" s="509"/>
      <c r="B758" s="510"/>
      <c r="C758" s="23"/>
      <c r="D758" s="23"/>
      <c r="E758" s="23"/>
      <c r="F758" s="21"/>
      <c r="G758" s="21"/>
      <c r="H758" s="21"/>
      <c r="I758" s="511"/>
    </row>
    <row r="759" spans="1:9">
      <c r="A759" s="509"/>
      <c r="B759" s="510"/>
      <c r="C759" s="23"/>
      <c r="D759" s="23"/>
      <c r="E759" s="23"/>
      <c r="F759" s="21"/>
      <c r="G759" s="21"/>
      <c r="H759" s="21"/>
      <c r="I759" s="511"/>
    </row>
    <row r="760" spans="1:9">
      <c r="A760" s="509"/>
      <c r="B760" s="510"/>
      <c r="C760" s="23"/>
      <c r="D760" s="23"/>
      <c r="E760" s="23"/>
      <c r="F760" s="21"/>
      <c r="G760" s="21"/>
      <c r="H760" s="21"/>
      <c r="I760" s="511"/>
    </row>
    <row r="761" spans="1:9">
      <c r="A761" s="509"/>
      <c r="B761" s="510"/>
      <c r="C761" s="23"/>
      <c r="D761" s="23"/>
      <c r="E761" s="23"/>
      <c r="F761" s="21"/>
      <c r="G761" s="21"/>
      <c r="H761" s="21"/>
      <c r="I761" s="511"/>
    </row>
    <row r="762" spans="1:9">
      <c r="A762" s="509"/>
      <c r="B762" s="510"/>
      <c r="C762" s="23"/>
      <c r="D762" s="23"/>
      <c r="E762" s="23"/>
      <c r="F762" s="21"/>
      <c r="G762" s="21"/>
      <c r="H762" s="21"/>
      <c r="I762" s="511"/>
    </row>
    <row r="763" spans="1:9">
      <c r="A763" s="509"/>
      <c r="B763" s="510"/>
      <c r="C763" s="23"/>
      <c r="D763" s="23"/>
      <c r="E763" s="23"/>
      <c r="F763" s="21"/>
      <c r="G763" s="21"/>
      <c r="H763" s="21"/>
      <c r="I763" s="511"/>
    </row>
    <row r="764" spans="1:9">
      <c r="A764" s="509"/>
      <c r="B764" s="510"/>
      <c r="C764" s="23"/>
      <c r="D764" s="23"/>
      <c r="E764" s="23"/>
      <c r="F764" s="21"/>
      <c r="G764" s="21"/>
      <c r="H764" s="21"/>
      <c r="I764" s="511"/>
    </row>
    <row r="765" spans="1:9">
      <c r="A765" s="509"/>
      <c r="B765" s="510"/>
      <c r="C765" s="23"/>
      <c r="D765" s="23"/>
      <c r="E765" s="23"/>
      <c r="F765" s="21"/>
      <c r="G765" s="21"/>
      <c r="H765" s="21"/>
      <c r="I765" s="511"/>
    </row>
    <row r="766" spans="1:9">
      <c r="A766" s="509"/>
      <c r="B766" s="510"/>
      <c r="C766" s="23"/>
      <c r="D766" s="23"/>
      <c r="E766" s="23"/>
      <c r="F766" s="21"/>
      <c r="G766" s="21"/>
      <c r="H766" s="21"/>
      <c r="I766" s="511"/>
    </row>
    <row r="767" spans="1:9">
      <c r="A767" s="509"/>
      <c r="B767" s="510"/>
      <c r="C767" s="23"/>
      <c r="D767" s="23"/>
      <c r="E767" s="23"/>
      <c r="F767" s="21"/>
      <c r="G767" s="21"/>
      <c r="H767" s="21"/>
      <c r="I767" s="511"/>
    </row>
    <row r="768" spans="1:9">
      <c r="A768" s="509"/>
      <c r="B768" s="510"/>
      <c r="C768" s="23"/>
      <c r="D768" s="23"/>
      <c r="E768" s="23"/>
      <c r="F768" s="21"/>
      <c r="G768" s="21"/>
      <c r="H768" s="21"/>
      <c r="I768" s="511"/>
    </row>
    <row r="769" spans="1:9">
      <c r="A769" s="509"/>
      <c r="B769" s="510"/>
      <c r="C769" s="23"/>
      <c r="D769" s="23"/>
      <c r="E769" s="23"/>
      <c r="F769" s="21"/>
      <c r="G769" s="21"/>
      <c r="H769" s="21"/>
      <c r="I769" s="511"/>
    </row>
    <row r="770" spans="1:9">
      <c r="A770" s="509"/>
      <c r="B770" s="510"/>
      <c r="C770" s="23"/>
      <c r="D770" s="23"/>
      <c r="E770" s="23"/>
      <c r="F770" s="21"/>
      <c r="G770" s="21"/>
      <c r="H770" s="21"/>
      <c r="I770" s="511"/>
    </row>
    <row r="771" spans="1:9">
      <c r="A771" s="509"/>
      <c r="B771" s="510"/>
      <c r="C771" s="23"/>
      <c r="D771" s="23"/>
      <c r="E771" s="23"/>
      <c r="F771" s="21"/>
      <c r="G771" s="21"/>
      <c r="H771" s="21"/>
      <c r="I771" s="511"/>
    </row>
    <row r="772" spans="1:9">
      <c r="A772" s="509"/>
      <c r="B772" s="510"/>
      <c r="C772" s="23"/>
      <c r="D772" s="23"/>
      <c r="E772" s="23"/>
      <c r="F772" s="21"/>
      <c r="G772" s="21"/>
      <c r="H772" s="21"/>
      <c r="I772" s="511"/>
    </row>
    <row r="773" spans="1:9">
      <c r="A773" s="509"/>
      <c r="B773" s="510"/>
      <c r="C773" s="23"/>
      <c r="D773" s="23"/>
      <c r="E773" s="23"/>
      <c r="F773" s="21"/>
      <c r="G773" s="21"/>
      <c r="H773" s="21"/>
      <c r="I773" s="511"/>
    </row>
    <row r="774" spans="1:9">
      <c r="A774" s="509"/>
      <c r="B774" s="510"/>
      <c r="C774" s="23"/>
      <c r="D774" s="23"/>
      <c r="E774" s="23"/>
      <c r="F774" s="21"/>
      <c r="G774" s="21"/>
      <c r="H774" s="21"/>
      <c r="I774" s="511"/>
    </row>
    <row r="775" spans="1:9">
      <c r="A775" s="509"/>
      <c r="B775" s="510"/>
      <c r="C775" s="23"/>
      <c r="D775" s="23"/>
      <c r="E775" s="23"/>
      <c r="F775" s="21"/>
      <c r="G775" s="21"/>
      <c r="H775" s="21"/>
      <c r="I775" s="511"/>
    </row>
    <row r="776" spans="1:9">
      <c r="A776" s="509"/>
      <c r="B776" s="510"/>
      <c r="C776" s="23"/>
      <c r="D776" s="23"/>
      <c r="E776" s="23"/>
      <c r="F776" s="21"/>
      <c r="G776" s="21"/>
      <c r="H776" s="21"/>
      <c r="I776" s="511"/>
    </row>
    <row r="777" spans="1:9">
      <c r="A777" s="509"/>
      <c r="B777" s="510"/>
      <c r="C777" s="23"/>
      <c r="D777" s="23"/>
      <c r="E777" s="23"/>
      <c r="F777" s="21"/>
      <c r="G777" s="21"/>
      <c r="H777" s="21"/>
      <c r="I777" s="511"/>
    </row>
    <row r="778" spans="1:9">
      <c r="A778" s="509"/>
      <c r="B778" s="510"/>
      <c r="C778" s="23"/>
      <c r="D778" s="23"/>
      <c r="E778" s="23"/>
      <c r="F778" s="21"/>
      <c r="G778" s="21"/>
      <c r="H778" s="21"/>
      <c r="I778" s="511"/>
    </row>
    <row r="779" spans="1:9">
      <c r="A779" s="509"/>
      <c r="B779" s="510"/>
      <c r="C779" s="23"/>
      <c r="D779" s="23"/>
      <c r="E779" s="23"/>
      <c r="F779" s="21"/>
      <c r="G779" s="21"/>
      <c r="H779" s="21"/>
      <c r="I779" s="511"/>
    </row>
    <row r="780" spans="1:9">
      <c r="A780" s="509"/>
      <c r="B780" s="510"/>
      <c r="C780" s="23"/>
      <c r="D780" s="23"/>
      <c r="E780" s="23"/>
      <c r="F780" s="21"/>
      <c r="G780" s="21"/>
      <c r="H780" s="21"/>
      <c r="I780" s="511"/>
    </row>
    <row r="781" spans="1:9">
      <c r="A781" s="509"/>
      <c r="B781" s="510"/>
      <c r="C781" s="23"/>
      <c r="D781" s="23"/>
      <c r="E781" s="23"/>
      <c r="F781" s="21"/>
      <c r="G781" s="21"/>
      <c r="H781" s="21"/>
      <c r="I781" s="511"/>
    </row>
    <row r="782" spans="1:9">
      <c r="A782" s="509"/>
      <c r="B782" s="510"/>
      <c r="C782" s="23"/>
      <c r="D782" s="23"/>
      <c r="E782" s="23"/>
      <c r="F782" s="21"/>
      <c r="G782" s="21"/>
      <c r="H782" s="21"/>
      <c r="I782" s="511"/>
    </row>
    <row r="783" spans="1:9">
      <c r="A783" s="509"/>
      <c r="B783" s="510"/>
      <c r="C783" s="23"/>
      <c r="D783" s="23"/>
      <c r="E783" s="23"/>
      <c r="F783" s="21"/>
      <c r="G783" s="21"/>
      <c r="H783" s="21"/>
      <c r="I783" s="511"/>
    </row>
    <row r="784" spans="1:9">
      <c r="A784" s="509"/>
      <c r="B784" s="510"/>
      <c r="C784" s="23"/>
      <c r="D784" s="23"/>
      <c r="E784" s="23"/>
      <c r="F784" s="21"/>
      <c r="G784" s="21"/>
      <c r="H784" s="21"/>
      <c r="I784" s="511"/>
    </row>
    <row r="785" spans="1:9">
      <c r="A785" s="509"/>
      <c r="B785" s="510"/>
      <c r="C785" s="23"/>
      <c r="D785" s="23"/>
      <c r="E785" s="23"/>
      <c r="F785" s="21"/>
      <c r="G785" s="21"/>
      <c r="H785" s="21"/>
      <c r="I785" s="511"/>
    </row>
    <row r="786" spans="1:9">
      <c r="A786" s="509"/>
      <c r="B786" s="510"/>
      <c r="C786" s="23"/>
      <c r="D786" s="23"/>
      <c r="E786" s="23"/>
      <c r="F786" s="21"/>
      <c r="G786" s="21"/>
      <c r="H786" s="21"/>
      <c r="I786" s="511"/>
    </row>
    <row r="787" spans="1:9">
      <c r="A787" s="509"/>
      <c r="B787" s="510"/>
      <c r="C787" s="23"/>
      <c r="D787" s="23"/>
      <c r="E787" s="23"/>
      <c r="F787" s="21"/>
      <c r="G787" s="21"/>
      <c r="H787" s="21"/>
      <c r="I787" s="511"/>
    </row>
    <row r="788" spans="1:9">
      <c r="A788" s="509"/>
      <c r="B788" s="510"/>
      <c r="C788" s="23"/>
      <c r="D788" s="23"/>
      <c r="E788" s="23"/>
      <c r="F788" s="21"/>
      <c r="G788" s="21"/>
      <c r="H788" s="21"/>
      <c r="I788" s="511"/>
    </row>
    <row r="789" spans="1:9">
      <c r="A789" s="509"/>
      <c r="B789" s="510"/>
      <c r="C789" s="23"/>
      <c r="D789" s="23"/>
      <c r="E789" s="23"/>
      <c r="F789" s="21"/>
      <c r="G789" s="21"/>
      <c r="H789" s="21"/>
      <c r="I789" s="511"/>
    </row>
    <row r="790" spans="1:9">
      <c r="A790" s="509"/>
      <c r="B790" s="510"/>
      <c r="C790" s="23"/>
      <c r="D790" s="23"/>
      <c r="E790" s="23"/>
      <c r="F790" s="21"/>
      <c r="G790" s="21"/>
      <c r="H790" s="21"/>
      <c r="I790" s="511"/>
    </row>
    <row r="791" spans="1:9">
      <c r="A791" s="509"/>
      <c r="B791" s="510"/>
      <c r="C791" s="23"/>
      <c r="D791" s="23"/>
      <c r="E791" s="23"/>
      <c r="F791" s="21"/>
      <c r="G791" s="21"/>
      <c r="H791" s="21"/>
      <c r="I791" s="511"/>
    </row>
    <row r="792" spans="1:9">
      <c r="A792" s="509"/>
      <c r="B792" s="510"/>
      <c r="C792" s="23"/>
      <c r="D792" s="23"/>
      <c r="E792" s="23"/>
      <c r="F792" s="21"/>
      <c r="G792" s="21"/>
      <c r="H792" s="21"/>
      <c r="I792" s="511"/>
    </row>
    <row r="793" spans="1:9">
      <c r="A793" s="509"/>
      <c r="B793" s="510"/>
      <c r="C793" s="23"/>
      <c r="D793" s="23"/>
      <c r="E793" s="23"/>
      <c r="F793" s="21"/>
      <c r="G793" s="21"/>
      <c r="H793" s="21"/>
      <c r="I793" s="511"/>
    </row>
    <row r="794" spans="1:9">
      <c r="A794" s="509"/>
      <c r="B794" s="510"/>
      <c r="C794" s="23"/>
      <c r="D794" s="23"/>
      <c r="E794" s="23"/>
      <c r="F794" s="21"/>
      <c r="G794" s="21"/>
      <c r="H794" s="21"/>
      <c r="I794" s="511"/>
    </row>
    <row r="795" spans="1:9">
      <c r="A795" s="509"/>
      <c r="B795" s="510"/>
      <c r="C795" s="23"/>
      <c r="D795" s="23"/>
      <c r="E795" s="23"/>
      <c r="F795" s="21"/>
      <c r="G795" s="21"/>
      <c r="H795" s="21"/>
      <c r="I795" s="511"/>
    </row>
    <row r="796" spans="1:9">
      <c r="A796" s="509"/>
      <c r="B796" s="510"/>
      <c r="C796" s="23"/>
      <c r="D796" s="23"/>
      <c r="E796" s="23"/>
      <c r="F796" s="21"/>
      <c r="G796" s="21"/>
      <c r="H796" s="21"/>
      <c r="I796" s="511"/>
    </row>
    <row r="797" spans="1:9">
      <c r="A797" s="509"/>
      <c r="B797" s="510"/>
      <c r="C797" s="23"/>
      <c r="D797" s="23"/>
      <c r="E797" s="23"/>
      <c r="F797" s="21"/>
      <c r="G797" s="21"/>
      <c r="H797" s="21"/>
      <c r="I797" s="511"/>
    </row>
    <row r="798" spans="1:9">
      <c r="A798" s="509"/>
      <c r="B798" s="510"/>
      <c r="C798" s="23"/>
      <c r="D798" s="23"/>
      <c r="E798" s="23"/>
      <c r="F798" s="21"/>
      <c r="G798" s="21"/>
      <c r="H798" s="21"/>
      <c r="I798" s="511"/>
    </row>
    <row r="799" spans="1:9">
      <c r="A799" s="509"/>
      <c r="B799" s="510"/>
      <c r="C799" s="23"/>
      <c r="D799" s="23"/>
      <c r="E799" s="23"/>
      <c r="F799" s="21"/>
      <c r="G799" s="21"/>
      <c r="H799" s="21"/>
      <c r="I799" s="511"/>
    </row>
    <row r="800" spans="1:9">
      <c r="A800" s="509"/>
      <c r="B800" s="510"/>
      <c r="C800" s="23"/>
      <c r="D800" s="23"/>
      <c r="E800" s="23"/>
      <c r="F800" s="21"/>
      <c r="G800" s="21"/>
      <c r="H800" s="21"/>
      <c r="I800" s="511"/>
    </row>
    <row r="801" spans="1:9">
      <c r="A801" s="509"/>
      <c r="B801" s="510"/>
      <c r="C801" s="23"/>
      <c r="D801" s="23"/>
      <c r="E801" s="23"/>
      <c r="F801" s="21"/>
      <c r="G801" s="21"/>
      <c r="H801" s="21"/>
      <c r="I801" s="511"/>
    </row>
    <row r="802" spans="1:9">
      <c r="A802" s="509"/>
      <c r="B802" s="510"/>
      <c r="C802" s="23"/>
      <c r="D802" s="23"/>
      <c r="E802" s="23"/>
      <c r="F802" s="21"/>
      <c r="G802" s="21"/>
      <c r="H802" s="21"/>
      <c r="I802" s="511"/>
    </row>
    <row r="803" spans="1:9">
      <c r="A803" s="509"/>
      <c r="B803" s="510"/>
      <c r="C803" s="23"/>
      <c r="D803" s="23"/>
      <c r="E803" s="23"/>
      <c r="F803" s="21"/>
      <c r="G803" s="21"/>
      <c r="H803" s="21"/>
      <c r="I803" s="511"/>
    </row>
    <row r="804" spans="1:9">
      <c r="A804" s="509"/>
      <c r="B804" s="510"/>
      <c r="C804" s="23"/>
      <c r="D804" s="23"/>
      <c r="E804" s="23"/>
      <c r="F804" s="21"/>
      <c r="G804" s="21"/>
      <c r="H804" s="21"/>
      <c r="I804" s="511"/>
    </row>
    <row r="805" spans="1:9">
      <c r="A805" s="509"/>
      <c r="B805" s="510"/>
      <c r="C805" s="23"/>
      <c r="D805" s="23"/>
      <c r="E805" s="23"/>
      <c r="F805" s="21"/>
      <c r="G805" s="21"/>
      <c r="H805" s="21"/>
      <c r="I805" s="511"/>
    </row>
    <row r="806" spans="1:9">
      <c r="A806" s="509"/>
      <c r="B806" s="510"/>
      <c r="C806" s="23"/>
      <c r="D806" s="23"/>
      <c r="E806" s="23"/>
      <c r="F806" s="21"/>
      <c r="G806" s="21"/>
      <c r="H806" s="21"/>
      <c r="I806" s="511"/>
    </row>
    <row r="807" spans="1:9">
      <c r="A807" s="509"/>
      <c r="B807" s="510"/>
      <c r="C807" s="23"/>
      <c r="D807" s="23"/>
      <c r="E807" s="23"/>
      <c r="F807" s="21"/>
      <c r="G807" s="21"/>
      <c r="H807" s="21"/>
      <c r="I807" s="511"/>
    </row>
    <row r="808" spans="1:9">
      <c r="A808" s="509"/>
      <c r="B808" s="510"/>
      <c r="C808" s="23"/>
      <c r="D808" s="23"/>
      <c r="E808" s="23"/>
      <c r="F808" s="21"/>
      <c r="G808" s="21"/>
      <c r="H808" s="21"/>
      <c r="I808" s="511"/>
    </row>
    <row r="809" spans="1:9">
      <c r="A809" s="509"/>
      <c r="B809" s="510"/>
      <c r="C809" s="23"/>
      <c r="D809" s="23"/>
      <c r="E809" s="23"/>
      <c r="F809" s="21"/>
      <c r="G809" s="21"/>
      <c r="H809" s="21"/>
      <c r="I809" s="511"/>
    </row>
    <row r="810" spans="1:9">
      <c r="A810" s="509"/>
      <c r="B810" s="510"/>
      <c r="C810" s="23"/>
      <c r="D810" s="23"/>
      <c r="E810" s="23"/>
      <c r="F810" s="21"/>
      <c r="G810" s="21"/>
      <c r="H810" s="21"/>
      <c r="I810" s="511"/>
    </row>
    <row r="811" spans="1:9">
      <c r="A811" s="509"/>
      <c r="B811" s="510"/>
      <c r="C811" s="23"/>
      <c r="D811" s="23"/>
      <c r="E811" s="23"/>
      <c r="F811" s="21"/>
      <c r="G811" s="21"/>
      <c r="H811" s="21"/>
      <c r="I811" s="511"/>
    </row>
    <row r="812" spans="1:9">
      <c r="A812" s="509"/>
      <c r="B812" s="510"/>
      <c r="C812" s="23"/>
      <c r="D812" s="23"/>
      <c r="E812" s="23"/>
      <c r="F812" s="21"/>
      <c r="G812" s="21"/>
      <c r="H812" s="21"/>
      <c r="I812" s="511"/>
    </row>
    <row r="813" spans="1:9">
      <c r="A813" s="509"/>
      <c r="B813" s="510"/>
      <c r="C813" s="23"/>
      <c r="D813" s="23"/>
      <c r="E813" s="23"/>
      <c r="F813" s="21"/>
      <c r="G813" s="21"/>
      <c r="H813" s="21"/>
      <c r="I813" s="511"/>
    </row>
    <row r="814" spans="1:9">
      <c r="A814" s="509"/>
      <c r="B814" s="510"/>
      <c r="C814" s="23"/>
      <c r="D814" s="23"/>
      <c r="E814" s="23"/>
      <c r="F814" s="21"/>
      <c r="G814" s="21"/>
      <c r="H814" s="21"/>
      <c r="I814" s="511"/>
    </row>
    <row r="815" spans="1:9">
      <c r="A815" s="509"/>
      <c r="B815" s="510"/>
      <c r="C815" s="23"/>
      <c r="D815" s="23"/>
      <c r="E815" s="23"/>
      <c r="F815" s="21"/>
      <c r="G815" s="21"/>
      <c r="H815" s="21"/>
      <c r="I815" s="511"/>
    </row>
    <row r="816" spans="1:9">
      <c r="A816" s="509"/>
      <c r="B816" s="510"/>
      <c r="C816" s="23"/>
      <c r="D816" s="23"/>
      <c r="E816" s="23"/>
      <c r="F816" s="21"/>
      <c r="G816" s="21"/>
      <c r="H816" s="21"/>
      <c r="I816" s="511"/>
    </row>
    <row r="817" spans="1:9">
      <c r="A817" s="509"/>
      <c r="B817" s="510"/>
      <c r="C817" s="23"/>
      <c r="D817" s="23"/>
      <c r="E817" s="23"/>
      <c r="F817" s="21"/>
      <c r="G817" s="21"/>
      <c r="H817" s="21"/>
      <c r="I817" s="511"/>
    </row>
    <row r="818" spans="1:9">
      <c r="A818" s="509"/>
      <c r="B818" s="510"/>
      <c r="C818" s="23"/>
      <c r="D818" s="23"/>
      <c r="E818" s="23"/>
      <c r="F818" s="21"/>
      <c r="G818" s="21"/>
      <c r="H818" s="21"/>
      <c r="I818" s="511"/>
    </row>
    <row r="819" spans="1:9">
      <c r="A819" s="509"/>
      <c r="B819" s="510"/>
      <c r="C819" s="23"/>
      <c r="D819" s="23"/>
      <c r="E819" s="23"/>
      <c r="F819" s="21"/>
      <c r="G819" s="21"/>
      <c r="H819" s="21"/>
      <c r="I819" s="511"/>
    </row>
    <row r="820" spans="1:9">
      <c r="A820" s="509"/>
      <c r="B820" s="510"/>
      <c r="C820" s="23"/>
      <c r="D820" s="23"/>
      <c r="E820" s="23"/>
      <c r="F820" s="21"/>
      <c r="G820" s="21"/>
      <c r="H820" s="21"/>
      <c r="I820" s="511"/>
    </row>
    <row r="821" spans="1:9">
      <c r="A821" s="509"/>
      <c r="B821" s="510"/>
      <c r="C821" s="23"/>
      <c r="D821" s="23"/>
      <c r="E821" s="23"/>
      <c r="F821" s="21"/>
      <c r="G821" s="21"/>
      <c r="H821" s="21"/>
      <c r="I821" s="511"/>
    </row>
    <row r="822" spans="1:9">
      <c r="A822" s="509"/>
      <c r="B822" s="510"/>
      <c r="C822" s="23"/>
      <c r="D822" s="23"/>
      <c r="E822" s="23"/>
      <c r="F822" s="21"/>
      <c r="G822" s="21"/>
      <c r="H822" s="21"/>
      <c r="I822" s="511"/>
    </row>
    <row r="823" spans="1:9">
      <c r="A823" s="509"/>
      <c r="B823" s="510"/>
      <c r="C823" s="23"/>
      <c r="D823" s="23"/>
      <c r="E823" s="23"/>
      <c r="F823" s="21"/>
      <c r="G823" s="21"/>
      <c r="H823" s="21"/>
      <c r="I823" s="511"/>
    </row>
    <row r="824" spans="1:9">
      <c r="A824" s="509"/>
      <c r="B824" s="510"/>
      <c r="C824" s="23"/>
      <c r="D824" s="23"/>
      <c r="E824" s="23"/>
      <c r="F824" s="21"/>
      <c r="G824" s="21"/>
      <c r="H824" s="21"/>
      <c r="I824" s="511"/>
    </row>
    <row r="825" spans="1:9">
      <c r="A825" s="509"/>
      <c r="B825" s="510"/>
      <c r="C825" s="23"/>
      <c r="D825" s="23"/>
      <c r="E825" s="23"/>
      <c r="F825" s="21"/>
      <c r="G825" s="21"/>
      <c r="H825" s="21"/>
      <c r="I825" s="511"/>
    </row>
    <row r="826" spans="1:9">
      <c r="A826" s="509"/>
      <c r="B826" s="510"/>
      <c r="C826" s="23"/>
      <c r="D826" s="23"/>
      <c r="E826" s="23"/>
      <c r="F826" s="21"/>
      <c r="G826" s="21"/>
      <c r="H826" s="21"/>
      <c r="I826" s="511"/>
    </row>
    <row r="827" spans="1:9">
      <c r="A827" s="509"/>
      <c r="B827" s="510"/>
      <c r="C827" s="23"/>
      <c r="D827" s="23"/>
      <c r="E827" s="23"/>
      <c r="F827" s="21"/>
      <c r="G827" s="21"/>
      <c r="H827" s="21"/>
      <c r="I827" s="511"/>
    </row>
    <row r="828" spans="1:9">
      <c r="A828" s="509"/>
      <c r="B828" s="510"/>
      <c r="C828" s="23"/>
      <c r="D828" s="23"/>
      <c r="E828" s="23"/>
      <c r="F828" s="21"/>
      <c r="G828" s="21"/>
      <c r="H828" s="21"/>
      <c r="I828" s="511"/>
    </row>
    <row r="829" spans="1:9">
      <c r="A829" s="509"/>
      <c r="B829" s="510"/>
      <c r="C829" s="23"/>
      <c r="D829" s="23"/>
      <c r="E829" s="23"/>
      <c r="F829" s="21"/>
      <c r="G829" s="21"/>
      <c r="H829" s="21"/>
      <c r="I829" s="511"/>
    </row>
    <row r="830" spans="1:9">
      <c r="A830" s="509"/>
      <c r="B830" s="510"/>
      <c r="C830" s="23"/>
      <c r="D830" s="23"/>
      <c r="E830" s="23"/>
      <c r="F830" s="21"/>
      <c r="G830" s="21"/>
      <c r="H830" s="21"/>
      <c r="I830" s="511"/>
    </row>
    <row r="831" spans="1:9">
      <c r="A831" s="509"/>
      <c r="B831" s="510"/>
      <c r="C831" s="23"/>
      <c r="D831" s="23"/>
      <c r="E831" s="23"/>
      <c r="F831" s="21"/>
      <c r="G831" s="21"/>
      <c r="H831" s="21"/>
      <c r="I831" s="511"/>
    </row>
    <row r="832" spans="1:9">
      <c r="A832" s="509"/>
      <c r="B832" s="510"/>
      <c r="C832" s="23"/>
      <c r="D832" s="23"/>
      <c r="E832" s="23"/>
      <c r="F832" s="21"/>
      <c r="G832" s="21"/>
      <c r="H832" s="21"/>
      <c r="I832" s="511"/>
    </row>
    <row r="833" spans="1:9">
      <c r="A833" s="509"/>
      <c r="B833" s="510"/>
      <c r="C833" s="23"/>
      <c r="D833" s="23"/>
      <c r="E833" s="23"/>
      <c r="F833" s="21"/>
      <c r="G833" s="21"/>
      <c r="H833" s="21"/>
      <c r="I833" s="511"/>
    </row>
    <row r="834" spans="1:9">
      <c r="A834" s="509"/>
      <c r="B834" s="510"/>
      <c r="C834" s="23"/>
      <c r="D834" s="23"/>
      <c r="E834" s="23"/>
      <c r="F834" s="21"/>
      <c r="G834" s="21"/>
      <c r="H834" s="21"/>
      <c r="I834" s="511"/>
    </row>
    <row r="835" spans="1:9">
      <c r="A835" s="509"/>
      <c r="B835" s="510"/>
      <c r="C835" s="23"/>
      <c r="D835" s="23"/>
      <c r="E835" s="23"/>
      <c r="F835" s="21"/>
      <c r="G835" s="21"/>
      <c r="H835" s="21"/>
      <c r="I835" s="511"/>
    </row>
    <row r="836" spans="1:9">
      <c r="A836" s="509"/>
      <c r="B836" s="510"/>
      <c r="C836" s="23"/>
      <c r="D836" s="23"/>
      <c r="E836" s="23"/>
      <c r="F836" s="21"/>
      <c r="G836" s="21"/>
      <c r="H836" s="21"/>
      <c r="I836" s="511"/>
    </row>
    <row r="837" spans="1:9">
      <c r="A837" s="509"/>
      <c r="B837" s="510"/>
      <c r="C837" s="23"/>
      <c r="D837" s="23"/>
      <c r="E837" s="23"/>
      <c r="F837" s="21"/>
      <c r="G837" s="21"/>
      <c r="H837" s="21"/>
      <c r="I837" s="511"/>
    </row>
    <row r="838" spans="1:9">
      <c r="A838" s="509"/>
      <c r="B838" s="510"/>
      <c r="C838" s="23"/>
      <c r="D838" s="23"/>
      <c r="E838" s="23"/>
      <c r="F838" s="21"/>
      <c r="G838" s="21"/>
      <c r="H838" s="21"/>
      <c r="I838" s="511"/>
    </row>
    <row r="839" spans="1:9">
      <c r="A839" s="509"/>
      <c r="B839" s="510"/>
      <c r="C839" s="23"/>
      <c r="D839" s="23"/>
      <c r="E839" s="23"/>
      <c r="F839" s="21"/>
      <c r="G839" s="21"/>
      <c r="H839" s="21"/>
      <c r="I839" s="511"/>
    </row>
    <row r="840" spans="1:9">
      <c r="A840" s="509"/>
      <c r="B840" s="510"/>
      <c r="C840" s="23"/>
      <c r="D840" s="23"/>
      <c r="E840" s="23"/>
      <c r="F840" s="21"/>
      <c r="G840" s="21"/>
      <c r="H840" s="21"/>
      <c r="I840" s="511"/>
    </row>
    <row r="841" spans="1:9">
      <c r="A841" s="509"/>
      <c r="B841" s="510"/>
      <c r="C841" s="23"/>
      <c r="D841" s="23"/>
      <c r="E841" s="23"/>
      <c r="F841" s="21"/>
      <c r="G841" s="21"/>
      <c r="H841" s="21"/>
      <c r="I841" s="511"/>
    </row>
    <row r="842" spans="1:9">
      <c r="A842" s="509"/>
      <c r="B842" s="510"/>
      <c r="C842" s="23"/>
      <c r="D842" s="23"/>
      <c r="E842" s="23"/>
      <c r="F842" s="21"/>
      <c r="G842" s="21"/>
      <c r="H842" s="21"/>
      <c r="I842" s="511"/>
    </row>
    <row r="843" spans="1:9">
      <c r="A843" s="509"/>
      <c r="B843" s="510"/>
      <c r="C843" s="23"/>
      <c r="D843" s="23"/>
      <c r="E843" s="23"/>
      <c r="F843" s="21"/>
      <c r="G843" s="21"/>
      <c r="H843" s="21"/>
      <c r="I843" s="511"/>
    </row>
    <row r="844" spans="1:9">
      <c r="A844" s="509"/>
      <c r="B844" s="510"/>
      <c r="C844" s="23"/>
      <c r="D844" s="23"/>
      <c r="E844" s="23"/>
      <c r="F844" s="21"/>
      <c r="G844" s="21"/>
      <c r="H844" s="21"/>
      <c r="I844" s="511"/>
    </row>
    <row r="845" spans="1:9">
      <c r="A845" s="509"/>
      <c r="B845" s="510"/>
      <c r="C845" s="23"/>
      <c r="D845" s="23"/>
      <c r="E845" s="23"/>
      <c r="F845" s="21"/>
      <c r="G845" s="21"/>
      <c r="H845" s="21"/>
      <c r="I845" s="511"/>
    </row>
    <row r="846" spans="1:9">
      <c r="A846" s="509"/>
      <c r="B846" s="510"/>
      <c r="C846" s="23"/>
      <c r="D846" s="23"/>
      <c r="E846" s="23"/>
      <c r="F846" s="21"/>
      <c r="G846" s="21"/>
      <c r="H846" s="21"/>
      <c r="I846" s="511"/>
    </row>
    <row r="847" spans="1:9">
      <c r="A847" s="509"/>
      <c r="B847" s="510"/>
      <c r="C847" s="23"/>
      <c r="D847" s="23"/>
      <c r="E847" s="23"/>
      <c r="F847" s="21"/>
      <c r="G847" s="21"/>
      <c r="H847" s="21"/>
      <c r="I847" s="511"/>
    </row>
    <row r="848" spans="1:9">
      <c r="A848" s="509"/>
      <c r="B848" s="510"/>
      <c r="C848" s="23"/>
      <c r="D848" s="23"/>
      <c r="E848" s="23"/>
      <c r="F848" s="21"/>
      <c r="G848" s="21"/>
      <c r="H848" s="21"/>
      <c r="I848" s="511"/>
    </row>
    <row r="849" spans="1:9">
      <c r="A849" s="509"/>
      <c r="B849" s="510"/>
      <c r="C849" s="23"/>
      <c r="D849" s="23"/>
      <c r="E849" s="23"/>
      <c r="F849" s="21"/>
      <c r="G849" s="21"/>
      <c r="H849" s="21"/>
      <c r="I849" s="511"/>
    </row>
    <row r="850" spans="1:9">
      <c r="A850" s="509"/>
      <c r="B850" s="510"/>
      <c r="C850" s="23"/>
      <c r="D850" s="23"/>
      <c r="E850" s="23"/>
      <c r="F850" s="21"/>
      <c r="G850" s="21"/>
      <c r="H850" s="21"/>
      <c r="I850" s="511"/>
    </row>
    <row r="851" spans="1:9">
      <c r="A851" s="509"/>
      <c r="B851" s="510"/>
      <c r="C851" s="23"/>
      <c r="D851" s="23"/>
      <c r="E851" s="23"/>
      <c r="F851" s="21"/>
      <c r="G851" s="21"/>
      <c r="H851" s="21"/>
      <c r="I851" s="511"/>
    </row>
    <row r="852" spans="1:9">
      <c r="A852" s="509"/>
      <c r="B852" s="510"/>
      <c r="C852" s="23"/>
      <c r="D852" s="23"/>
      <c r="E852" s="23"/>
      <c r="F852" s="21"/>
      <c r="G852" s="21"/>
      <c r="H852" s="21"/>
      <c r="I852" s="511"/>
    </row>
    <row r="853" spans="1:9">
      <c r="A853" s="509"/>
      <c r="B853" s="510"/>
      <c r="C853" s="23"/>
      <c r="D853" s="23"/>
      <c r="E853" s="23"/>
      <c r="F853" s="21"/>
      <c r="G853" s="21"/>
      <c r="H853" s="21"/>
      <c r="I853" s="511"/>
    </row>
    <row r="854" spans="1:9">
      <c r="A854" s="509"/>
      <c r="B854" s="510"/>
      <c r="C854" s="23"/>
      <c r="D854" s="23"/>
      <c r="E854" s="23"/>
      <c r="F854" s="21"/>
      <c r="G854" s="21"/>
      <c r="H854" s="21"/>
      <c r="I854" s="511"/>
    </row>
    <row r="855" spans="1:9">
      <c r="A855" s="509"/>
      <c r="B855" s="510"/>
      <c r="C855" s="23"/>
      <c r="D855" s="23"/>
      <c r="E855" s="23"/>
      <c r="F855" s="21"/>
      <c r="G855" s="21"/>
      <c r="H855" s="21"/>
      <c r="I855" s="511"/>
    </row>
    <row r="856" spans="1:9">
      <c r="A856" s="509"/>
      <c r="B856" s="510"/>
      <c r="C856" s="23"/>
      <c r="D856" s="23"/>
      <c r="E856" s="23"/>
      <c r="F856" s="21"/>
      <c r="G856" s="21"/>
      <c r="H856" s="21"/>
      <c r="I856" s="511"/>
    </row>
    <row r="857" spans="1:9">
      <c r="A857" s="509"/>
      <c r="B857" s="510"/>
      <c r="C857" s="23"/>
      <c r="D857" s="23"/>
      <c r="E857" s="23"/>
      <c r="F857" s="21"/>
      <c r="G857" s="21"/>
      <c r="H857" s="21"/>
      <c r="I857" s="511"/>
    </row>
    <row r="858" spans="1:9">
      <c r="A858" s="509"/>
      <c r="B858" s="510"/>
      <c r="C858" s="23"/>
      <c r="D858" s="23"/>
      <c r="E858" s="23"/>
      <c r="F858" s="21"/>
      <c r="G858" s="21"/>
      <c r="H858" s="21"/>
      <c r="I858" s="511"/>
    </row>
    <row r="859" spans="1:9">
      <c r="A859" s="509"/>
      <c r="B859" s="510"/>
      <c r="C859" s="23"/>
      <c r="D859" s="23"/>
      <c r="E859" s="23"/>
      <c r="F859" s="21"/>
      <c r="G859" s="21"/>
      <c r="H859" s="21"/>
      <c r="I859" s="511"/>
    </row>
    <row r="860" spans="1:9">
      <c r="A860" s="509"/>
      <c r="B860" s="510"/>
      <c r="C860" s="23"/>
      <c r="D860" s="23"/>
      <c r="E860" s="23"/>
      <c r="F860" s="21"/>
      <c r="G860" s="21"/>
      <c r="H860" s="21"/>
      <c r="I860" s="511"/>
    </row>
    <row r="861" spans="1:9">
      <c r="A861" s="509"/>
      <c r="B861" s="510"/>
      <c r="C861" s="23"/>
      <c r="D861" s="23"/>
      <c r="E861" s="23"/>
      <c r="F861" s="21"/>
      <c r="G861" s="21"/>
      <c r="H861" s="21"/>
      <c r="I861" s="511"/>
    </row>
    <row r="862" spans="1:9">
      <c r="A862" s="509"/>
      <c r="B862" s="510"/>
      <c r="C862" s="23"/>
      <c r="D862" s="23"/>
      <c r="E862" s="23"/>
      <c r="F862" s="21"/>
      <c r="G862" s="21"/>
      <c r="H862" s="21"/>
      <c r="I862" s="511"/>
    </row>
    <row r="863" spans="1:9">
      <c r="A863" s="509"/>
      <c r="B863" s="510"/>
      <c r="C863" s="23"/>
      <c r="D863" s="23"/>
      <c r="E863" s="23"/>
      <c r="F863" s="21"/>
      <c r="G863" s="21"/>
      <c r="H863" s="21"/>
      <c r="I863" s="511"/>
    </row>
    <row r="864" spans="1:9">
      <c r="A864" s="509"/>
      <c r="B864" s="510"/>
      <c r="C864" s="23"/>
      <c r="D864" s="23"/>
      <c r="E864" s="23"/>
      <c r="F864" s="21"/>
      <c r="G864" s="21"/>
      <c r="H864" s="21"/>
      <c r="I864" s="511"/>
    </row>
    <row r="865" spans="1:9">
      <c r="A865" s="509"/>
      <c r="B865" s="510"/>
      <c r="C865" s="23"/>
      <c r="D865" s="23"/>
      <c r="E865" s="23"/>
      <c r="F865" s="21"/>
      <c r="G865" s="21"/>
      <c r="H865" s="21"/>
      <c r="I865" s="511"/>
    </row>
    <row r="866" spans="1:9">
      <c r="A866" s="509"/>
      <c r="B866" s="510"/>
      <c r="C866" s="23"/>
      <c r="D866" s="23"/>
      <c r="E866" s="23"/>
      <c r="F866" s="21"/>
      <c r="G866" s="21"/>
      <c r="H866" s="21"/>
      <c r="I866" s="511"/>
    </row>
    <row r="867" spans="1:9">
      <c r="A867" s="509"/>
      <c r="B867" s="510"/>
      <c r="C867" s="23"/>
      <c r="D867" s="23"/>
      <c r="E867" s="23"/>
      <c r="F867" s="21"/>
      <c r="G867" s="21"/>
      <c r="H867" s="21"/>
      <c r="I867" s="511"/>
    </row>
    <row r="868" spans="1:9">
      <c r="A868" s="509"/>
      <c r="B868" s="510"/>
      <c r="C868" s="23"/>
      <c r="D868" s="23"/>
      <c r="E868" s="23"/>
      <c r="F868" s="21"/>
      <c r="G868" s="21"/>
      <c r="H868" s="21"/>
      <c r="I868" s="511"/>
    </row>
    <row r="869" spans="1:9">
      <c r="A869" s="509"/>
      <c r="B869" s="510"/>
      <c r="C869" s="23"/>
      <c r="D869" s="23"/>
      <c r="E869" s="23"/>
      <c r="F869" s="21"/>
      <c r="G869" s="21"/>
      <c r="H869" s="21"/>
      <c r="I869" s="511"/>
    </row>
    <row r="870" spans="1:9">
      <c r="A870" s="509"/>
      <c r="B870" s="510"/>
      <c r="C870" s="23"/>
      <c r="D870" s="23"/>
      <c r="E870" s="23"/>
      <c r="F870" s="21"/>
      <c r="G870" s="21"/>
      <c r="H870" s="21"/>
      <c r="I870" s="511"/>
    </row>
    <row r="871" spans="1:9">
      <c r="A871" s="509"/>
      <c r="B871" s="510"/>
      <c r="C871" s="23"/>
      <c r="D871" s="23"/>
      <c r="E871" s="23"/>
      <c r="F871" s="21"/>
      <c r="G871" s="21"/>
      <c r="H871" s="21"/>
      <c r="I871" s="511"/>
    </row>
    <row r="872" spans="1:9">
      <c r="A872" s="509"/>
      <c r="B872" s="510"/>
      <c r="C872" s="23"/>
      <c r="D872" s="23"/>
      <c r="E872" s="23"/>
      <c r="F872" s="21"/>
      <c r="G872" s="21"/>
      <c r="H872" s="21"/>
      <c r="I872" s="511"/>
    </row>
    <row r="873" spans="1:9">
      <c r="A873" s="509"/>
      <c r="B873" s="510"/>
      <c r="C873" s="23"/>
      <c r="D873" s="23"/>
      <c r="E873" s="23"/>
      <c r="F873" s="21"/>
      <c r="G873" s="21"/>
      <c r="H873" s="21"/>
      <c r="I873" s="511"/>
    </row>
    <row r="874" spans="1:9">
      <c r="A874" s="509"/>
      <c r="B874" s="510"/>
      <c r="C874" s="23"/>
      <c r="D874" s="23"/>
      <c r="E874" s="23"/>
      <c r="F874" s="21"/>
      <c r="G874" s="21"/>
      <c r="H874" s="21"/>
      <c r="I874" s="511"/>
    </row>
    <row r="875" spans="1:9">
      <c r="A875" s="509"/>
      <c r="B875" s="510"/>
      <c r="C875" s="23"/>
      <c r="D875" s="23"/>
      <c r="E875" s="23"/>
      <c r="F875" s="21"/>
      <c r="G875" s="21"/>
      <c r="H875" s="21"/>
      <c r="I875" s="511"/>
    </row>
    <row r="876" spans="1:9">
      <c r="A876" s="509"/>
      <c r="B876" s="510"/>
      <c r="C876" s="23"/>
      <c r="D876" s="23"/>
      <c r="E876" s="23"/>
      <c r="F876" s="21"/>
      <c r="G876" s="21"/>
      <c r="H876" s="21"/>
      <c r="I876" s="511"/>
    </row>
    <row r="877" spans="1:9">
      <c r="A877" s="509"/>
      <c r="B877" s="510"/>
      <c r="C877" s="23"/>
      <c r="D877" s="23"/>
      <c r="E877" s="23"/>
      <c r="F877" s="21"/>
      <c r="G877" s="21"/>
      <c r="H877" s="21"/>
      <c r="I877" s="511"/>
    </row>
    <row r="878" spans="1:9">
      <c r="A878" s="509"/>
      <c r="B878" s="510"/>
      <c r="C878" s="23"/>
      <c r="D878" s="23"/>
      <c r="E878" s="23"/>
      <c r="F878" s="21"/>
      <c r="G878" s="21"/>
      <c r="H878" s="21"/>
      <c r="I878" s="511"/>
    </row>
    <row r="879" spans="1:9">
      <c r="A879" s="509"/>
      <c r="B879" s="510"/>
      <c r="C879" s="23"/>
      <c r="D879" s="23"/>
      <c r="E879" s="23"/>
      <c r="F879" s="21"/>
      <c r="G879" s="21"/>
      <c r="H879" s="21"/>
      <c r="I879" s="511"/>
    </row>
    <row r="880" spans="1:9">
      <c r="A880" s="509"/>
      <c r="B880" s="510"/>
      <c r="C880" s="23"/>
      <c r="D880" s="23"/>
      <c r="E880" s="23"/>
      <c r="F880" s="21"/>
      <c r="G880" s="21"/>
      <c r="H880" s="21"/>
      <c r="I880" s="511"/>
    </row>
    <row r="881" spans="1:9">
      <c r="A881" s="509"/>
      <c r="B881" s="510"/>
      <c r="C881" s="23"/>
      <c r="D881" s="23"/>
      <c r="E881" s="23"/>
      <c r="F881" s="21"/>
      <c r="G881" s="21"/>
      <c r="H881" s="21"/>
      <c r="I881" s="511"/>
    </row>
    <row r="882" spans="1:9">
      <c r="A882" s="509"/>
      <c r="B882" s="510"/>
      <c r="C882" s="23"/>
      <c r="D882" s="23"/>
      <c r="E882" s="23"/>
      <c r="F882" s="21"/>
      <c r="G882" s="21"/>
      <c r="H882" s="21"/>
      <c r="I882" s="511"/>
    </row>
    <row r="883" spans="1:9">
      <c r="A883" s="509"/>
      <c r="B883" s="510"/>
      <c r="C883" s="23"/>
      <c r="D883" s="23"/>
      <c r="E883" s="23"/>
      <c r="F883" s="21"/>
      <c r="G883" s="21"/>
      <c r="H883" s="21"/>
      <c r="I883" s="511"/>
    </row>
    <row r="884" spans="1:9">
      <c r="A884" s="509"/>
      <c r="B884" s="510"/>
      <c r="C884" s="23"/>
      <c r="D884" s="23"/>
      <c r="E884" s="23"/>
      <c r="F884" s="21"/>
      <c r="G884" s="21"/>
      <c r="H884" s="21"/>
      <c r="I884" s="511"/>
    </row>
    <row r="885" spans="1:9">
      <c r="A885" s="509"/>
      <c r="B885" s="510"/>
      <c r="C885" s="23"/>
      <c r="D885" s="23"/>
      <c r="E885" s="23"/>
      <c r="F885" s="21"/>
      <c r="G885" s="21"/>
      <c r="H885" s="21"/>
      <c r="I885" s="511"/>
    </row>
    <row r="886" spans="1:9">
      <c r="A886" s="509"/>
      <c r="B886" s="510"/>
      <c r="C886" s="23"/>
      <c r="D886" s="23"/>
      <c r="E886" s="23"/>
      <c r="F886" s="21"/>
      <c r="G886" s="21"/>
      <c r="H886" s="21"/>
      <c r="I886" s="511"/>
    </row>
    <row r="887" spans="1:9">
      <c r="A887" s="509"/>
      <c r="B887" s="510"/>
      <c r="C887" s="23"/>
      <c r="D887" s="23"/>
      <c r="E887" s="23"/>
      <c r="F887" s="21"/>
      <c r="G887" s="21"/>
      <c r="H887" s="21"/>
      <c r="I887" s="511"/>
    </row>
    <row r="888" spans="1:9">
      <c r="A888" s="509"/>
      <c r="B888" s="510"/>
      <c r="C888" s="23"/>
      <c r="D888" s="23"/>
      <c r="E888" s="23"/>
      <c r="F888" s="21"/>
      <c r="G888" s="21"/>
      <c r="H888" s="21"/>
      <c r="I888" s="511"/>
    </row>
    <row r="889" spans="1:9">
      <c r="A889" s="509"/>
      <c r="B889" s="510"/>
      <c r="C889" s="23"/>
      <c r="D889" s="23"/>
      <c r="E889" s="23"/>
      <c r="F889" s="21"/>
      <c r="G889" s="21"/>
      <c r="H889" s="21"/>
      <c r="I889" s="511"/>
    </row>
    <row r="890" spans="1:9">
      <c r="A890" s="509"/>
      <c r="B890" s="510"/>
      <c r="C890" s="23"/>
      <c r="D890" s="23"/>
      <c r="E890" s="23"/>
      <c r="F890" s="21"/>
      <c r="G890" s="21"/>
      <c r="H890" s="21"/>
      <c r="I890" s="511"/>
    </row>
    <row r="891" spans="1:9">
      <c r="A891" s="509"/>
      <c r="B891" s="510"/>
      <c r="C891" s="23"/>
      <c r="D891" s="23"/>
      <c r="E891" s="23"/>
      <c r="F891" s="21"/>
      <c r="G891" s="21"/>
      <c r="H891" s="21"/>
      <c r="I891" s="511"/>
    </row>
    <row r="892" spans="1:9">
      <c r="A892" s="509"/>
      <c r="B892" s="510"/>
      <c r="C892" s="23"/>
      <c r="D892" s="23"/>
      <c r="E892" s="23"/>
      <c r="F892" s="21"/>
      <c r="G892" s="21"/>
      <c r="H892" s="21"/>
      <c r="I892" s="511"/>
    </row>
    <row r="893" spans="1:9">
      <c r="A893" s="509"/>
      <c r="B893" s="510"/>
      <c r="C893" s="23"/>
      <c r="D893" s="23"/>
      <c r="E893" s="23"/>
      <c r="F893" s="21"/>
      <c r="G893" s="21"/>
      <c r="H893" s="21"/>
      <c r="I893" s="511"/>
    </row>
    <row r="894" spans="1:9">
      <c r="A894" s="509"/>
      <c r="B894" s="510"/>
      <c r="C894" s="23"/>
      <c r="D894" s="23"/>
      <c r="E894" s="23"/>
      <c r="F894" s="21"/>
      <c r="G894" s="21"/>
      <c r="H894" s="21"/>
      <c r="I894" s="511"/>
    </row>
    <row r="895" spans="1:9">
      <c r="A895" s="509"/>
      <c r="B895" s="510"/>
      <c r="C895" s="23"/>
      <c r="D895" s="23"/>
      <c r="E895" s="23"/>
      <c r="F895" s="21"/>
      <c r="G895" s="21"/>
      <c r="H895" s="21"/>
      <c r="I895" s="511"/>
    </row>
    <row r="896" spans="1:9">
      <c r="A896" s="509"/>
      <c r="B896" s="510"/>
      <c r="C896" s="23"/>
      <c r="D896" s="23"/>
      <c r="E896" s="23"/>
      <c r="F896" s="21"/>
      <c r="G896" s="21"/>
      <c r="H896" s="21"/>
      <c r="I896" s="511"/>
    </row>
    <row r="897" spans="1:9">
      <c r="A897" s="509"/>
      <c r="B897" s="510"/>
      <c r="C897" s="23"/>
      <c r="D897" s="23"/>
      <c r="E897" s="23"/>
      <c r="F897" s="21"/>
      <c r="G897" s="21"/>
      <c r="H897" s="21"/>
      <c r="I897" s="511"/>
    </row>
    <row r="898" spans="1:9">
      <c r="A898" s="509"/>
      <c r="B898" s="510"/>
      <c r="C898" s="23"/>
      <c r="D898" s="23"/>
      <c r="E898" s="23"/>
      <c r="F898" s="21"/>
      <c r="G898" s="21"/>
      <c r="H898" s="21"/>
      <c r="I898" s="511"/>
    </row>
    <row r="899" spans="1:9">
      <c r="A899" s="509"/>
      <c r="B899" s="510"/>
      <c r="C899" s="23"/>
      <c r="D899" s="23"/>
      <c r="E899" s="23"/>
      <c r="F899" s="21"/>
      <c r="G899" s="21"/>
      <c r="H899" s="21"/>
      <c r="I899" s="511"/>
    </row>
    <row r="900" spans="1:9">
      <c r="A900" s="509"/>
      <c r="B900" s="510"/>
      <c r="C900" s="23"/>
      <c r="D900" s="23"/>
      <c r="E900" s="23"/>
      <c r="F900" s="21"/>
      <c r="G900" s="21"/>
      <c r="H900" s="21"/>
      <c r="I900" s="511"/>
    </row>
    <row r="901" spans="1:9">
      <c r="A901" s="509"/>
      <c r="B901" s="510"/>
      <c r="C901" s="23"/>
      <c r="D901" s="23"/>
      <c r="E901" s="23"/>
      <c r="F901" s="21"/>
      <c r="G901" s="21"/>
      <c r="H901" s="21"/>
      <c r="I901" s="511"/>
    </row>
    <row r="902" spans="1:9">
      <c r="A902" s="509"/>
      <c r="B902" s="510"/>
      <c r="C902" s="23"/>
      <c r="D902" s="23"/>
      <c r="E902" s="23"/>
      <c r="F902" s="21"/>
      <c r="G902" s="21"/>
      <c r="H902" s="21"/>
      <c r="I902" s="511"/>
    </row>
    <row r="903" spans="1:9">
      <c r="A903" s="509"/>
      <c r="B903" s="510"/>
      <c r="C903" s="23"/>
      <c r="D903" s="23"/>
      <c r="E903" s="23"/>
      <c r="F903" s="21"/>
      <c r="G903" s="21"/>
      <c r="H903" s="21"/>
      <c r="I903" s="511"/>
    </row>
    <row r="904" spans="1:9">
      <c r="A904" s="509"/>
      <c r="B904" s="510"/>
      <c r="C904" s="23"/>
      <c r="D904" s="23"/>
      <c r="E904" s="23"/>
      <c r="F904" s="21"/>
      <c r="G904" s="21"/>
      <c r="H904" s="21"/>
      <c r="I904" s="511"/>
    </row>
    <row r="905" spans="1:9">
      <c r="A905" s="509"/>
      <c r="B905" s="510"/>
      <c r="C905" s="23"/>
      <c r="D905" s="23"/>
      <c r="E905" s="23"/>
      <c r="F905" s="21"/>
      <c r="G905" s="21"/>
      <c r="H905" s="21"/>
      <c r="I905" s="511"/>
    </row>
    <row r="906" spans="1:9">
      <c r="A906" s="509"/>
      <c r="B906" s="510"/>
      <c r="C906" s="23"/>
      <c r="D906" s="23"/>
      <c r="E906" s="23"/>
      <c r="F906" s="21"/>
      <c r="G906" s="21"/>
      <c r="H906" s="21"/>
      <c r="I906" s="511"/>
    </row>
    <row r="907" spans="1:9">
      <c r="A907" s="509"/>
      <c r="B907" s="510"/>
      <c r="C907" s="23"/>
      <c r="D907" s="23"/>
      <c r="E907" s="23"/>
      <c r="F907" s="21"/>
      <c r="G907" s="21"/>
      <c r="H907" s="21"/>
      <c r="I907" s="511"/>
    </row>
    <row r="908" spans="1:9">
      <c r="A908" s="509"/>
      <c r="B908" s="510"/>
      <c r="C908" s="23"/>
      <c r="D908" s="23"/>
      <c r="E908" s="23"/>
      <c r="F908" s="21"/>
      <c r="G908" s="21"/>
      <c r="H908" s="21"/>
      <c r="I908" s="511"/>
    </row>
    <row r="909" spans="1:9">
      <c r="A909" s="509"/>
      <c r="B909" s="510"/>
      <c r="C909" s="23"/>
      <c r="D909" s="23"/>
      <c r="E909" s="23"/>
      <c r="F909" s="21"/>
      <c r="G909" s="21"/>
      <c r="H909" s="21"/>
      <c r="I909" s="511"/>
    </row>
    <row r="910" spans="1:9">
      <c r="A910" s="509"/>
      <c r="B910" s="510"/>
      <c r="C910" s="23"/>
      <c r="D910" s="23"/>
      <c r="E910" s="23"/>
      <c r="F910" s="21"/>
      <c r="G910" s="21"/>
      <c r="H910" s="21"/>
      <c r="I910" s="511"/>
    </row>
    <row r="911" spans="1:9">
      <c r="A911" s="509"/>
      <c r="B911" s="510"/>
      <c r="C911" s="23"/>
      <c r="D911" s="23"/>
      <c r="E911" s="23"/>
      <c r="F911" s="21"/>
      <c r="G911" s="21"/>
      <c r="H911" s="21"/>
      <c r="I911" s="511"/>
    </row>
    <row r="912" spans="1:9">
      <c r="A912" s="509"/>
      <c r="B912" s="510"/>
      <c r="C912" s="23"/>
      <c r="D912" s="23"/>
      <c r="E912" s="23"/>
      <c r="F912" s="21"/>
      <c r="G912" s="21"/>
      <c r="H912" s="21"/>
      <c r="I912" s="511"/>
    </row>
    <row r="913" spans="1:9">
      <c r="A913" s="509"/>
      <c r="B913" s="510"/>
      <c r="C913" s="23"/>
      <c r="D913" s="23"/>
      <c r="E913" s="23"/>
      <c r="F913" s="21"/>
      <c r="G913" s="21"/>
      <c r="H913" s="21"/>
      <c r="I913" s="511"/>
    </row>
    <row r="914" spans="1:9">
      <c r="A914" s="509"/>
      <c r="B914" s="510"/>
      <c r="C914" s="23"/>
      <c r="D914" s="23"/>
      <c r="E914" s="23"/>
      <c r="F914" s="21"/>
      <c r="G914" s="21"/>
      <c r="H914" s="21"/>
      <c r="I914" s="511"/>
    </row>
    <row r="915" spans="1:9">
      <c r="A915" s="509"/>
      <c r="B915" s="510"/>
      <c r="C915" s="23"/>
      <c r="D915" s="23"/>
      <c r="E915" s="23"/>
      <c r="F915" s="21"/>
      <c r="G915" s="21"/>
      <c r="H915" s="21"/>
      <c r="I915" s="511"/>
    </row>
    <row r="916" spans="1:9">
      <c r="A916" s="509"/>
      <c r="B916" s="510"/>
      <c r="C916" s="23"/>
      <c r="D916" s="23"/>
      <c r="E916" s="23"/>
      <c r="F916" s="21"/>
      <c r="G916" s="21"/>
      <c r="H916" s="21"/>
      <c r="I916" s="511"/>
    </row>
    <row r="917" spans="1:9">
      <c r="A917" s="509"/>
      <c r="B917" s="510"/>
      <c r="C917" s="23"/>
      <c r="D917" s="23"/>
      <c r="E917" s="23"/>
      <c r="F917" s="21"/>
      <c r="G917" s="21"/>
      <c r="H917" s="21"/>
      <c r="I917" s="511"/>
    </row>
    <row r="918" spans="1:9">
      <c r="A918" s="509"/>
      <c r="B918" s="510"/>
      <c r="C918" s="23"/>
      <c r="D918" s="23"/>
      <c r="E918" s="23"/>
      <c r="F918" s="21"/>
      <c r="G918" s="21"/>
      <c r="H918" s="21"/>
      <c r="I918" s="511"/>
    </row>
    <row r="919" spans="1:9">
      <c r="A919" s="509"/>
      <c r="B919" s="510"/>
      <c r="C919" s="23"/>
      <c r="D919" s="23"/>
      <c r="E919" s="23"/>
      <c r="F919" s="21"/>
      <c r="G919" s="21"/>
      <c r="H919" s="21"/>
      <c r="I919" s="511"/>
    </row>
    <row r="920" spans="1:9">
      <c r="A920" s="509"/>
      <c r="B920" s="510"/>
      <c r="C920" s="23"/>
      <c r="D920" s="23"/>
      <c r="E920" s="23"/>
      <c r="F920" s="21"/>
      <c r="G920" s="21"/>
      <c r="H920" s="21"/>
      <c r="I920" s="511"/>
    </row>
    <row r="921" spans="1:9">
      <c r="A921" s="509"/>
      <c r="B921" s="510"/>
      <c r="C921" s="23"/>
      <c r="D921" s="23"/>
      <c r="E921" s="23"/>
      <c r="F921" s="21"/>
      <c r="G921" s="21"/>
      <c r="H921" s="21"/>
      <c r="I921" s="511"/>
    </row>
    <row r="922" spans="1:9">
      <c r="A922" s="509"/>
      <c r="B922" s="510"/>
      <c r="C922" s="23"/>
      <c r="D922" s="23"/>
      <c r="E922" s="23"/>
      <c r="F922" s="21"/>
      <c r="G922" s="21"/>
      <c r="H922" s="21"/>
      <c r="I922" s="511"/>
    </row>
    <row r="923" spans="1:9">
      <c r="A923" s="509"/>
      <c r="B923" s="510"/>
      <c r="C923" s="23"/>
      <c r="D923" s="23"/>
      <c r="E923" s="23"/>
      <c r="F923" s="21"/>
      <c r="G923" s="21"/>
      <c r="H923" s="21"/>
      <c r="I923" s="511"/>
    </row>
    <row r="924" spans="1:9">
      <c r="A924" s="509"/>
      <c r="B924" s="510"/>
      <c r="C924" s="23"/>
      <c r="D924" s="23"/>
      <c r="E924" s="23"/>
      <c r="F924" s="21"/>
      <c r="G924" s="21"/>
      <c r="H924" s="21"/>
      <c r="I924" s="511"/>
    </row>
    <row r="925" spans="1:9">
      <c r="A925" s="509"/>
      <c r="B925" s="510"/>
      <c r="C925" s="23"/>
      <c r="D925" s="23"/>
      <c r="E925" s="23"/>
      <c r="F925" s="21"/>
      <c r="G925" s="21"/>
      <c r="H925" s="21"/>
      <c r="I925" s="511"/>
    </row>
    <row r="926" spans="1:9">
      <c r="A926" s="509"/>
      <c r="B926" s="510"/>
      <c r="C926" s="23"/>
      <c r="D926" s="23"/>
      <c r="E926" s="23"/>
      <c r="F926" s="21"/>
      <c r="G926" s="21"/>
      <c r="H926" s="21"/>
      <c r="I926" s="511"/>
    </row>
    <row r="927" spans="1:9">
      <c r="A927" s="509"/>
      <c r="B927" s="510"/>
      <c r="C927" s="23"/>
      <c r="D927" s="23"/>
      <c r="E927" s="23"/>
      <c r="F927" s="21"/>
      <c r="G927" s="21"/>
      <c r="H927" s="21"/>
      <c r="I927" s="511"/>
    </row>
    <row r="928" spans="1:9">
      <c r="A928" s="509"/>
      <c r="B928" s="510"/>
      <c r="C928" s="23"/>
      <c r="D928" s="23"/>
      <c r="E928" s="23"/>
      <c r="F928" s="21"/>
      <c r="G928" s="21"/>
      <c r="H928" s="21"/>
      <c r="I928" s="511"/>
    </row>
    <row r="929" spans="1:9">
      <c r="A929" s="509"/>
      <c r="B929" s="510"/>
      <c r="C929" s="23"/>
      <c r="D929" s="23"/>
      <c r="E929" s="23"/>
      <c r="F929" s="21"/>
      <c r="G929" s="21"/>
      <c r="H929" s="21"/>
      <c r="I929" s="511"/>
    </row>
    <row r="930" spans="1:9">
      <c r="A930" s="509"/>
      <c r="B930" s="510"/>
      <c r="C930" s="23"/>
      <c r="D930" s="23"/>
      <c r="E930" s="23"/>
      <c r="F930" s="21"/>
      <c r="G930" s="21"/>
      <c r="H930" s="21"/>
      <c r="I930" s="511"/>
    </row>
    <row r="931" spans="1:9">
      <c r="A931" s="509"/>
      <c r="B931" s="510"/>
      <c r="C931" s="23"/>
      <c r="D931" s="23"/>
      <c r="E931" s="23"/>
      <c r="F931" s="21"/>
      <c r="G931" s="21"/>
      <c r="H931" s="21"/>
      <c r="I931" s="511"/>
    </row>
    <row r="932" spans="1:9">
      <c r="A932" s="509"/>
      <c r="B932" s="510"/>
      <c r="C932" s="23"/>
      <c r="D932" s="23"/>
      <c r="E932" s="23"/>
      <c r="F932" s="21"/>
      <c r="G932" s="21"/>
      <c r="H932" s="21"/>
      <c r="I932" s="511"/>
    </row>
    <row r="933" spans="1:9">
      <c r="A933" s="509"/>
      <c r="B933" s="510"/>
      <c r="C933" s="23"/>
      <c r="D933" s="23"/>
      <c r="E933" s="23"/>
      <c r="F933" s="21"/>
      <c r="G933" s="21"/>
      <c r="H933" s="21"/>
      <c r="I933" s="511"/>
    </row>
    <row r="934" spans="1:9">
      <c r="A934" s="509"/>
      <c r="B934" s="510"/>
      <c r="C934" s="23"/>
      <c r="D934" s="23"/>
      <c r="E934" s="23"/>
      <c r="F934" s="21"/>
      <c r="G934" s="21"/>
      <c r="H934" s="21"/>
      <c r="I934" s="511"/>
    </row>
    <row r="935" spans="1:9">
      <c r="A935" s="509"/>
      <c r="B935" s="510"/>
      <c r="C935" s="23"/>
      <c r="D935" s="23"/>
      <c r="E935" s="23"/>
      <c r="F935" s="21"/>
      <c r="G935" s="21"/>
      <c r="H935" s="21"/>
      <c r="I935" s="511"/>
    </row>
    <row r="936" spans="1:9">
      <c r="A936" s="509"/>
      <c r="B936" s="510"/>
      <c r="C936" s="23"/>
      <c r="D936" s="23"/>
      <c r="E936" s="23"/>
      <c r="F936" s="21"/>
      <c r="G936" s="21"/>
      <c r="H936" s="21"/>
      <c r="I936" s="511"/>
    </row>
    <row r="937" spans="1:9">
      <c r="A937" s="509"/>
      <c r="B937" s="510"/>
      <c r="C937" s="23"/>
      <c r="D937" s="23"/>
      <c r="E937" s="23"/>
      <c r="F937" s="21"/>
      <c r="G937" s="21"/>
      <c r="H937" s="21"/>
      <c r="I937" s="511"/>
    </row>
    <row r="938" spans="1:9">
      <c r="A938" s="509"/>
      <c r="B938" s="510"/>
      <c r="C938" s="23"/>
      <c r="D938" s="23"/>
      <c r="E938" s="23"/>
      <c r="F938" s="21"/>
      <c r="G938" s="21"/>
      <c r="H938" s="21"/>
      <c r="I938" s="511"/>
    </row>
    <row r="939" spans="1:9">
      <c r="A939" s="509"/>
      <c r="B939" s="510"/>
      <c r="C939" s="23"/>
      <c r="D939" s="23"/>
      <c r="E939" s="23"/>
      <c r="F939" s="21"/>
      <c r="G939" s="21"/>
      <c r="H939" s="21"/>
      <c r="I939" s="511"/>
    </row>
    <row r="940" spans="1:9">
      <c r="A940" s="509"/>
      <c r="B940" s="510"/>
      <c r="C940" s="23"/>
      <c r="D940" s="23"/>
      <c r="E940" s="23"/>
      <c r="F940" s="21"/>
      <c r="G940" s="21"/>
      <c r="H940" s="21"/>
      <c r="I940" s="511"/>
    </row>
    <row r="941" spans="1:9">
      <c r="A941" s="509"/>
      <c r="B941" s="510"/>
      <c r="C941" s="23"/>
      <c r="D941" s="23"/>
      <c r="E941" s="23"/>
      <c r="F941" s="21"/>
      <c r="G941" s="21"/>
      <c r="H941" s="21"/>
      <c r="I941" s="511"/>
    </row>
    <row r="942" spans="1:9">
      <c r="A942" s="509"/>
      <c r="B942" s="510"/>
      <c r="C942" s="23"/>
      <c r="D942" s="23"/>
      <c r="E942" s="23"/>
      <c r="F942" s="21"/>
      <c r="G942" s="21"/>
      <c r="H942" s="21"/>
      <c r="I942" s="511"/>
    </row>
    <row r="943" spans="1:9">
      <c r="A943" s="509"/>
      <c r="B943" s="510"/>
      <c r="C943" s="23"/>
      <c r="D943" s="23"/>
      <c r="E943" s="23"/>
      <c r="F943" s="21"/>
      <c r="G943" s="21"/>
      <c r="H943" s="21"/>
      <c r="I943" s="511"/>
    </row>
    <row r="944" spans="1:9">
      <c r="A944" s="509"/>
      <c r="B944" s="510"/>
      <c r="C944" s="23"/>
      <c r="D944" s="23"/>
      <c r="E944" s="23"/>
      <c r="F944" s="21"/>
      <c r="G944" s="21"/>
      <c r="H944" s="21"/>
      <c r="I944" s="511"/>
    </row>
    <row r="945" spans="1:9">
      <c r="A945" s="509"/>
      <c r="B945" s="510"/>
      <c r="C945" s="23"/>
      <c r="D945" s="23"/>
      <c r="E945" s="23"/>
      <c r="F945" s="21"/>
      <c r="G945" s="21"/>
      <c r="H945" s="21"/>
      <c r="I945" s="511"/>
    </row>
    <row r="946" spans="1:9">
      <c r="A946" s="509"/>
      <c r="B946" s="510"/>
      <c r="C946" s="23"/>
      <c r="D946" s="23"/>
      <c r="E946" s="23"/>
      <c r="F946" s="21"/>
      <c r="G946" s="21"/>
      <c r="H946" s="21"/>
      <c r="I946" s="511"/>
    </row>
    <row r="947" spans="1:9">
      <c r="A947" s="509"/>
      <c r="B947" s="510"/>
      <c r="C947" s="23"/>
      <c r="D947" s="23"/>
      <c r="E947" s="23"/>
      <c r="F947" s="21"/>
      <c r="G947" s="21"/>
      <c r="H947" s="21"/>
      <c r="I947" s="511"/>
    </row>
    <row r="948" spans="1:9">
      <c r="A948" s="509"/>
      <c r="B948" s="510"/>
      <c r="C948" s="23"/>
      <c r="D948" s="23"/>
      <c r="E948" s="23"/>
      <c r="F948" s="21"/>
      <c r="G948" s="21"/>
      <c r="H948" s="21"/>
      <c r="I948" s="511"/>
    </row>
    <row r="949" spans="1:9">
      <c r="A949" s="509"/>
      <c r="B949" s="510"/>
      <c r="C949" s="23"/>
      <c r="D949" s="23"/>
      <c r="E949" s="23"/>
      <c r="F949" s="21"/>
      <c r="G949" s="21"/>
      <c r="H949" s="21"/>
      <c r="I949" s="511"/>
    </row>
    <row r="950" spans="1:9">
      <c r="A950" s="509"/>
      <c r="B950" s="510"/>
      <c r="C950" s="23"/>
      <c r="D950" s="23"/>
      <c r="E950" s="23"/>
      <c r="F950" s="21"/>
      <c r="G950" s="21"/>
      <c r="H950" s="21"/>
      <c r="I950" s="511"/>
    </row>
    <row r="951" spans="1:9">
      <c r="A951" s="509"/>
      <c r="B951" s="510"/>
      <c r="C951" s="23"/>
      <c r="D951" s="23"/>
      <c r="E951" s="23"/>
      <c r="F951" s="21"/>
      <c r="G951" s="21"/>
      <c r="H951" s="21"/>
      <c r="I951" s="511"/>
    </row>
    <row r="952" spans="1:9">
      <c r="A952" s="509"/>
      <c r="B952" s="510"/>
      <c r="C952" s="23"/>
      <c r="D952" s="23"/>
      <c r="E952" s="23"/>
      <c r="F952" s="21"/>
      <c r="G952" s="21"/>
      <c r="H952" s="21"/>
      <c r="I952" s="511"/>
    </row>
    <row r="953" spans="1:9">
      <c r="A953" s="509"/>
      <c r="B953" s="510"/>
      <c r="C953" s="23"/>
      <c r="D953" s="23"/>
      <c r="E953" s="23"/>
      <c r="F953" s="21"/>
      <c r="G953" s="21"/>
      <c r="H953" s="21"/>
      <c r="I953" s="511"/>
    </row>
    <row r="954" spans="1:9">
      <c r="A954" s="509"/>
      <c r="B954" s="510"/>
      <c r="C954" s="23"/>
      <c r="D954" s="23"/>
      <c r="E954" s="23"/>
      <c r="F954" s="21"/>
      <c r="G954" s="21"/>
      <c r="H954" s="21"/>
      <c r="I954" s="511"/>
    </row>
    <row r="955" spans="1:9">
      <c r="A955" s="509"/>
      <c r="B955" s="510"/>
      <c r="C955" s="23"/>
      <c r="D955" s="23"/>
      <c r="E955" s="23"/>
      <c r="F955" s="21"/>
      <c r="G955" s="21"/>
      <c r="H955" s="21"/>
      <c r="I955" s="511"/>
    </row>
    <row r="956" spans="1:9">
      <c r="A956" s="509"/>
      <c r="B956" s="510"/>
      <c r="C956" s="23"/>
      <c r="D956" s="23"/>
      <c r="E956" s="23"/>
      <c r="F956" s="21"/>
      <c r="G956" s="21"/>
      <c r="H956" s="21"/>
      <c r="I956" s="511"/>
    </row>
    <row r="957" spans="1:9">
      <c r="A957" s="509"/>
      <c r="B957" s="510"/>
      <c r="C957" s="23"/>
      <c r="D957" s="23"/>
      <c r="E957" s="23"/>
      <c r="F957" s="21"/>
      <c r="G957" s="21"/>
      <c r="H957" s="21"/>
      <c r="I957" s="511"/>
    </row>
    <row r="958" spans="1:9">
      <c r="A958" s="509"/>
      <c r="B958" s="510"/>
      <c r="C958" s="23"/>
      <c r="D958" s="23"/>
      <c r="E958" s="23"/>
      <c r="F958" s="21"/>
      <c r="G958" s="21"/>
      <c r="H958" s="21"/>
      <c r="I958" s="511"/>
    </row>
    <row r="959" spans="1:9">
      <c r="A959" s="509"/>
      <c r="B959" s="510"/>
      <c r="C959" s="23"/>
      <c r="D959" s="23"/>
      <c r="E959" s="23"/>
      <c r="F959" s="21"/>
      <c r="G959" s="21"/>
      <c r="H959" s="21"/>
      <c r="I959" s="511"/>
    </row>
    <row r="960" spans="1:9">
      <c r="A960" s="509"/>
      <c r="B960" s="510"/>
      <c r="C960" s="23"/>
      <c r="D960" s="23"/>
      <c r="E960" s="23"/>
      <c r="F960" s="21"/>
      <c r="G960" s="21"/>
      <c r="H960" s="21"/>
      <c r="I960" s="511"/>
    </row>
    <row r="961" spans="1:9">
      <c r="A961" s="509"/>
      <c r="B961" s="510"/>
      <c r="C961" s="23"/>
      <c r="D961" s="23"/>
      <c r="E961" s="23"/>
      <c r="F961" s="21"/>
      <c r="G961" s="21"/>
      <c r="H961" s="21"/>
      <c r="I961" s="511"/>
    </row>
    <row r="962" spans="1:9">
      <c r="A962" s="509"/>
      <c r="B962" s="510"/>
      <c r="C962" s="23"/>
      <c r="D962" s="23"/>
      <c r="E962" s="23"/>
      <c r="F962" s="21"/>
      <c r="G962" s="21"/>
      <c r="H962" s="21"/>
      <c r="I962" s="511"/>
    </row>
    <row r="963" spans="1:9">
      <c r="A963" s="509"/>
      <c r="B963" s="510"/>
      <c r="C963" s="23"/>
      <c r="D963" s="23"/>
      <c r="E963" s="23"/>
      <c r="F963" s="21"/>
      <c r="G963" s="21"/>
      <c r="H963" s="21"/>
      <c r="I963" s="511"/>
    </row>
    <row r="964" spans="1:9">
      <c r="A964" s="509"/>
      <c r="B964" s="510"/>
      <c r="C964" s="23"/>
      <c r="D964" s="23"/>
      <c r="E964" s="23"/>
      <c r="F964" s="21"/>
      <c r="G964" s="21"/>
      <c r="H964" s="21"/>
      <c r="I964" s="511"/>
    </row>
    <row r="965" spans="1:9">
      <c r="A965" s="509"/>
      <c r="B965" s="510"/>
      <c r="C965" s="23"/>
      <c r="D965" s="23"/>
      <c r="E965" s="23"/>
      <c r="F965" s="21"/>
      <c r="G965" s="21"/>
      <c r="H965" s="21"/>
      <c r="I965" s="511"/>
    </row>
    <row r="966" spans="1:9">
      <c r="A966" s="509"/>
      <c r="B966" s="510"/>
      <c r="C966" s="23"/>
      <c r="D966" s="23"/>
      <c r="E966" s="23"/>
      <c r="F966" s="21"/>
      <c r="G966" s="21"/>
      <c r="H966" s="21"/>
      <c r="I966" s="511"/>
    </row>
    <row r="967" spans="1:9">
      <c r="A967" s="509"/>
      <c r="B967" s="510"/>
      <c r="C967" s="23"/>
      <c r="D967" s="23"/>
      <c r="E967" s="23"/>
      <c r="F967" s="21"/>
      <c r="G967" s="21"/>
      <c r="H967" s="21"/>
      <c r="I967" s="511"/>
    </row>
    <row r="968" spans="1:9">
      <c r="A968" s="509"/>
      <c r="B968" s="510"/>
      <c r="C968" s="23"/>
      <c r="D968" s="23"/>
      <c r="E968" s="23"/>
      <c r="F968" s="21"/>
      <c r="G968" s="21"/>
      <c r="H968" s="21"/>
      <c r="I968" s="511"/>
    </row>
    <row r="969" spans="1:9">
      <c r="A969" s="509"/>
      <c r="B969" s="510"/>
      <c r="C969" s="23"/>
      <c r="D969" s="23"/>
      <c r="E969" s="23"/>
      <c r="F969" s="21"/>
      <c r="G969" s="21"/>
      <c r="H969" s="21"/>
      <c r="I969" s="511"/>
    </row>
    <row r="970" spans="1:9">
      <c r="A970" s="509"/>
      <c r="B970" s="510"/>
      <c r="C970" s="23"/>
      <c r="D970" s="23"/>
      <c r="E970" s="23"/>
      <c r="F970" s="21"/>
      <c r="G970" s="21"/>
      <c r="H970" s="21"/>
      <c r="I970" s="511"/>
    </row>
    <row r="971" spans="1:9">
      <c r="A971" s="509"/>
      <c r="B971" s="510"/>
      <c r="C971" s="23"/>
      <c r="D971" s="23"/>
      <c r="E971" s="23"/>
      <c r="F971" s="21"/>
      <c r="G971" s="21"/>
      <c r="H971" s="21"/>
      <c r="I971" s="511"/>
    </row>
    <row r="972" spans="1:9">
      <c r="A972" s="509"/>
      <c r="B972" s="510"/>
      <c r="C972" s="23"/>
      <c r="D972" s="23"/>
      <c r="E972" s="23"/>
      <c r="F972" s="21"/>
      <c r="G972" s="21"/>
      <c r="H972" s="21"/>
      <c r="I972" s="511"/>
    </row>
    <row r="973" spans="1:9">
      <c r="A973" s="509"/>
      <c r="B973" s="510"/>
      <c r="C973" s="23"/>
      <c r="D973" s="23"/>
      <c r="E973" s="23"/>
      <c r="F973" s="21"/>
      <c r="G973" s="21"/>
      <c r="H973" s="21"/>
      <c r="I973" s="511"/>
    </row>
    <row r="974" spans="1:9">
      <c r="A974" s="509"/>
      <c r="B974" s="510"/>
      <c r="C974" s="23"/>
      <c r="D974" s="23"/>
      <c r="E974" s="23"/>
      <c r="F974" s="21"/>
      <c r="G974" s="21"/>
      <c r="H974" s="21"/>
      <c r="I974" s="511"/>
    </row>
    <row r="975" spans="1:9">
      <c r="A975" s="509"/>
      <c r="B975" s="510"/>
      <c r="C975" s="23"/>
      <c r="D975" s="23"/>
      <c r="E975" s="23"/>
      <c r="F975" s="21"/>
      <c r="G975" s="21"/>
      <c r="H975" s="21"/>
      <c r="I975" s="511"/>
    </row>
    <row r="976" spans="1:9">
      <c r="A976" s="509"/>
      <c r="B976" s="510"/>
      <c r="C976" s="23"/>
      <c r="D976" s="23"/>
      <c r="E976" s="23"/>
      <c r="F976" s="21"/>
      <c r="G976" s="21"/>
      <c r="H976" s="21"/>
      <c r="I976" s="511"/>
    </row>
    <row r="977" spans="1:9">
      <c r="A977" s="509"/>
      <c r="B977" s="510"/>
      <c r="C977" s="23"/>
      <c r="D977" s="23"/>
      <c r="E977" s="23"/>
      <c r="F977" s="21"/>
      <c r="G977" s="21"/>
      <c r="H977" s="21"/>
      <c r="I977" s="511"/>
    </row>
    <row r="978" spans="1:9">
      <c r="A978" s="509"/>
      <c r="B978" s="510"/>
      <c r="C978" s="23"/>
      <c r="D978" s="23"/>
      <c r="E978" s="23"/>
      <c r="F978" s="21"/>
      <c r="G978" s="21"/>
      <c r="H978" s="21"/>
      <c r="I978" s="511"/>
    </row>
    <row r="979" spans="1:9">
      <c r="A979" s="509"/>
      <c r="B979" s="510"/>
      <c r="C979" s="23"/>
      <c r="D979" s="23"/>
      <c r="E979" s="23"/>
      <c r="F979" s="21"/>
      <c r="G979" s="21"/>
      <c r="H979" s="21"/>
      <c r="I979" s="511"/>
    </row>
    <row r="980" spans="1:9">
      <c r="A980" s="509"/>
      <c r="B980" s="510"/>
      <c r="C980" s="23"/>
      <c r="D980" s="23"/>
      <c r="E980" s="23"/>
      <c r="F980" s="21"/>
      <c r="G980" s="21"/>
      <c r="H980" s="21"/>
      <c r="I980" s="511"/>
    </row>
    <row r="981" spans="1:9">
      <c r="A981" s="509"/>
      <c r="B981" s="510"/>
      <c r="C981" s="23"/>
      <c r="D981" s="23"/>
      <c r="E981" s="23"/>
      <c r="F981" s="21"/>
      <c r="G981" s="21"/>
      <c r="H981" s="21"/>
      <c r="I981" s="511"/>
    </row>
    <row r="982" spans="1:9">
      <c r="A982" s="509"/>
      <c r="B982" s="510"/>
      <c r="C982" s="23"/>
      <c r="D982" s="23"/>
      <c r="E982" s="23"/>
      <c r="F982" s="21"/>
      <c r="G982" s="21"/>
      <c r="H982" s="21"/>
      <c r="I982" s="511"/>
    </row>
    <row r="983" spans="1:9">
      <c r="A983" s="509"/>
      <c r="B983" s="510"/>
      <c r="C983" s="23"/>
      <c r="D983" s="23"/>
      <c r="E983" s="23"/>
      <c r="F983" s="21"/>
      <c r="G983" s="21"/>
      <c r="H983" s="21"/>
      <c r="I983" s="511"/>
    </row>
    <row r="984" spans="1:9">
      <c r="A984" s="509"/>
      <c r="B984" s="510"/>
      <c r="C984" s="23"/>
      <c r="D984" s="23"/>
      <c r="E984" s="23"/>
      <c r="F984" s="21"/>
      <c r="G984" s="21"/>
      <c r="H984" s="21"/>
      <c r="I984" s="511"/>
    </row>
    <row r="985" spans="1:9">
      <c r="A985" s="509"/>
      <c r="B985" s="510"/>
      <c r="C985" s="23"/>
      <c r="D985" s="23"/>
      <c r="E985" s="23"/>
      <c r="F985" s="21"/>
      <c r="G985" s="21"/>
      <c r="H985" s="21"/>
      <c r="I985" s="511"/>
    </row>
    <row r="986" spans="1:9">
      <c r="A986" s="509"/>
      <c r="B986" s="510"/>
      <c r="C986" s="23"/>
      <c r="D986" s="23"/>
      <c r="E986" s="23"/>
      <c r="F986" s="21"/>
      <c r="G986" s="21"/>
      <c r="H986" s="21"/>
      <c r="I986" s="511"/>
    </row>
    <row r="987" spans="1:9">
      <c r="A987" s="509"/>
      <c r="B987" s="510"/>
      <c r="C987" s="23"/>
      <c r="D987" s="23"/>
      <c r="E987" s="23"/>
      <c r="F987" s="21"/>
      <c r="G987" s="21"/>
      <c r="H987" s="21"/>
      <c r="I987" s="511"/>
    </row>
    <row r="988" spans="1:9">
      <c r="A988" s="509"/>
      <c r="B988" s="510"/>
      <c r="C988" s="23"/>
      <c r="D988" s="23"/>
      <c r="E988" s="23"/>
      <c r="F988" s="21"/>
      <c r="G988" s="21"/>
      <c r="H988" s="21"/>
      <c r="I988" s="511"/>
    </row>
    <row r="989" spans="1:9">
      <c r="A989" s="509"/>
      <c r="B989" s="510"/>
      <c r="C989" s="23"/>
      <c r="D989" s="23"/>
      <c r="E989" s="23"/>
      <c r="F989" s="21"/>
      <c r="G989" s="21"/>
      <c r="H989" s="21"/>
      <c r="I989" s="511"/>
    </row>
    <row r="990" spans="1:9">
      <c r="A990" s="509"/>
      <c r="B990" s="510"/>
      <c r="C990" s="23"/>
      <c r="D990" s="23"/>
      <c r="E990" s="23"/>
      <c r="F990" s="21"/>
      <c r="G990" s="21"/>
      <c r="H990" s="21"/>
      <c r="I990" s="511"/>
    </row>
    <row r="991" spans="1:9">
      <c r="A991" s="509"/>
      <c r="B991" s="510"/>
      <c r="C991" s="23"/>
      <c r="D991" s="23"/>
      <c r="E991" s="23"/>
      <c r="F991" s="21"/>
      <c r="G991" s="21"/>
      <c r="H991" s="21"/>
      <c r="I991" s="511"/>
    </row>
    <row r="992" spans="1:9">
      <c r="A992" s="509"/>
      <c r="B992" s="510"/>
      <c r="C992" s="23"/>
      <c r="D992" s="23"/>
      <c r="E992" s="23"/>
      <c r="F992" s="21"/>
      <c r="G992" s="21"/>
      <c r="H992" s="21"/>
      <c r="I992" s="511"/>
    </row>
    <row r="993" spans="1:9">
      <c r="A993" s="509"/>
      <c r="B993" s="510"/>
      <c r="C993" s="23"/>
      <c r="D993" s="23"/>
      <c r="E993" s="23"/>
      <c r="F993" s="21"/>
      <c r="G993" s="21"/>
      <c r="H993" s="21"/>
      <c r="I993" s="511"/>
    </row>
    <row r="994" spans="1:9">
      <c r="A994" s="509"/>
      <c r="B994" s="510"/>
      <c r="C994" s="23"/>
      <c r="D994" s="23"/>
      <c r="E994" s="23"/>
      <c r="F994" s="21"/>
      <c r="G994" s="21"/>
      <c r="H994" s="21"/>
      <c r="I994" s="511"/>
    </row>
    <row r="995" spans="1:9">
      <c r="A995" s="509"/>
      <c r="B995" s="510"/>
      <c r="C995" s="23"/>
      <c r="D995" s="23"/>
      <c r="E995" s="23"/>
      <c r="F995" s="21"/>
      <c r="G995" s="21"/>
      <c r="H995" s="21"/>
      <c r="I995" s="511"/>
    </row>
    <row r="996" spans="1:9">
      <c r="A996" s="509"/>
      <c r="B996" s="510"/>
      <c r="C996" s="23"/>
      <c r="D996" s="23"/>
      <c r="E996" s="23"/>
      <c r="F996" s="21"/>
      <c r="G996" s="21"/>
      <c r="H996" s="21"/>
      <c r="I996" s="511"/>
    </row>
    <row r="997" spans="1:9">
      <c r="A997" s="509"/>
      <c r="B997" s="510"/>
      <c r="C997" s="23"/>
      <c r="D997" s="23"/>
      <c r="E997" s="23"/>
      <c r="F997" s="21"/>
      <c r="G997" s="21"/>
      <c r="H997" s="21"/>
      <c r="I997" s="511"/>
    </row>
    <row r="998" spans="1:9">
      <c r="A998" s="509"/>
      <c r="B998" s="510"/>
      <c r="C998" s="23"/>
      <c r="D998" s="23"/>
      <c r="E998" s="23"/>
      <c r="F998" s="21"/>
      <c r="G998" s="21"/>
      <c r="H998" s="21"/>
      <c r="I998" s="511"/>
    </row>
    <row r="999" spans="1:9">
      <c r="A999" s="509"/>
      <c r="B999" s="510"/>
      <c r="C999" s="23"/>
      <c r="D999" s="23"/>
      <c r="E999" s="23"/>
      <c r="F999" s="21"/>
      <c r="G999" s="21"/>
      <c r="H999" s="21"/>
      <c r="I999" s="511"/>
    </row>
    <row r="1000" spans="1:9">
      <c r="A1000" s="509"/>
      <c r="B1000" s="510"/>
      <c r="C1000" s="23"/>
      <c r="D1000" s="23"/>
      <c r="E1000" s="23"/>
      <c r="F1000" s="21"/>
      <c r="G1000" s="21"/>
      <c r="H1000" s="21"/>
      <c r="I1000" s="511"/>
    </row>
    <row r="1001" spans="1:9">
      <c r="A1001" s="509"/>
      <c r="B1001" s="510"/>
      <c r="C1001" s="23"/>
      <c r="D1001" s="23"/>
      <c r="E1001" s="23"/>
      <c r="F1001" s="21"/>
      <c r="G1001" s="21"/>
      <c r="H1001" s="21"/>
      <c r="I1001" s="511"/>
    </row>
    <row r="1002" spans="1:9">
      <c r="A1002" s="509"/>
      <c r="B1002" s="510"/>
      <c r="C1002" s="23"/>
      <c r="D1002" s="23"/>
      <c r="E1002" s="23"/>
      <c r="F1002" s="21"/>
      <c r="G1002" s="21"/>
      <c r="H1002" s="21"/>
      <c r="I1002" s="511"/>
    </row>
    <row r="1003" spans="1:9">
      <c r="A1003" s="509"/>
      <c r="B1003" s="510"/>
      <c r="C1003" s="23"/>
      <c r="D1003" s="23"/>
      <c r="E1003" s="23"/>
      <c r="F1003" s="21"/>
      <c r="G1003" s="21"/>
      <c r="H1003" s="21"/>
      <c r="I1003" s="511"/>
    </row>
    <row r="1004" spans="1:9">
      <c r="A1004" s="509"/>
      <c r="B1004" s="510"/>
      <c r="C1004" s="23"/>
      <c r="D1004" s="23"/>
      <c r="E1004" s="23"/>
      <c r="F1004" s="21"/>
      <c r="G1004" s="21"/>
      <c r="H1004" s="21"/>
      <c r="I1004" s="511"/>
    </row>
    <row r="1005" spans="1:9">
      <c r="A1005" s="509"/>
      <c r="B1005" s="510"/>
      <c r="C1005" s="23"/>
      <c r="D1005" s="23"/>
      <c r="E1005" s="23"/>
      <c r="F1005" s="21"/>
      <c r="G1005" s="21"/>
      <c r="H1005" s="21"/>
      <c r="I1005" s="511"/>
    </row>
    <row r="1006" spans="1:9">
      <c r="A1006" s="509"/>
      <c r="B1006" s="510"/>
      <c r="C1006" s="23"/>
      <c r="D1006" s="23"/>
      <c r="E1006" s="23"/>
      <c r="F1006" s="21"/>
      <c r="G1006" s="21"/>
      <c r="H1006" s="21"/>
      <c r="I1006" s="511"/>
    </row>
    <row r="1007" spans="1:9">
      <c r="A1007" s="509"/>
      <c r="B1007" s="510"/>
      <c r="C1007" s="23"/>
      <c r="D1007" s="23"/>
      <c r="E1007" s="23"/>
      <c r="F1007" s="21"/>
      <c r="G1007" s="21"/>
      <c r="H1007" s="21"/>
      <c r="I1007" s="511"/>
    </row>
    <row r="1008" spans="1:9">
      <c r="A1008" s="509"/>
      <c r="B1008" s="510"/>
      <c r="C1008" s="23"/>
      <c r="D1008" s="23"/>
      <c r="E1008" s="23"/>
      <c r="F1008" s="21"/>
      <c r="G1008" s="21"/>
      <c r="H1008" s="21"/>
      <c r="I1008" s="511"/>
    </row>
    <row r="1009" spans="1:9">
      <c r="A1009" s="509"/>
      <c r="B1009" s="510"/>
      <c r="C1009" s="23"/>
      <c r="D1009" s="23"/>
      <c r="E1009" s="23"/>
      <c r="F1009" s="21"/>
      <c r="G1009" s="21"/>
      <c r="H1009" s="21"/>
      <c r="I1009" s="511"/>
    </row>
    <row r="1010" spans="1:9">
      <c r="A1010" s="509"/>
      <c r="B1010" s="510"/>
      <c r="C1010" s="23"/>
      <c r="D1010" s="23"/>
      <c r="E1010" s="23"/>
      <c r="F1010" s="21"/>
      <c r="G1010" s="21"/>
      <c r="H1010" s="21"/>
      <c r="I1010" s="511"/>
    </row>
    <row r="1011" spans="1:9">
      <c r="A1011" s="509"/>
      <c r="B1011" s="510"/>
      <c r="C1011" s="23"/>
      <c r="D1011" s="23"/>
      <c r="E1011" s="23"/>
      <c r="F1011" s="21"/>
      <c r="G1011" s="21"/>
      <c r="H1011" s="21"/>
      <c r="I1011" s="511"/>
    </row>
    <row r="1012" spans="1:9">
      <c r="A1012" s="509"/>
      <c r="B1012" s="510"/>
      <c r="C1012" s="23"/>
      <c r="D1012" s="23"/>
      <c r="E1012" s="23"/>
      <c r="F1012" s="21"/>
      <c r="G1012" s="21"/>
      <c r="H1012" s="21"/>
      <c r="I1012" s="511"/>
    </row>
    <row r="1013" spans="1:9">
      <c r="A1013" s="509"/>
      <c r="B1013" s="510"/>
      <c r="C1013" s="23"/>
      <c r="D1013" s="23"/>
      <c r="E1013" s="23"/>
      <c r="F1013" s="21"/>
      <c r="G1013" s="21"/>
      <c r="H1013" s="21"/>
      <c r="I1013" s="511"/>
    </row>
    <row r="1014" spans="1:9">
      <c r="A1014" s="509"/>
      <c r="B1014" s="510"/>
      <c r="C1014" s="23"/>
      <c r="D1014" s="23"/>
      <c r="E1014" s="23"/>
      <c r="F1014" s="21"/>
      <c r="G1014" s="21"/>
      <c r="H1014" s="21"/>
      <c r="I1014" s="511"/>
    </row>
    <row r="1015" spans="1:9">
      <c r="A1015" s="509"/>
      <c r="B1015" s="510"/>
      <c r="C1015" s="23"/>
      <c r="D1015" s="23"/>
      <c r="E1015" s="23"/>
      <c r="F1015" s="21"/>
      <c r="G1015" s="21"/>
      <c r="H1015" s="21"/>
      <c r="I1015" s="511"/>
    </row>
    <row r="1016" spans="1:9">
      <c r="A1016" s="509"/>
      <c r="B1016" s="510"/>
      <c r="C1016" s="23"/>
      <c r="D1016" s="23"/>
      <c r="E1016" s="23"/>
      <c r="F1016" s="21"/>
      <c r="G1016" s="21"/>
      <c r="H1016" s="21"/>
      <c r="I1016" s="511"/>
    </row>
    <row r="1017" spans="1:9">
      <c r="A1017" s="509"/>
      <c r="B1017" s="510"/>
      <c r="C1017" s="23"/>
      <c r="D1017" s="23"/>
      <c r="E1017" s="23"/>
      <c r="F1017" s="21"/>
      <c r="G1017" s="21"/>
      <c r="H1017" s="21"/>
      <c r="I1017" s="511"/>
    </row>
    <row r="1018" spans="1:9">
      <c r="A1018" s="509"/>
      <c r="B1018" s="510"/>
      <c r="C1018" s="23"/>
      <c r="D1018" s="23"/>
      <c r="E1018" s="23"/>
      <c r="F1018" s="21"/>
      <c r="G1018" s="21"/>
      <c r="H1018" s="21"/>
      <c r="I1018" s="511"/>
    </row>
    <row r="1019" spans="1:9">
      <c r="A1019" s="509"/>
      <c r="B1019" s="510"/>
      <c r="C1019" s="23"/>
      <c r="D1019" s="23"/>
      <c r="E1019" s="23"/>
      <c r="F1019" s="21"/>
      <c r="G1019" s="21"/>
      <c r="H1019" s="21"/>
      <c r="I1019" s="511"/>
    </row>
    <row r="1020" spans="1:9">
      <c r="A1020" s="509"/>
      <c r="B1020" s="510"/>
      <c r="C1020" s="23"/>
      <c r="D1020" s="23"/>
      <c r="E1020" s="23"/>
      <c r="F1020" s="21"/>
      <c r="G1020" s="21"/>
      <c r="H1020" s="21"/>
      <c r="I1020" s="511"/>
    </row>
    <row r="1021" spans="1:9">
      <c r="A1021" s="509"/>
      <c r="B1021" s="510"/>
      <c r="C1021" s="23"/>
      <c r="D1021" s="23"/>
      <c r="E1021" s="23"/>
      <c r="F1021" s="21"/>
      <c r="G1021" s="21"/>
      <c r="H1021" s="21"/>
      <c r="I1021" s="511"/>
    </row>
    <row r="1022" spans="1:9">
      <c r="A1022" s="509"/>
      <c r="B1022" s="510"/>
      <c r="C1022" s="23"/>
      <c r="D1022" s="23"/>
      <c r="E1022" s="23"/>
      <c r="F1022" s="21"/>
      <c r="G1022" s="21"/>
      <c r="H1022" s="21"/>
      <c r="I1022" s="511"/>
    </row>
    <row r="1023" spans="1:9">
      <c r="A1023" s="509"/>
      <c r="B1023" s="510"/>
      <c r="C1023" s="23"/>
      <c r="D1023" s="23"/>
      <c r="E1023" s="23"/>
      <c r="F1023" s="21"/>
      <c r="G1023" s="21"/>
      <c r="H1023" s="21"/>
      <c r="I1023" s="511"/>
    </row>
    <row r="1024" spans="1:9">
      <c r="A1024" s="509"/>
      <c r="B1024" s="510"/>
      <c r="C1024" s="23"/>
      <c r="D1024" s="23"/>
      <c r="E1024" s="23"/>
      <c r="F1024" s="21"/>
      <c r="G1024" s="21"/>
      <c r="H1024" s="21"/>
      <c r="I1024" s="511"/>
    </row>
    <row r="1025" spans="1:9">
      <c r="A1025" s="509"/>
      <c r="B1025" s="510"/>
      <c r="C1025" s="23"/>
      <c r="D1025" s="23"/>
      <c r="E1025" s="23"/>
      <c r="F1025" s="21"/>
      <c r="G1025" s="21"/>
      <c r="H1025" s="21"/>
      <c r="I1025" s="511"/>
    </row>
    <row r="1026" spans="1:9">
      <c r="A1026" s="509"/>
      <c r="B1026" s="510"/>
      <c r="C1026" s="23"/>
      <c r="D1026" s="23"/>
      <c r="E1026" s="23"/>
      <c r="F1026" s="21"/>
      <c r="G1026" s="21"/>
      <c r="H1026" s="21"/>
      <c r="I1026" s="511"/>
    </row>
    <row r="1027" spans="1:9">
      <c r="A1027" s="509"/>
      <c r="B1027" s="510"/>
      <c r="C1027" s="23"/>
      <c r="D1027" s="23"/>
      <c r="E1027" s="23"/>
      <c r="F1027" s="21"/>
      <c r="G1027" s="21"/>
      <c r="H1027" s="21"/>
      <c r="I1027" s="511"/>
    </row>
    <row r="1028" spans="1:9">
      <c r="A1028" s="509"/>
      <c r="B1028" s="510"/>
      <c r="C1028" s="23"/>
      <c r="D1028" s="23"/>
      <c r="E1028" s="23"/>
      <c r="F1028" s="21"/>
      <c r="G1028" s="21"/>
      <c r="H1028" s="21"/>
      <c r="I1028" s="511"/>
    </row>
    <row r="1029" spans="1:9">
      <c r="A1029" s="509"/>
      <c r="B1029" s="510"/>
      <c r="C1029" s="23"/>
      <c r="D1029" s="23"/>
      <c r="E1029" s="23"/>
      <c r="F1029" s="21"/>
      <c r="G1029" s="21"/>
      <c r="H1029" s="21"/>
      <c r="I1029" s="511"/>
    </row>
    <row r="1030" spans="1:9">
      <c r="A1030" s="509"/>
      <c r="B1030" s="510"/>
      <c r="C1030" s="23"/>
      <c r="D1030" s="23"/>
      <c r="E1030" s="23"/>
      <c r="F1030" s="21"/>
      <c r="G1030" s="21"/>
      <c r="H1030" s="21"/>
      <c r="I1030" s="511"/>
    </row>
    <row r="1031" spans="1:9">
      <c r="A1031" s="509"/>
      <c r="B1031" s="510"/>
      <c r="C1031" s="23"/>
      <c r="D1031" s="23"/>
      <c r="E1031" s="23"/>
      <c r="F1031" s="21"/>
      <c r="G1031" s="21"/>
      <c r="H1031" s="21"/>
      <c r="I1031" s="511"/>
    </row>
    <row r="1032" spans="1:9">
      <c r="A1032" s="509"/>
      <c r="B1032" s="510"/>
      <c r="C1032" s="23"/>
      <c r="D1032" s="23"/>
      <c r="E1032" s="23"/>
      <c r="F1032" s="21"/>
      <c r="G1032" s="21"/>
      <c r="H1032" s="21"/>
      <c r="I1032" s="511"/>
    </row>
    <row r="1033" spans="1:9">
      <c r="A1033" s="509"/>
      <c r="B1033" s="510"/>
      <c r="C1033" s="23"/>
      <c r="D1033" s="23"/>
      <c r="E1033" s="23"/>
      <c r="F1033" s="21"/>
      <c r="G1033" s="21"/>
      <c r="H1033" s="21"/>
      <c r="I1033" s="511"/>
    </row>
    <row r="1034" spans="1:9">
      <c r="A1034" s="509"/>
      <c r="B1034" s="510"/>
      <c r="C1034" s="23"/>
      <c r="D1034" s="23"/>
      <c r="E1034" s="23"/>
      <c r="F1034" s="21"/>
      <c r="G1034" s="21"/>
      <c r="H1034" s="21"/>
      <c r="I1034" s="511"/>
    </row>
    <row r="1035" spans="1:9">
      <c r="A1035" s="509"/>
      <c r="B1035" s="510"/>
      <c r="C1035" s="23"/>
      <c r="D1035" s="23"/>
      <c r="E1035" s="23"/>
      <c r="F1035" s="21"/>
      <c r="G1035" s="21"/>
      <c r="H1035" s="21"/>
      <c r="I1035" s="511"/>
    </row>
    <row r="1036" spans="1:9">
      <c r="A1036" s="509"/>
      <c r="B1036" s="510"/>
      <c r="C1036" s="23"/>
      <c r="D1036" s="23"/>
      <c r="E1036" s="23"/>
      <c r="F1036" s="21"/>
      <c r="G1036" s="21"/>
      <c r="H1036" s="21"/>
      <c r="I1036" s="511"/>
    </row>
    <row r="1037" spans="1:9">
      <c r="A1037" s="509"/>
      <c r="B1037" s="510"/>
      <c r="C1037" s="23"/>
      <c r="D1037" s="23"/>
      <c r="E1037" s="23"/>
      <c r="F1037" s="21"/>
      <c r="G1037" s="21"/>
      <c r="H1037" s="21"/>
      <c r="I1037" s="511"/>
    </row>
    <row r="1038" spans="1:9">
      <c r="A1038" s="509"/>
      <c r="B1038" s="510"/>
      <c r="C1038" s="23"/>
      <c r="D1038" s="23"/>
      <c r="E1038" s="23"/>
      <c r="F1038" s="21"/>
      <c r="G1038" s="21"/>
      <c r="H1038" s="21"/>
      <c r="I1038" s="511"/>
    </row>
    <row r="1039" spans="1:9">
      <c r="A1039" s="509"/>
      <c r="B1039" s="510"/>
      <c r="C1039" s="23"/>
      <c r="D1039" s="23"/>
      <c r="E1039" s="23"/>
      <c r="F1039" s="21"/>
      <c r="G1039" s="21"/>
      <c r="H1039" s="21"/>
      <c r="I1039" s="511"/>
    </row>
    <row r="1040" spans="1:9">
      <c r="A1040" s="509"/>
      <c r="B1040" s="510"/>
      <c r="C1040" s="23"/>
      <c r="D1040" s="23"/>
      <c r="E1040" s="23"/>
      <c r="F1040" s="21"/>
      <c r="G1040" s="21"/>
      <c r="H1040" s="21"/>
      <c r="I1040" s="511"/>
    </row>
    <row r="1041" spans="1:9">
      <c r="A1041" s="509"/>
      <c r="B1041" s="510"/>
      <c r="C1041" s="23"/>
      <c r="D1041" s="23"/>
      <c r="E1041" s="23"/>
      <c r="F1041" s="21"/>
      <c r="G1041" s="21"/>
      <c r="H1041" s="21"/>
      <c r="I1041" s="511"/>
    </row>
    <row r="1042" spans="1:9">
      <c r="A1042" s="509"/>
      <c r="B1042" s="510"/>
      <c r="C1042" s="23"/>
      <c r="D1042" s="23"/>
      <c r="E1042" s="23"/>
      <c r="F1042" s="21"/>
      <c r="G1042" s="21"/>
      <c r="H1042" s="21"/>
      <c r="I1042" s="511"/>
    </row>
    <row r="1043" spans="1:9">
      <c r="A1043" s="509"/>
      <c r="B1043" s="510"/>
      <c r="C1043" s="23"/>
      <c r="D1043" s="23"/>
      <c r="E1043" s="23"/>
      <c r="F1043" s="21"/>
      <c r="G1043" s="21"/>
      <c r="H1043" s="21"/>
      <c r="I1043" s="511"/>
    </row>
    <row r="1044" spans="1:9">
      <c r="A1044" s="509"/>
      <c r="B1044" s="510"/>
      <c r="C1044" s="23"/>
      <c r="D1044" s="23"/>
      <c r="E1044" s="23"/>
      <c r="F1044" s="21"/>
      <c r="G1044" s="21"/>
      <c r="H1044" s="21"/>
      <c r="I1044" s="511"/>
    </row>
    <row r="1045" spans="1:9">
      <c r="A1045" s="509"/>
      <c r="B1045" s="510"/>
      <c r="C1045" s="23"/>
      <c r="D1045" s="23"/>
      <c r="E1045" s="23"/>
      <c r="F1045" s="21"/>
      <c r="G1045" s="21"/>
      <c r="H1045" s="21"/>
      <c r="I1045" s="511"/>
    </row>
    <row r="1046" spans="1:9">
      <c r="A1046" s="509"/>
      <c r="B1046" s="510"/>
      <c r="C1046" s="23"/>
      <c r="D1046" s="23"/>
      <c r="E1046" s="23"/>
      <c r="F1046" s="21"/>
      <c r="G1046" s="21"/>
      <c r="H1046" s="21"/>
      <c r="I1046" s="511"/>
    </row>
    <row r="1047" spans="1:9">
      <c r="A1047" s="509"/>
      <c r="B1047" s="510"/>
      <c r="C1047" s="23"/>
      <c r="D1047" s="23"/>
      <c r="E1047" s="23"/>
      <c r="F1047" s="21"/>
      <c r="G1047" s="21"/>
      <c r="H1047" s="21"/>
      <c r="I1047" s="511"/>
    </row>
    <row r="1048" spans="1:9">
      <c r="A1048" s="509"/>
      <c r="B1048" s="510"/>
      <c r="C1048" s="23"/>
      <c r="D1048" s="23"/>
      <c r="E1048" s="23"/>
      <c r="F1048" s="21"/>
      <c r="G1048" s="21"/>
      <c r="H1048" s="21"/>
      <c r="I1048" s="511"/>
    </row>
    <row r="1049" spans="1:9">
      <c r="A1049" s="509"/>
      <c r="B1049" s="510"/>
      <c r="C1049" s="23"/>
      <c r="D1049" s="23"/>
      <c r="E1049" s="23"/>
      <c r="F1049" s="21"/>
      <c r="G1049" s="21"/>
      <c r="H1049" s="21"/>
      <c r="I1049" s="511"/>
    </row>
    <row r="1050" spans="1:9">
      <c r="A1050" s="509"/>
      <c r="B1050" s="510"/>
      <c r="C1050" s="23"/>
      <c r="D1050" s="23"/>
      <c r="E1050" s="23"/>
      <c r="F1050" s="21"/>
      <c r="G1050" s="21"/>
      <c r="H1050" s="21"/>
      <c r="I1050" s="511"/>
    </row>
    <row r="1051" spans="1:9">
      <c r="A1051" s="509"/>
      <c r="B1051" s="510"/>
      <c r="C1051" s="23"/>
      <c r="D1051" s="23"/>
      <c r="E1051" s="23"/>
      <c r="F1051" s="21"/>
      <c r="G1051" s="21"/>
      <c r="H1051" s="21"/>
      <c r="I1051" s="511"/>
    </row>
    <row r="1052" spans="1:9">
      <c r="A1052" s="509"/>
      <c r="B1052" s="510"/>
      <c r="C1052" s="23"/>
      <c r="D1052" s="23"/>
      <c r="E1052" s="23"/>
      <c r="F1052" s="21"/>
      <c r="G1052" s="21"/>
      <c r="H1052" s="21"/>
      <c r="I1052" s="511"/>
    </row>
    <row r="1053" spans="1:9">
      <c r="A1053" s="509"/>
      <c r="B1053" s="510"/>
      <c r="C1053" s="23"/>
      <c r="D1053" s="23"/>
      <c r="E1053" s="23"/>
      <c r="F1053" s="21"/>
      <c r="G1053" s="21"/>
      <c r="H1053" s="21"/>
      <c r="I1053" s="511"/>
    </row>
    <row r="1054" spans="1:9">
      <c r="A1054" s="509"/>
      <c r="B1054" s="510"/>
      <c r="C1054" s="23"/>
      <c r="D1054" s="23"/>
      <c r="E1054" s="23"/>
      <c r="F1054" s="21"/>
      <c r="G1054" s="21"/>
      <c r="H1054" s="21"/>
      <c r="I1054" s="511"/>
    </row>
    <row r="1055" spans="1:9">
      <c r="A1055" s="509"/>
      <c r="B1055" s="510"/>
      <c r="C1055" s="23"/>
      <c r="D1055" s="23"/>
      <c r="E1055" s="23"/>
      <c r="F1055" s="21"/>
      <c r="G1055" s="21"/>
      <c r="H1055" s="21"/>
      <c r="I1055" s="511"/>
    </row>
    <row r="1056" spans="1:9">
      <c r="A1056" s="509"/>
      <c r="B1056" s="510"/>
      <c r="C1056" s="23"/>
      <c r="D1056" s="23"/>
      <c r="E1056" s="23"/>
      <c r="F1056" s="21"/>
      <c r="G1056" s="21"/>
      <c r="H1056" s="21"/>
      <c r="I1056" s="511"/>
    </row>
    <row r="1057" spans="1:9">
      <c r="A1057" s="509"/>
      <c r="B1057" s="510"/>
      <c r="C1057" s="23"/>
      <c r="D1057" s="23"/>
      <c r="E1057" s="23"/>
      <c r="F1057" s="21"/>
      <c r="G1057" s="21"/>
      <c r="H1057" s="21"/>
      <c r="I1057" s="511"/>
    </row>
    <row r="1058" spans="1:9">
      <c r="A1058" s="509"/>
      <c r="B1058" s="510"/>
      <c r="C1058" s="23"/>
      <c r="D1058" s="23"/>
      <c r="E1058" s="23"/>
      <c r="F1058" s="21"/>
      <c r="G1058" s="21"/>
      <c r="H1058" s="21"/>
      <c r="I1058" s="511"/>
    </row>
    <row r="1059" spans="1:9">
      <c r="A1059" s="509"/>
      <c r="B1059" s="510"/>
      <c r="C1059" s="23"/>
      <c r="D1059" s="23"/>
      <c r="E1059" s="23"/>
      <c r="F1059" s="21"/>
      <c r="G1059" s="21"/>
      <c r="H1059" s="21"/>
      <c r="I1059" s="511"/>
    </row>
    <row r="1060" spans="1:9">
      <c r="A1060" s="509"/>
      <c r="B1060" s="510"/>
      <c r="C1060" s="23"/>
      <c r="D1060" s="23"/>
      <c r="E1060" s="23"/>
      <c r="F1060" s="21"/>
      <c r="G1060" s="21"/>
      <c r="H1060" s="21"/>
      <c r="I1060" s="511"/>
    </row>
    <row r="1061" spans="1:9">
      <c r="A1061" s="509"/>
      <c r="B1061" s="510"/>
      <c r="C1061" s="23"/>
      <c r="D1061" s="23"/>
      <c r="E1061" s="23"/>
      <c r="F1061" s="21"/>
      <c r="G1061" s="21"/>
      <c r="H1061" s="21"/>
      <c r="I1061" s="511"/>
    </row>
    <row r="1062" spans="1:9">
      <c r="A1062" s="509"/>
      <c r="B1062" s="510"/>
      <c r="C1062" s="23"/>
      <c r="D1062" s="23"/>
      <c r="E1062" s="23"/>
      <c r="F1062" s="21"/>
      <c r="G1062" s="21"/>
      <c r="H1062" s="21"/>
      <c r="I1062" s="511"/>
    </row>
    <row r="1063" spans="1:9">
      <c r="A1063" s="509"/>
      <c r="B1063" s="510"/>
      <c r="C1063" s="23"/>
      <c r="D1063" s="23"/>
      <c r="E1063" s="23"/>
      <c r="F1063" s="21"/>
      <c r="G1063" s="21"/>
      <c r="H1063" s="21"/>
      <c r="I1063" s="511"/>
    </row>
    <row r="1064" spans="1:9">
      <c r="A1064" s="509"/>
      <c r="B1064" s="510"/>
      <c r="C1064" s="23"/>
      <c r="D1064" s="23"/>
      <c r="E1064" s="23"/>
      <c r="F1064" s="21"/>
      <c r="G1064" s="21"/>
      <c r="H1064" s="21"/>
      <c r="I1064" s="511"/>
    </row>
    <row r="1065" spans="1:9">
      <c r="A1065" s="509"/>
      <c r="B1065" s="510"/>
      <c r="C1065" s="23"/>
      <c r="D1065" s="23"/>
      <c r="E1065" s="23"/>
      <c r="F1065" s="21"/>
      <c r="G1065" s="21"/>
      <c r="H1065" s="21"/>
      <c r="I1065" s="511"/>
    </row>
    <row r="1066" spans="1:9">
      <c r="A1066" s="509"/>
      <c r="B1066" s="510"/>
      <c r="C1066" s="23"/>
      <c r="D1066" s="23"/>
      <c r="E1066" s="23"/>
      <c r="F1066" s="21"/>
      <c r="G1066" s="21"/>
      <c r="H1066" s="21"/>
      <c r="I1066" s="511"/>
    </row>
    <row r="1067" spans="1:9">
      <c r="A1067" s="509"/>
      <c r="B1067" s="510"/>
      <c r="C1067" s="23"/>
      <c r="D1067" s="23"/>
      <c r="E1067" s="23"/>
      <c r="F1067" s="21"/>
      <c r="G1067" s="21"/>
      <c r="H1067" s="21"/>
      <c r="I1067" s="511"/>
    </row>
    <row r="1068" spans="1:9">
      <c r="A1068" s="509"/>
      <c r="B1068" s="510"/>
      <c r="C1068" s="23"/>
      <c r="D1068" s="23"/>
      <c r="E1068" s="23"/>
      <c r="F1068" s="21"/>
      <c r="G1068" s="21"/>
      <c r="H1068" s="21"/>
      <c r="I1068" s="511"/>
    </row>
    <row r="1069" spans="1:9">
      <c r="A1069" s="509"/>
      <c r="B1069" s="510"/>
      <c r="C1069" s="23"/>
      <c r="D1069" s="23"/>
      <c r="E1069" s="23"/>
      <c r="F1069" s="21"/>
      <c r="G1069" s="21"/>
      <c r="H1069" s="21"/>
      <c r="I1069" s="511"/>
    </row>
    <row r="1070" spans="1:9">
      <c r="A1070" s="509"/>
      <c r="B1070" s="510"/>
      <c r="C1070" s="23"/>
      <c r="D1070" s="23"/>
      <c r="E1070" s="23"/>
      <c r="F1070" s="21"/>
      <c r="G1070" s="21"/>
      <c r="H1070" s="21"/>
      <c r="I1070" s="511"/>
    </row>
    <row r="1071" spans="1:9">
      <c r="A1071" s="509"/>
      <c r="B1071" s="510"/>
      <c r="C1071" s="23"/>
      <c r="D1071" s="23"/>
      <c r="E1071" s="23"/>
      <c r="F1071" s="21"/>
      <c r="G1071" s="21"/>
      <c r="H1071" s="21"/>
      <c r="I1071" s="511"/>
    </row>
    <row r="1072" spans="1:9">
      <c r="A1072" s="509"/>
      <c r="B1072" s="510"/>
      <c r="C1072" s="23"/>
      <c r="D1072" s="23"/>
      <c r="E1072" s="23"/>
      <c r="F1072" s="21"/>
      <c r="G1072" s="21"/>
      <c r="H1072" s="21"/>
      <c r="I1072" s="511"/>
    </row>
    <row r="1073" spans="1:9">
      <c r="A1073" s="509"/>
      <c r="B1073" s="510"/>
      <c r="C1073" s="23"/>
      <c r="D1073" s="23"/>
      <c r="E1073" s="23"/>
      <c r="F1073" s="21"/>
      <c r="G1073" s="21"/>
      <c r="H1073" s="21"/>
      <c r="I1073" s="511"/>
    </row>
    <row r="1074" spans="1:9">
      <c r="A1074" s="509"/>
      <c r="B1074" s="510"/>
      <c r="C1074" s="23"/>
      <c r="D1074" s="23"/>
      <c r="E1074" s="23"/>
      <c r="F1074" s="21"/>
      <c r="G1074" s="21"/>
      <c r="H1074" s="21"/>
      <c r="I1074" s="511"/>
    </row>
    <row r="1075" spans="1:9">
      <c r="A1075" s="509"/>
      <c r="B1075" s="510"/>
      <c r="C1075" s="23"/>
      <c r="D1075" s="23"/>
      <c r="E1075" s="23"/>
      <c r="F1075" s="21"/>
      <c r="G1075" s="21"/>
      <c r="H1075" s="21"/>
      <c r="I1075" s="511"/>
    </row>
    <row r="1076" spans="1:9">
      <c r="A1076" s="509"/>
      <c r="B1076" s="510"/>
      <c r="C1076" s="23"/>
      <c r="D1076" s="23"/>
      <c r="E1076" s="23"/>
      <c r="F1076" s="21"/>
      <c r="G1076" s="21"/>
      <c r="H1076" s="21"/>
      <c r="I1076" s="511"/>
    </row>
    <row r="1077" spans="1:9">
      <c r="A1077" s="509"/>
      <c r="B1077" s="510"/>
      <c r="C1077" s="23"/>
      <c r="D1077" s="23"/>
      <c r="E1077" s="23"/>
      <c r="F1077" s="21"/>
      <c r="G1077" s="21"/>
      <c r="H1077" s="21"/>
      <c r="I1077" s="511"/>
    </row>
    <row r="1078" spans="1:9">
      <c r="A1078" s="509"/>
      <c r="B1078" s="510"/>
      <c r="C1078" s="23"/>
      <c r="D1078" s="23"/>
      <c r="E1078" s="23"/>
      <c r="F1078" s="21"/>
      <c r="G1078" s="21"/>
      <c r="H1078" s="21"/>
      <c r="I1078" s="511"/>
    </row>
    <row r="1079" spans="1:9">
      <c r="A1079" s="509"/>
      <c r="B1079" s="510"/>
      <c r="C1079" s="23"/>
      <c r="D1079" s="23"/>
      <c r="E1079" s="23"/>
      <c r="F1079" s="21"/>
      <c r="G1079" s="21"/>
      <c r="H1079" s="21"/>
      <c r="I1079" s="511"/>
    </row>
    <row r="1080" spans="1:9">
      <c r="A1080" s="509"/>
      <c r="B1080" s="510"/>
      <c r="C1080" s="23"/>
      <c r="D1080" s="23"/>
      <c r="E1080" s="23"/>
      <c r="F1080" s="21"/>
      <c r="G1080" s="21"/>
      <c r="H1080" s="21"/>
      <c r="I1080" s="511"/>
    </row>
    <row r="1081" spans="1:9">
      <c r="A1081" s="509"/>
      <c r="B1081" s="510"/>
      <c r="C1081" s="23"/>
      <c r="D1081" s="23"/>
      <c r="E1081" s="23"/>
      <c r="F1081" s="21"/>
      <c r="G1081" s="21"/>
      <c r="H1081" s="21"/>
      <c r="I1081" s="511"/>
    </row>
    <row r="1082" spans="1:9">
      <c r="A1082" s="509"/>
      <c r="B1082" s="510"/>
      <c r="C1082" s="23"/>
      <c r="D1082" s="23"/>
      <c r="E1082" s="23"/>
      <c r="F1082" s="21"/>
      <c r="G1082" s="21"/>
      <c r="H1082" s="21"/>
      <c r="I1082" s="511"/>
    </row>
    <row r="1083" spans="1:9">
      <c r="A1083" s="509"/>
      <c r="B1083" s="510"/>
      <c r="C1083" s="23"/>
      <c r="D1083" s="23"/>
      <c r="E1083" s="23"/>
      <c r="F1083" s="21"/>
      <c r="G1083" s="21"/>
      <c r="H1083" s="21"/>
      <c r="I1083" s="511"/>
    </row>
    <row r="1084" spans="1:9">
      <c r="A1084" s="509"/>
      <c r="B1084" s="510"/>
      <c r="C1084" s="23"/>
      <c r="D1084" s="23"/>
      <c r="E1084" s="23"/>
      <c r="F1084" s="21"/>
      <c r="G1084" s="21"/>
      <c r="H1084" s="21"/>
      <c r="I1084" s="511"/>
    </row>
    <row r="1085" spans="1:9">
      <c r="A1085" s="509"/>
      <c r="B1085" s="510"/>
      <c r="C1085" s="23"/>
      <c r="D1085" s="23"/>
      <c r="E1085" s="23"/>
      <c r="F1085" s="21"/>
      <c r="G1085" s="21"/>
      <c r="H1085" s="21"/>
      <c r="I1085" s="511"/>
    </row>
    <row r="1086" spans="1:9">
      <c r="A1086" s="509"/>
      <c r="B1086" s="510"/>
      <c r="C1086" s="23"/>
      <c r="D1086" s="23"/>
      <c r="E1086" s="23"/>
      <c r="F1086" s="21"/>
      <c r="G1086" s="21"/>
      <c r="H1086" s="21"/>
      <c r="I1086" s="511"/>
    </row>
    <row r="1087" spans="1:9">
      <c r="A1087" s="509"/>
      <c r="B1087" s="510"/>
      <c r="C1087" s="23"/>
      <c r="D1087" s="23"/>
      <c r="E1087" s="23"/>
      <c r="F1087" s="21"/>
      <c r="G1087" s="21"/>
      <c r="H1087" s="21"/>
      <c r="I1087" s="511"/>
    </row>
    <row r="1088" spans="1:9">
      <c r="A1088" s="509"/>
      <c r="B1088" s="510"/>
      <c r="C1088" s="23"/>
      <c r="D1088" s="23"/>
      <c r="E1088" s="23"/>
      <c r="F1088" s="21"/>
      <c r="G1088" s="21"/>
      <c r="H1088" s="21"/>
      <c r="I1088" s="511"/>
    </row>
    <row r="1089" spans="1:9">
      <c r="A1089" s="509"/>
      <c r="B1089" s="510"/>
      <c r="C1089" s="23"/>
      <c r="D1089" s="23"/>
      <c r="E1089" s="23"/>
      <c r="F1089" s="21"/>
      <c r="G1089" s="21"/>
      <c r="H1089" s="21"/>
      <c r="I1089" s="511"/>
    </row>
    <row r="1090" spans="1:9">
      <c r="A1090" s="509"/>
      <c r="B1090" s="510"/>
      <c r="C1090" s="23"/>
      <c r="D1090" s="23"/>
      <c r="E1090" s="23"/>
      <c r="F1090" s="21"/>
      <c r="G1090" s="21"/>
      <c r="H1090" s="21"/>
      <c r="I1090" s="511"/>
    </row>
    <row r="1091" spans="1:9">
      <c r="A1091" s="509"/>
      <c r="B1091" s="510"/>
      <c r="C1091" s="23"/>
      <c r="D1091" s="23"/>
      <c r="E1091" s="23"/>
      <c r="F1091" s="21"/>
      <c r="G1091" s="21"/>
      <c r="H1091" s="21"/>
      <c r="I1091" s="511"/>
    </row>
    <row r="1092" spans="1:9">
      <c r="A1092" s="509"/>
      <c r="B1092" s="510"/>
      <c r="C1092" s="23"/>
      <c r="D1092" s="23"/>
      <c r="E1092" s="23"/>
      <c r="F1092" s="21"/>
      <c r="G1092" s="21"/>
      <c r="H1092" s="21"/>
      <c r="I1092" s="511"/>
    </row>
    <row r="1093" spans="1:9">
      <c r="A1093" s="509"/>
      <c r="B1093" s="510"/>
      <c r="C1093" s="23"/>
      <c r="D1093" s="23"/>
      <c r="E1093" s="23"/>
      <c r="F1093" s="21"/>
      <c r="G1093" s="21"/>
      <c r="H1093" s="21"/>
      <c r="I1093" s="511"/>
    </row>
    <row r="1094" spans="1:9">
      <c r="A1094" s="509"/>
      <c r="B1094" s="510"/>
      <c r="C1094" s="23"/>
      <c r="D1094" s="23"/>
      <c r="E1094" s="23"/>
      <c r="F1094" s="21"/>
      <c r="G1094" s="21"/>
      <c r="H1094" s="21"/>
      <c r="I1094" s="511"/>
    </row>
    <row r="1095" spans="1:9">
      <c r="A1095" s="509"/>
      <c r="B1095" s="510"/>
      <c r="C1095" s="23"/>
      <c r="D1095" s="23"/>
      <c r="E1095" s="23"/>
      <c r="F1095" s="21"/>
      <c r="G1095" s="21"/>
      <c r="H1095" s="21"/>
      <c r="I1095" s="511"/>
    </row>
    <row r="1096" spans="1:9">
      <c r="A1096" s="509"/>
      <c r="B1096" s="510"/>
      <c r="C1096" s="23"/>
      <c r="D1096" s="23"/>
      <c r="E1096" s="23"/>
      <c r="F1096" s="21"/>
      <c r="G1096" s="21"/>
      <c r="H1096" s="21"/>
      <c r="I1096" s="511"/>
    </row>
    <row r="1097" spans="1:9">
      <c r="A1097" s="509"/>
      <c r="B1097" s="510"/>
      <c r="C1097" s="23"/>
      <c r="D1097" s="23"/>
      <c r="E1097" s="23"/>
      <c r="F1097" s="21"/>
      <c r="G1097" s="21"/>
      <c r="H1097" s="21"/>
      <c r="I1097" s="511"/>
    </row>
    <row r="1098" spans="1:9">
      <c r="A1098" s="509"/>
      <c r="B1098" s="510"/>
      <c r="C1098" s="23"/>
      <c r="D1098" s="23"/>
      <c r="E1098" s="23"/>
      <c r="F1098" s="21"/>
      <c r="G1098" s="21"/>
      <c r="H1098" s="21"/>
      <c r="I1098" s="511"/>
    </row>
    <row r="1099" spans="1:9">
      <c r="A1099" s="509"/>
      <c r="B1099" s="510"/>
      <c r="C1099" s="23"/>
      <c r="D1099" s="23"/>
      <c r="E1099" s="23"/>
      <c r="F1099" s="21"/>
      <c r="G1099" s="21"/>
      <c r="H1099" s="21"/>
      <c r="I1099" s="511"/>
    </row>
    <row r="1100" spans="1:9">
      <c r="A1100" s="509"/>
      <c r="B1100" s="510"/>
      <c r="C1100" s="23"/>
      <c r="D1100" s="23"/>
      <c r="E1100" s="23"/>
      <c r="F1100" s="21"/>
      <c r="G1100" s="21"/>
      <c r="H1100" s="21"/>
      <c r="I1100" s="511"/>
    </row>
    <row r="1101" spans="1:9">
      <c r="A1101" s="509"/>
      <c r="B1101" s="510"/>
      <c r="C1101" s="23"/>
      <c r="D1101" s="23"/>
      <c r="E1101" s="23"/>
      <c r="F1101" s="21"/>
      <c r="G1101" s="21"/>
      <c r="H1101" s="21"/>
      <c r="I1101" s="511"/>
    </row>
    <row r="1102" spans="1:9">
      <c r="A1102" s="509"/>
      <c r="B1102" s="510"/>
      <c r="C1102" s="23"/>
      <c r="D1102" s="23"/>
      <c r="E1102" s="23"/>
      <c r="F1102" s="21"/>
      <c r="G1102" s="21"/>
      <c r="H1102" s="21"/>
      <c r="I1102" s="511"/>
    </row>
    <row r="1103" spans="1:9">
      <c r="A1103" s="509"/>
      <c r="B1103" s="510"/>
      <c r="C1103" s="23"/>
      <c r="D1103" s="23"/>
      <c r="E1103" s="23"/>
      <c r="F1103" s="21"/>
      <c r="G1103" s="21"/>
      <c r="H1103" s="21"/>
      <c r="I1103" s="511"/>
    </row>
    <row r="1104" spans="1:9">
      <c r="A1104" s="509"/>
      <c r="B1104" s="510"/>
      <c r="C1104" s="23"/>
      <c r="D1104" s="23"/>
      <c r="E1104" s="23"/>
      <c r="F1104" s="21"/>
      <c r="G1104" s="21"/>
      <c r="H1104" s="21"/>
      <c r="I1104" s="511"/>
    </row>
    <row r="1105" spans="1:9">
      <c r="A1105" s="509"/>
      <c r="B1105" s="510"/>
      <c r="C1105" s="23"/>
      <c r="D1105" s="23"/>
      <c r="E1105" s="23"/>
      <c r="F1105" s="21"/>
      <c r="G1105" s="21"/>
      <c r="H1105" s="21"/>
      <c r="I1105" s="511"/>
    </row>
    <row r="1106" spans="1:9">
      <c r="A1106" s="509"/>
      <c r="B1106" s="510"/>
      <c r="C1106" s="23"/>
      <c r="D1106" s="23"/>
      <c r="E1106" s="23"/>
      <c r="F1106" s="21"/>
      <c r="G1106" s="21"/>
      <c r="H1106" s="21"/>
      <c r="I1106" s="511"/>
    </row>
    <row r="1107" spans="1:9">
      <c r="A1107" s="509"/>
      <c r="B1107" s="510"/>
      <c r="C1107" s="23"/>
      <c r="D1107" s="23"/>
      <c r="E1107" s="23"/>
      <c r="F1107" s="21"/>
      <c r="G1107" s="21"/>
      <c r="H1107" s="21"/>
      <c r="I1107" s="511"/>
    </row>
    <row r="1108" spans="1:9">
      <c r="A1108" s="509"/>
      <c r="B1108" s="510"/>
      <c r="C1108" s="23"/>
      <c r="D1108" s="23"/>
      <c r="E1108" s="23"/>
      <c r="F1108" s="21"/>
      <c r="G1108" s="21"/>
      <c r="H1108" s="21"/>
      <c r="I1108" s="511"/>
    </row>
    <row r="1109" spans="1:9">
      <c r="A1109" s="509"/>
      <c r="B1109" s="510"/>
      <c r="C1109" s="23"/>
      <c r="D1109" s="23"/>
      <c r="E1109" s="23"/>
      <c r="F1109" s="21"/>
      <c r="G1109" s="21"/>
      <c r="H1109" s="21"/>
      <c r="I1109" s="511"/>
    </row>
    <row r="1110" spans="1:9">
      <c r="A1110" s="509"/>
      <c r="B1110" s="510"/>
      <c r="C1110" s="23"/>
      <c r="D1110" s="23"/>
      <c r="E1110" s="23"/>
      <c r="F1110" s="21"/>
      <c r="G1110" s="21"/>
      <c r="H1110" s="21"/>
      <c r="I1110" s="511"/>
    </row>
    <row r="1111" spans="1:9">
      <c r="A1111" s="509"/>
      <c r="B1111" s="510"/>
      <c r="C1111" s="23"/>
      <c r="D1111" s="23"/>
      <c r="E1111" s="23"/>
      <c r="F1111" s="21"/>
      <c r="G1111" s="21"/>
      <c r="H1111" s="21"/>
      <c r="I1111" s="511"/>
    </row>
    <row r="1112" spans="1:9">
      <c r="A1112" s="509"/>
      <c r="B1112" s="510"/>
      <c r="C1112" s="23"/>
      <c r="D1112" s="23"/>
      <c r="E1112" s="23"/>
      <c r="F1112" s="21"/>
      <c r="G1112" s="21"/>
      <c r="H1112" s="21"/>
      <c r="I1112" s="511"/>
    </row>
    <row r="1113" spans="1:9">
      <c r="A1113" s="509"/>
      <c r="B1113" s="510"/>
      <c r="C1113" s="23"/>
      <c r="D1113" s="23"/>
      <c r="E1113" s="23"/>
      <c r="F1113" s="21"/>
      <c r="G1113" s="21"/>
      <c r="H1113" s="21"/>
      <c r="I1113" s="511"/>
    </row>
    <row r="1114" spans="1:9">
      <c r="A1114" s="509"/>
      <c r="B1114" s="510"/>
      <c r="C1114" s="23"/>
      <c r="D1114" s="23"/>
      <c r="E1114" s="23"/>
      <c r="F1114" s="21"/>
      <c r="G1114" s="21"/>
      <c r="H1114" s="21"/>
      <c r="I1114" s="511"/>
    </row>
    <row r="1115" spans="1:9">
      <c r="A1115" s="509"/>
      <c r="B1115" s="510"/>
      <c r="C1115" s="23"/>
      <c r="D1115" s="23"/>
      <c r="E1115" s="23"/>
      <c r="F1115" s="21"/>
      <c r="G1115" s="21"/>
      <c r="H1115" s="21"/>
      <c r="I1115" s="511"/>
    </row>
    <row r="1116" spans="1:9">
      <c r="A1116" s="509"/>
      <c r="B1116" s="510"/>
      <c r="C1116" s="23"/>
      <c r="D1116" s="23"/>
      <c r="E1116" s="23"/>
      <c r="F1116" s="21"/>
      <c r="G1116" s="21"/>
      <c r="H1116" s="21"/>
      <c r="I1116" s="511"/>
    </row>
    <row r="1117" spans="1:9">
      <c r="A1117" s="509"/>
      <c r="B1117" s="510"/>
      <c r="C1117" s="23"/>
      <c r="D1117" s="23"/>
      <c r="E1117" s="23"/>
      <c r="F1117" s="21"/>
      <c r="G1117" s="21"/>
      <c r="H1117" s="21"/>
      <c r="I1117" s="511"/>
    </row>
    <row r="1118" spans="1:9">
      <c r="A1118" s="509"/>
      <c r="B1118" s="510"/>
      <c r="C1118" s="23"/>
      <c r="D1118" s="23"/>
      <c r="E1118" s="23"/>
      <c r="F1118" s="21"/>
      <c r="G1118" s="21"/>
      <c r="H1118" s="21"/>
      <c r="I1118" s="511"/>
    </row>
    <row r="1119" spans="1:9">
      <c r="A1119" s="509"/>
      <c r="B1119" s="510"/>
      <c r="C1119" s="23"/>
      <c r="D1119" s="23"/>
      <c r="E1119" s="23"/>
      <c r="F1119" s="21"/>
      <c r="G1119" s="21"/>
      <c r="H1119" s="21"/>
      <c r="I1119" s="511"/>
    </row>
    <row r="1120" spans="1:9">
      <c r="A1120" s="509"/>
      <c r="B1120" s="510"/>
      <c r="C1120" s="23"/>
      <c r="D1120" s="23"/>
      <c r="E1120" s="23"/>
      <c r="F1120" s="21"/>
      <c r="G1120" s="21"/>
      <c r="H1120" s="21"/>
      <c r="I1120" s="511"/>
    </row>
    <row r="1121" spans="1:9">
      <c r="A1121" s="509"/>
      <c r="B1121" s="510"/>
      <c r="C1121" s="23"/>
      <c r="D1121" s="23"/>
      <c r="E1121" s="23"/>
      <c r="F1121" s="21"/>
      <c r="G1121" s="21"/>
      <c r="H1121" s="21"/>
      <c r="I1121" s="511"/>
    </row>
    <row r="1122" spans="1:9">
      <c r="A1122" s="509"/>
      <c r="B1122" s="510"/>
      <c r="C1122" s="23"/>
      <c r="D1122" s="23"/>
      <c r="E1122" s="23"/>
      <c r="F1122" s="21"/>
      <c r="G1122" s="21"/>
      <c r="H1122" s="21"/>
      <c r="I1122" s="511"/>
    </row>
    <row r="1123" spans="1:9">
      <c r="A1123" s="509"/>
      <c r="B1123" s="510"/>
      <c r="C1123" s="23"/>
      <c r="D1123" s="23"/>
      <c r="E1123" s="23"/>
      <c r="F1123" s="21"/>
      <c r="G1123" s="21"/>
      <c r="H1123" s="21"/>
      <c r="I1123" s="511"/>
    </row>
    <row r="1124" spans="1:9">
      <c r="A1124" s="509"/>
      <c r="B1124" s="510"/>
      <c r="C1124" s="23"/>
      <c r="D1124" s="23"/>
      <c r="E1124" s="23"/>
      <c r="F1124" s="21"/>
      <c r="G1124" s="21"/>
      <c r="H1124" s="21"/>
      <c r="I1124" s="511"/>
    </row>
    <row r="1125" spans="1:9">
      <c r="A1125" s="509"/>
      <c r="B1125" s="510"/>
      <c r="C1125" s="23"/>
      <c r="D1125" s="23"/>
      <c r="E1125" s="23"/>
      <c r="F1125" s="21"/>
      <c r="G1125" s="21"/>
      <c r="H1125" s="21"/>
      <c r="I1125" s="511"/>
    </row>
    <row r="1126" spans="1:9">
      <c r="A1126" s="509"/>
      <c r="B1126" s="510"/>
      <c r="C1126" s="23"/>
      <c r="D1126" s="23"/>
      <c r="E1126" s="23"/>
      <c r="F1126" s="21"/>
      <c r="G1126" s="21"/>
      <c r="H1126" s="21"/>
      <c r="I1126" s="511"/>
    </row>
    <row r="1127" spans="1:9">
      <c r="A1127" s="509"/>
      <c r="B1127" s="510"/>
      <c r="C1127" s="23"/>
      <c r="D1127" s="23"/>
      <c r="E1127" s="23"/>
      <c r="F1127" s="21"/>
      <c r="G1127" s="21"/>
      <c r="H1127" s="21"/>
      <c r="I1127" s="511"/>
    </row>
    <row r="1128" spans="1:9">
      <c r="A1128" s="509"/>
      <c r="B1128" s="510"/>
      <c r="C1128" s="23"/>
      <c r="D1128" s="23"/>
      <c r="E1128" s="23"/>
      <c r="F1128" s="21"/>
      <c r="G1128" s="21"/>
      <c r="H1128" s="21"/>
      <c r="I1128" s="511"/>
    </row>
    <row r="1129" spans="1:9">
      <c r="A1129" s="509"/>
      <c r="B1129" s="510"/>
      <c r="C1129" s="23"/>
      <c r="D1129" s="23"/>
      <c r="E1129" s="23"/>
      <c r="F1129" s="21"/>
      <c r="G1129" s="21"/>
      <c r="H1129" s="21"/>
      <c r="I1129" s="511"/>
    </row>
    <row r="1130" spans="1:9">
      <c r="A1130" s="509"/>
      <c r="B1130" s="510"/>
      <c r="C1130" s="23"/>
      <c r="D1130" s="23"/>
      <c r="E1130" s="23"/>
      <c r="F1130" s="21"/>
      <c r="G1130" s="21"/>
      <c r="H1130" s="21"/>
      <c r="I1130" s="511"/>
    </row>
    <row r="1131" spans="1:9">
      <c r="A1131" s="509"/>
      <c r="B1131" s="510"/>
      <c r="C1131" s="23"/>
      <c r="D1131" s="23"/>
      <c r="E1131" s="23"/>
      <c r="F1131" s="21"/>
      <c r="G1131" s="21"/>
      <c r="H1131" s="21"/>
      <c r="I1131" s="511"/>
    </row>
    <row r="1132" spans="1:9">
      <c r="A1132" s="509"/>
      <c r="B1132" s="510"/>
      <c r="C1132" s="23"/>
      <c r="D1132" s="23"/>
      <c r="E1132" s="23"/>
      <c r="F1132" s="21"/>
      <c r="G1132" s="21"/>
      <c r="H1132" s="21"/>
      <c r="I1132" s="511"/>
    </row>
    <row r="1133" spans="1:9">
      <c r="A1133" s="509"/>
      <c r="B1133" s="510"/>
      <c r="C1133" s="23"/>
      <c r="D1133" s="23"/>
      <c r="E1133" s="23"/>
      <c r="F1133" s="21"/>
      <c r="G1133" s="21"/>
      <c r="H1133" s="21"/>
      <c r="I1133" s="511"/>
    </row>
    <row r="1134" spans="1:9">
      <c r="A1134" s="509"/>
      <c r="B1134" s="510"/>
      <c r="C1134" s="23"/>
      <c r="D1134" s="23"/>
      <c r="E1134" s="23"/>
      <c r="F1134" s="21"/>
      <c r="G1134" s="21"/>
      <c r="H1134" s="21"/>
      <c r="I1134" s="511"/>
    </row>
    <row r="1135" spans="1:9">
      <c r="A1135" s="509"/>
      <c r="B1135" s="510"/>
      <c r="C1135" s="23"/>
      <c r="D1135" s="23"/>
      <c r="E1135" s="23"/>
      <c r="F1135" s="21"/>
      <c r="G1135" s="21"/>
      <c r="H1135" s="21"/>
      <c r="I1135" s="511"/>
    </row>
    <row r="1136" spans="1:9">
      <c r="A1136" s="509"/>
      <c r="B1136" s="510"/>
      <c r="C1136" s="23"/>
      <c r="D1136" s="23"/>
      <c r="E1136" s="23"/>
      <c r="F1136" s="21"/>
      <c r="G1136" s="21"/>
      <c r="H1136" s="21"/>
      <c r="I1136" s="511"/>
    </row>
    <row r="1137" spans="1:9">
      <c r="A1137" s="509"/>
      <c r="B1137" s="510"/>
      <c r="C1137" s="23"/>
      <c r="D1137" s="23"/>
      <c r="E1137" s="23"/>
      <c r="F1137" s="21"/>
      <c r="G1137" s="21"/>
      <c r="H1137" s="21"/>
      <c r="I1137" s="511"/>
    </row>
    <row r="1138" spans="1:9">
      <c r="A1138" s="509"/>
      <c r="B1138" s="510"/>
      <c r="C1138" s="23"/>
      <c r="D1138" s="23"/>
      <c r="E1138" s="23"/>
      <c r="F1138" s="21"/>
      <c r="G1138" s="21"/>
      <c r="H1138" s="21"/>
      <c r="I1138" s="511"/>
    </row>
    <row r="1139" spans="1:9">
      <c r="A1139" s="509"/>
      <c r="B1139" s="510"/>
      <c r="C1139" s="23"/>
      <c r="D1139" s="23"/>
      <c r="E1139" s="23"/>
      <c r="F1139" s="21"/>
      <c r="G1139" s="21"/>
      <c r="H1139" s="21"/>
      <c r="I1139" s="511"/>
    </row>
    <row r="1140" spans="1:9">
      <c r="A1140" s="509"/>
      <c r="B1140" s="510"/>
      <c r="C1140" s="23"/>
      <c r="D1140" s="23"/>
      <c r="E1140" s="23"/>
      <c r="F1140" s="21"/>
      <c r="G1140" s="21"/>
      <c r="H1140" s="21"/>
      <c r="I1140" s="511"/>
    </row>
    <row r="1141" spans="1:9">
      <c r="A1141" s="509"/>
      <c r="B1141" s="510"/>
      <c r="C1141" s="23"/>
      <c r="D1141" s="23"/>
      <c r="E1141" s="23"/>
      <c r="F1141" s="21"/>
      <c r="G1141" s="21"/>
      <c r="H1141" s="21"/>
      <c r="I1141" s="511"/>
    </row>
    <row r="1142" spans="1:9">
      <c r="A1142" s="509"/>
      <c r="B1142" s="510"/>
      <c r="C1142" s="23"/>
      <c r="D1142" s="23"/>
      <c r="E1142" s="23"/>
      <c r="F1142" s="21"/>
      <c r="G1142" s="21"/>
      <c r="H1142" s="21"/>
      <c r="I1142" s="511"/>
    </row>
    <row r="1143" spans="1:9">
      <c r="A1143" s="509"/>
      <c r="B1143" s="510"/>
      <c r="C1143" s="23"/>
      <c r="D1143" s="23"/>
      <c r="E1143" s="23"/>
      <c r="F1143" s="21"/>
      <c r="G1143" s="21"/>
      <c r="H1143" s="21"/>
      <c r="I1143" s="511"/>
    </row>
    <row r="1144" spans="1:9">
      <c r="A1144" s="509"/>
      <c r="B1144" s="510"/>
      <c r="C1144" s="23"/>
      <c r="D1144" s="23"/>
      <c r="E1144" s="23"/>
      <c r="F1144" s="21"/>
      <c r="G1144" s="21"/>
      <c r="H1144" s="21"/>
      <c r="I1144" s="511"/>
    </row>
    <row r="1145" spans="1:9">
      <c r="A1145" s="509"/>
      <c r="B1145" s="510"/>
      <c r="C1145" s="23"/>
      <c r="D1145" s="23"/>
      <c r="E1145" s="23"/>
      <c r="F1145" s="21"/>
      <c r="G1145" s="21"/>
      <c r="H1145" s="21"/>
      <c r="I1145" s="511"/>
    </row>
    <row r="1146" spans="1:9">
      <c r="A1146" s="509"/>
      <c r="B1146" s="510"/>
      <c r="C1146" s="23"/>
      <c r="D1146" s="23"/>
      <c r="E1146" s="23"/>
      <c r="F1146" s="21"/>
      <c r="G1146" s="21"/>
      <c r="H1146" s="21"/>
      <c r="I1146" s="511"/>
    </row>
    <row r="1147" spans="1:9">
      <c r="A1147" s="509"/>
      <c r="B1147" s="510"/>
      <c r="C1147" s="23"/>
      <c r="D1147" s="23"/>
      <c r="E1147" s="23"/>
      <c r="F1147" s="21"/>
      <c r="G1147" s="21"/>
      <c r="H1147" s="21"/>
      <c r="I1147" s="511"/>
    </row>
    <row r="1148" spans="1:9">
      <c r="A1148" s="509"/>
      <c r="B1148" s="510"/>
      <c r="C1148" s="23"/>
      <c r="D1148" s="23"/>
      <c r="E1148" s="23"/>
      <c r="F1148" s="21"/>
      <c r="G1148" s="21"/>
      <c r="H1148" s="21"/>
      <c r="I1148" s="511"/>
    </row>
    <row r="1149" spans="1:9">
      <c r="A1149" s="509"/>
      <c r="B1149" s="510"/>
      <c r="C1149" s="23"/>
      <c r="D1149" s="23"/>
      <c r="E1149" s="23"/>
      <c r="F1149" s="21"/>
      <c r="G1149" s="21"/>
      <c r="H1149" s="21"/>
      <c r="I1149" s="511"/>
    </row>
    <row r="1150" spans="1:9">
      <c r="A1150" s="509"/>
      <c r="B1150" s="510"/>
      <c r="C1150" s="23"/>
      <c r="D1150" s="23"/>
      <c r="E1150" s="23"/>
      <c r="F1150" s="21"/>
      <c r="G1150" s="21"/>
      <c r="H1150" s="21"/>
      <c r="I1150" s="511"/>
    </row>
    <row r="1151" spans="1:9">
      <c r="A1151" s="509"/>
      <c r="B1151" s="510"/>
      <c r="C1151" s="23"/>
      <c r="D1151" s="23"/>
      <c r="E1151" s="23"/>
      <c r="F1151" s="21"/>
      <c r="G1151" s="21"/>
      <c r="H1151" s="21"/>
      <c r="I1151" s="511"/>
    </row>
    <row r="1152" spans="1:9">
      <c r="A1152" s="509"/>
      <c r="B1152" s="510"/>
      <c r="C1152" s="23"/>
      <c r="D1152" s="23"/>
      <c r="E1152" s="23"/>
      <c r="F1152" s="21"/>
      <c r="G1152" s="21"/>
      <c r="H1152" s="21"/>
      <c r="I1152" s="511"/>
    </row>
    <row r="1153" spans="1:9">
      <c r="A1153" s="509"/>
      <c r="B1153" s="510"/>
      <c r="C1153" s="23"/>
      <c r="D1153" s="23"/>
      <c r="E1153" s="23"/>
      <c r="F1153" s="21"/>
      <c r="G1153" s="21"/>
      <c r="H1153" s="21"/>
      <c r="I1153" s="511"/>
    </row>
    <row r="1154" spans="1:9">
      <c r="A1154" s="509"/>
      <c r="B1154" s="510"/>
      <c r="C1154" s="23"/>
      <c r="D1154" s="23"/>
      <c r="E1154" s="23"/>
      <c r="F1154" s="21"/>
      <c r="G1154" s="21"/>
      <c r="H1154" s="21"/>
      <c r="I1154" s="511"/>
    </row>
    <row r="1155" spans="1:9">
      <c r="A1155" s="509"/>
      <c r="B1155" s="510"/>
      <c r="C1155" s="23"/>
      <c r="D1155" s="23"/>
      <c r="E1155" s="23"/>
      <c r="F1155" s="21"/>
      <c r="G1155" s="21"/>
      <c r="H1155" s="21"/>
      <c r="I1155" s="511"/>
    </row>
    <row r="1156" spans="1:9">
      <c r="A1156" s="509"/>
      <c r="B1156" s="510"/>
      <c r="C1156" s="23"/>
      <c r="D1156" s="23"/>
      <c r="E1156" s="23"/>
      <c r="F1156" s="21"/>
      <c r="G1156" s="21"/>
      <c r="H1156" s="21"/>
      <c r="I1156" s="511"/>
    </row>
    <row r="1157" spans="1:9">
      <c r="A1157" s="509"/>
      <c r="B1157" s="510"/>
      <c r="C1157" s="23"/>
      <c r="D1157" s="23"/>
      <c r="E1157" s="23"/>
      <c r="F1157" s="21"/>
      <c r="G1157" s="21"/>
      <c r="H1157" s="21"/>
      <c r="I1157" s="511"/>
    </row>
    <row r="1158" spans="1:9">
      <c r="A1158" s="509"/>
      <c r="B1158" s="510"/>
      <c r="C1158" s="23"/>
      <c r="D1158" s="23"/>
      <c r="E1158" s="23"/>
      <c r="F1158" s="21"/>
      <c r="G1158" s="21"/>
      <c r="H1158" s="21"/>
      <c r="I1158" s="511"/>
    </row>
    <row r="1159" spans="1:9">
      <c r="A1159" s="509"/>
      <c r="B1159" s="510"/>
      <c r="C1159" s="23"/>
      <c r="D1159" s="23"/>
      <c r="E1159" s="23"/>
      <c r="F1159" s="21"/>
      <c r="G1159" s="21"/>
      <c r="H1159" s="21"/>
      <c r="I1159" s="511"/>
    </row>
    <row r="1160" spans="1:9">
      <c r="A1160" s="509"/>
      <c r="B1160" s="510"/>
      <c r="C1160" s="23"/>
      <c r="D1160" s="23"/>
      <c r="E1160" s="23"/>
      <c r="F1160" s="21"/>
      <c r="G1160" s="21"/>
      <c r="H1160" s="21"/>
      <c r="I1160" s="511"/>
    </row>
    <row r="1161" spans="1:9">
      <c r="A1161" s="509"/>
      <c r="B1161" s="510"/>
      <c r="C1161" s="23"/>
      <c r="D1161" s="23"/>
      <c r="E1161" s="23"/>
      <c r="F1161" s="21"/>
      <c r="G1161" s="21"/>
      <c r="H1161" s="21"/>
      <c r="I1161" s="511"/>
    </row>
    <row r="1162" spans="1:9">
      <c r="A1162" s="509"/>
      <c r="B1162" s="510"/>
      <c r="C1162" s="23"/>
      <c r="D1162" s="23"/>
      <c r="E1162" s="23"/>
      <c r="F1162" s="21"/>
      <c r="G1162" s="21"/>
      <c r="H1162" s="21"/>
      <c r="I1162" s="511"/>
    </row>
    <row r="1163" spans="1:9">
      <c r="A1163" s="509"/>
      <c r="B1163" s="510"/>
      <c r="C1163" s="23"/>
      <c r="D1163" s="23"/>
      <c r="E1163" s="23"/>
      <c r="F1163" s="21"/>
      <c r="G1163" s="21"/>
      <c r="H1163" s="21"/>
      <c r="I1163" s="511"/>
    </row>
    <row r="1164" spans="1:9">
      <c r="A1164" s="509"/>
      <c r="B1164" s="510"/>
      <c r="C1164" s="23"/>
      <c r="D1164" s="23"/>
      <c r="E1164" s="23"/>
      <c r="F1164" s="21"/>
      <c r="G1164" s="21"/>
      <c r="H1164" s="21"/>
      <c r="I1164" s="511"/>
    </row>
    <row r="1165" spans="1:9">
      <c r="A1165" s="509"/>
      <c r="B1165" s="510"/>
      <c r="C1165" s="23"/>
      <c r="D1165" s="23"/>
      <c r="E1165" s="23"/>
      <c r="F1165" s="21"/>
      <c r="G1165" s="21"/>
      <c r="H1165" s="21"/>
      <c r="I1165" s="511"/>
    </row>
    <row r="1166" spans="1:9">
      <c r="A1166" s="509"/>
      <c r="B1166" s="510"/>
      <c r="C1166" s="23"/>
      <c r="D1166" s="23"/>
      <c r="E1166" s="23"/>
      <c r="F1166" s="21"/>
      <c r="G1166" s="21"/>
      <c r="H1166" s="21"/>
      <c r="I1166" s="511"/>
    </row>
    <row r="1167" spans="1:9">
      <c r="A1167" s="509"/>
      <c r="B1167" s="510"/>
      <c r="C1167" s="23"/>
      <c r="D1167" s="23"/>
      <c r="E1167" s="23"/>
      <c r="F1167" s="21"/>
      <c r="G1167" s="21"/>
      <c r="H1167" s="21"/>
      <c r="I1167" s="511"/>
    </row>
    <row r="1168" spans="1:9">
      <c r="A1168" s="509"/>
      <c r="B1168" s="510"/>
      <c r="C1168" s="23"/>
      <c r="D1168" s="23"/>
      <c r="E1168" s="23"/>
      <c r="F1168" s="21"/>
      <c r="G1168" s="21"/>
      <c r="H1168" s="21"/>
      <c r="I1168" s="511"/>
    </row>
    <row r="1169" spans="1:9">
      <c r="A1169" s="509"/>
      <c r="B1169" s="510"/>
      <c r="C1169" s="23"/>
      <c r="D1169" s="23"/>
      <c r="E1169" s="23"/>
      <c r="F1169" s="21"/>
      <c r="G1169" s="21"/>
      <c r="H1169" s="21"/>
      <c r="I1169" s="511"/>
    </row>
    <row r="1170" spans="1:9">
      <c r="A1170" s="509"/>
      <c r="B1170" s="510"/>
      <c r="C1170" s="23"/>
      <c r="D1170" s="23"/>
      <c r="E1170" s="23"/>
      <c r="F1170" s="21"/>
      <c r="G1170" s="21"/>
      <c r="H1170" s="21"/>
      <c r="I1170" s="511"/>
    </row>
    <row r="1171" spans="1:9">
      <c r="A1171" s="509"/>
      <c r="B1171" s="510"/>
      <c r="C1171" s="23"/>
      <c r="D1171" s="23"/>
      <c r="E1171" s="23"/>
      <c r="F1171" s="21"/>
      <c r="G1171" s="21"/>
      <c r="H1171" s="21"/>
      <c r="I1171" s="511"/>
    </row>
    <row r="1172" spans="1:9">
      <c r="A1172" s="509"/>
      <c r="B1172" s="510"/>
      <c r="C1172" s="23"/>
      <c r="D1172" s="23"/>
      <c r="E1172" s="23"/>
      <c r="F1172" s="21"/>
      <c r="G1172" s="21"/>
      <c r="H1172" s="21"/>
      <c r="I1172" s="511"/>
    </row>
    <row r="1173" spans="1:9">
      <c r="A1173" s="509"/>
      <c r="B1173" s="510"/>
      <c r="C1173" s="23"/>
      <c r="D1173" s="23"/>
      <c r="E1173" s="23"/>
      <c r="F1173" s="21"/>
      <c r="G1173" s="21"/>
      <c r="H1173" s="21"/>
      <c r="I1173" s="511"/>
    </row>
    <row r="1174" spans="1:9">
      <c r="A1174" s="509"/>
      <c r="B1174" s="510"/>
      <c r="C1174" s="23"/>
      <c r="D1174" s="23"/>
      <c r="E1174" s="23"/>
      <c r="F1174" s="21"/>
      <c r="G1174" s="21"/>
      <c r="H1174" s="21"/>
      <c r="I1174" s="511"/>
    </row>
    <row r="1175" spans="1:9">
      <c r="A1175" s="509"/>
      <c r="B1175" s="510"/>
      <c r="C1175" s="23"/>
      <c r="D1175" s="23"/>
      <c r="E1175" s="23"/>
      <c r="F1175" s="21"/>
      <c r="G1175" s="21"/>
      <c r="H1175" s="21"/>
      <c r="I1175" s="511"/>
    </row>
    <row r="1176" spans="1:9">
      <c r="A1176" s="509"/>
      <c r="B1176" s="510"/>
      <c r="C1176" s="23"/>
      <c r="D1176" s="23"/>
      <c r="E1176" s="23"/>
      <c r="F1176" s="21"/>
      <c r="G1176" s="21"/>
      <c r="H1176" s="21"/>
      <c r="I1176" s="511"/>
    </row>
    <row r="1177" spans="1:9">
      <c r="A1177" s="509"/>
      <c r="B1177" s="510"/>
      <c r="C1177" s="23"/>
      <c r="D1177" s="23"/>
      <c r="E1177" s="23"/>
      <c r="F1177" s="21"/>
      <c r="G1177" s="21"/>
      <c r="H1177" s="21"/>
      <c r="I1177" s="511"/>
    </row>
    <row r="1178" spans="1:9">
      <c r="A1178" s="509"/>
      <c r="B1178" s="510"/>
      <c r="C1178" s="23"/>
      <c r="D1178" s="23"/>
      <c r="E1178" s="23"/>
      <c r="F1178" s="21"/>
      <c r="G1178" s="21"/>
      <c r="H1178" s="21"/>
      <c r="I1178" s="511"/>
    </row>
    <row r="1179" spans="1:9">
      <c r="A1179" s="509"/>
      <c r="B1179" s="510"/>
      <c r="C1179" s="23"/>
      <c r="D1179" s="23"/>
      <c r="E1179" s="23"/>
      <c r="F1179" s="21"/>
      <c r="G1179" s="21"/>
      <c r="H1179" s="21"/>
      <c r="I1179" s="511"/>
    </row>
    <row r="1180" spans="1:9">
      <c r="A1180" s="509"/>
      <c r="B1180" s="510"/>
      <c r="C1180" s="23"/>
      <c r="D1180" s="23"/>
      <c r="E1180" s="23"/>
      <c r="F1180" s="21"/>
      <c r="G1180" s="21"/>
      <c r="H1180" s="21"/>
      <c r="I1180" s="511"/>
    </row>
    <row r="1181" spans="1:9">
      <c r="A1181" s="509"/>
      <c r="B1181" s="510"/>
      <c r="C1181" s="23"/>
      <c r="D1181" s="23"/>
      <c r="E1181" s="23"/>
      <c r="F1181" s="21"/>
      <c r="G1181" s="21"/>
      <c r="H1181" s="21"/>
      <c r="I1181" s="511"/>
    </row>
    <row r="1182" spans="1:9">
      <c r="A1182" s="509"/>
      <c r="B1182" s="510"/>
      <c r="C1182" s="23"/>
      <c r="D1182" s="23"/>
      <c r="E1182" s="23"/>
      <c r="F1182" s="21"/>
      <c r="G1182" s="21"/>
      <c r="H1182" s="21"/>
      <c r="I1182" s="511"/>
    </row>
    <row r="1183" spans="1:9">
      <c r="A1183" s="509"/>
      <c r="B1183" s="510"/>
      <c r="C1183" s="23"/>
      <c r="D1183" s="23"/>
      <c r="E1183" s="23"/>
      <c r="F1183" s="21"/>
      <c r="G1183" s="21"/>
      <c r="H1183" s="21"/>
      <c r="I1183" s="511"/>
    </row>
    <row r="1184" spans="1:9">
      <c r="A1184" s="509"/>
      <c r="B1184" s="510"/>
      <c r="C1184" s="23"/>
      <c r="D1184" s="23"/>
      <c r="E1184" s="23"/>
      <c r="F1184" s="21"/>
      <c r="G1184" s="21"/>
      <c r="H1184" s="21"/>
      <c r="I1184" s="511"/>
    </row>
    <row r="1185" spans="1:9">
      <c r="A1185" s="509"/>
      <c r="B1185" s="510"/>
      <c r="C1185" s="23"/>
      <c r="D1185" s="23"/>
      <c r="E1185" s="23"/>
      <c r="F1185" s="21"/>
      <c r="G1185" s="21"/>
      <c r="H1185" s="21"/>
      <c r="I1185" s="511"/>
    </row>
    <row r="1186" spans="1:9">
      <c r="A1186" s="509"/>
      <c r="B1186" s="510"/>
      <c r="C1186" s="23"/>
      <c r="D1186" s="23"/>
      <c r="E1186" s="23"/>
      <c r="F1186" s="21"/>
      <c r="G1186" s="21"/>
      <c r="H1186" s="21"/>
      <c r="I1186" s="511"/>
    </row>
    <row r="1187" spans="1:9">
      <c r="A1187" s="509"/>
      <c r="B1187" s="510"/>
      <c r="C1187" s="23"/>
      <c r="D1187" s="23"/>
      <c r="E1187" s="23"/>
      <c r="F1187" s="21"/>
      <c r="G1187" s="21"/>
      <c r="H1187" s="21"/>
      <c r="I1187" s="511"/>
    </row>
    <row r="1188" spans="1:9">
      <c r="A1188" s="509"/>
      <c r="B1188" s="510"/>
      <c r="C1188" s="23"/>
      <c r="D1188" s="23"/>
      <c r="E1188" s="23"/>
      <c r="F1188" s="21"/>
      <c r="G1188" s="21"/>
      <c r="H1188" s="21"/>
      <c r="I1188" s="511"/>
    </row>
    <row r="1189" spans="1:9">
      <c r="A1189" s="509"/>
      <c r="B1189" s="510"/>
      <c r="C1189" s="23"/>
      <c r="D1189" s="23"/>
      <c r="E1189" s="23"/>
      <c r="F1189" s="21"/>
      <c r="G1189" s="21"/>
      <c r="H1189" s="21"/>
      <c r="I1189" s="511"/>
    </row>
    <row r="1190" spans="1:9">
      <c r="A1190" s="509"/>
      <c r="B1190" s="510"/>
      <c r="C1190" s="23"/>
      <c r="D1190" s="23"/>
      <c r="E1190" s="23"/>
      <c r="F1190" s="21"/>
      <c r="G1190" s="21"/>
      <c r="H1190" s="21"/>
      <c r="I1190" s="511"/>
    </row>
    <row r="1191" spans="1:9">
      <c r="A1191" s="509"/>
      <c r="B1191" s="510"/>
      <c r="C1191" s="23"/>
      <c r="D1191" s="23"/>
      <c r="E1191" s="23"/>
      <c r="F1191" s="21"/>
      <c r="G1191" s="21"/>
      <c r="H1191" s="21"/>
      <c r="I1191" s="511"/>
    </row>
    <row r="1192" spans="1:9">
      <c r="A1192" s="509"/>
      <c r="B1192" s="510"/>
      <c r="C1192" s="23"/>
      <c r="D1192" s="23"/>
      <c r="E1192" s="23"/>
      <c r="F1192" s="21"/>
      <c r="G1192" s="21"/>
      <c r="H1192" s="21"/>
      <c r="I1192" s="511"/>
    </row>
    <row r="1193" spans="1:9">
      <c r="A1193" s="509"/>
      <c r="B1193" s="510"/>
      <c r="C1193" s="23"/>
      <c r="D1193" s="23"/>
      <c r="E1193" s="23"/>
      <c r="F1193" s="21"/>
      <c r="G1193" s="21"/>
      <c r="H1193" s="21"/>
      <c r="I1193" s="511"/>
    </row>
    <row r="1194" spans="1:9">
      <c r="A1194" s="509"/>
      <c r="B1194" s="510"/>
      <c r="C1194" s="23"/>
      <c r="D1194" s="23"/>
      <c r="E1194" s="23"/>
      <c r="F1194" s="21"/>
      <c r="G1194" s="21"/>
      <c r="H1194" s="21"/>
      <c r="I1194" s="511"/>
    </row>
    <row r="1195" spans="1:9">
      <c r="A1195" s="509"/>
      <c r="B1195" s="510"/>
      <c r="C1195" s="23"/>
      <c r="D1195" s="23"/>
      <c r="E1195" s="23"/>
      <c r="F1195" s="21"/>
      <c r="G1195" s="21"/>
      <c r="H1195" s="21"/>
      <c r="I1195" s="511"/>
    </row>
    <row r="1196" spans="1:9">
      <c r="A1196" s="509"/>
      <c r="B1196" s="510"/>
      <c r="C1196" s="23"/>
      <c r="D1196" s="23"/>
      <c r="E1196" s="23"/>
      <c r="F1196" s="21"/>
      <c r="G1196" s="21"/>
      <c r="H1196" s="21"/>
      <c r="I1196" s="511"/>
    </row>
    <row r="1197" spans="1:9">
      <c r="A1197" s="509"/>
      <c r="B1197" s="510"/>
      <c r="C1197" s="23"/>
      <c r="D1197" s="23"/>
      <c r="E1197" s="23"/>
      <c r="F1197" s="21"/>
      <c r="G1197" s="21"/>
      <c r="H1197" s="21"/>
      <c r="I1197" s="511"/>
    </row>
    <row r="1198" spans="1:9">
      <c r="A1198" s="509"/>
      <c r="B1198" s="510"/>
      <c r="C1198" s="23"/>
      <c r="D1198" s="23"/>
      <c r="E1198" s="23"/>
      <c r="F1198" s="21"/>
      <c r="G1198" s="21"/>
      <c r="H1198" s="21"/>
      <c r="I1198" s="511"/>
    </row>
    <row r="1199" spans="1:9">
      <c r="A1199" s="509"/>
      <c r="B1199" s="510"/>
      <c r="C1199" s="23"/>
      <c r="D1199" s="23"/>
      <c r="E1199" s="23"/>
      <c r="F1199" s="21"/>
      <c r="G1199" s="21"/>
      <c r="H1199" s="21"/>
      <c r="I1199" s="511"/>
    </row>
    <row r="1200" spans="1:9">
      <c r="A1200" s="509"/>
      <c r="B1200" s="510"/>
      <c r="C1200" s="23"/>
      <c r="D1200" s="23"/>
      <c r="E1200" s="23"/>
      <c r="F1200" s="21"/>
      <c r="G1200" s="21"/>
      <c r="H1200" s="21"/>
      <c r="I1200" s="511"/>
    </row>
    <row r="1201" spans="1:9">
      <c r="A1201" s="509"/>
      <c r="B1201" s="510"/>
      <c r="C1201" s="23"/>
      <c r="D1201" s="23"/>
      <c r="E1201" s="23"/>
      <c r="F1201" s="21"/>
      <c r="G1201" s="21"/>
      <c r="H1201" s="21"/>
      <c r="I1201" s="511"/>
    </row>
    <row r="1202" spans="1:9">
      <c r="A1202" s="509"/>
      <c r="B1202" s="510"/>
      <c r="C1202" s="23"/>
      <c r="D1202" s="23"/>
      <c r="E1202" s="23"/>
      <c r="F1202" s="21"/>
      <c r="G1202" s="21"/>
      <c r="H1202" s="21"/>
      <c r="I1202" s="511"/>
    </row>
    <row r="1203" spans="1:9">
      <c r="A1203" s="509"/>
      <c r="B1203" s="510"/>
      <c r="C1203" s="23"/>
      <c r="D1203" s="23"/>
      <c r="E1203" s="23"/>
      <c r="F1203" s="21"/>
      <c r="G1203" s="21"/>
      <c r="H1203" s="21"/>
      <c r="I1203" s="511"/>
    </row>
    <row r="1204" spans="1:9">
      <c r="A1204" s="509"/>
      <c r="B1204" s="510"/>
      <c r="C1204" s="23"/>
      <c r="D1204" s="23"/>
      <c r="E1204" s="23"/>
      <c r="F1204" s="21"/>
      <c r="G1204" s="21"/>
      <c r="H1204" s="21"/>
      <c r="I1204" s="511"/>
    </row>
    <row r="1205" spans="1:9">
      <c r="A1205" s="509"/>
      <c r="B1205" s="510"/>
      <c r="C1205" s="23"/>
      <c r="D1205" s="23"/>
      <c r="E1205" s="23"/>
      <c r="F1205" s="21"/>
      <c r="G1205" s="21"/>
      <c r="H1205" s="21"/>
      <c r="I1205" s="511"/>
    </row>
    <row r="1206" spans="1:9">
      <c r="A1206" s="509"/>
      <c r="B1206" s="510"/>
      <c r="C1206" s="23"/>
      <c r="D1206" s="23"/>
      <c r="E1206" s="23"/>
      <c r="F1206" s="21"/>
      <c r="G1206" s="21"/>
      <c r="H1206" s="21"/>
      <c r="I1206" s="511"/>
    </row>
    <row r="1207" spans="1:9">
      <c r="A1207" s="509"/>
      <c r="B1207" s="510"/>
      <c r="C1207" s="23"/>
      <c r="D1207" s="23"/>
      <c r="E1207" s="23"/>
      <c r="F1207" s="21"/>
      <c r="G1207" s="21"/>
      <c r="H1207" s="21"/>
      <c r="I1207" s="511"/>
    </row>
    <row r="1208" spans="1:9">
      <c r="A1208" s="509"/>
      <c r="B1208" s="510"/>
      <c r="C1208" s="23"/>
      <c r="D1208" s="23"/>
      <c r="E1208" s="23"/>
      <c r="F1208" s="21"/>
      <c r="G1208" s="21"/>
      <c r="H1208" s="21"/>
      <c r="I1208" s="511"/>
    </row>
    <row r="1209" spans="1:9">
      <c r="A1209" s="509"/>
      <c r="B1209" s="510"/>
      <c r="C1209" s="23"/>
      <c r="D1209" s="23"/>
      <c r="E1209" s="23"/>
      <c r="F1209" s="21"/>
      <c r="G1209" s="21"/>
      <c r="H1209" s="21"/>
      <c r="I1209" s="511"/>
    </row>
    <row r="1210" spans="1:9">
      <c r="A1210" s="509"/>
      <c r="B1210" s="510"/>
      <c r="C1210" s="23"/>
      <c r="D1210" s="23"/>
      <c r="E1210" s="23"/>
      <c r="F1210" s="21"/>
      <c r="G1210" s="21"/>
      <c r="H1210" s="21"/>
      <c r="I1210" s="511"/>
    </row>
    <row r="1211" spans="1:9">
      <c r="A1211" s="509"/>
      <c r="B1211" s="510"/>
      <c r="C1211" s="23"/>
      <c r="D1211" s="23"/>
      <c r="E1211" s="23"/>
      <c r="F1211" s="21"/>
      <c r="G1211" s="21"/>
      <c r="H1211" s="21"/>
      <c r="I1211" s="511"/>
    </row>
    <row r="1212" spans="1:9">
      <c r="A1212" s="509"/>
      <c r="B1212" s="510"/>
      <c r="C1212" s="23"/>
      <c r="D1212" s="23"/>
      <c r="E1212" s="23"/>
      <c r="F1212" s="21"/>
      <c r="G1212" s="21"/>
      <c r="H1212" s="21"/>
      <c r="I1212" s="511"/>
    </row>
    <row r="1213" spans="1:9">
      <c r="A1213" s="509"/>
      <c r="B1213" s="510"/>
      <c r="C1213" s="23"/>
      <c r="D1213" s="23"/>
      <c r="E1213" s="23"/>
      <c r="F1213" s="21"/>
      <c r="G1213" s="21"/>
      <c r="H1213" s="21"/>
      <c r="I1213" s="511"/>
    </row>
    <row r="1214" spans="1:9">
      <c r="A1214" s="509"/>
      <c r="B1214" s="510"/>
      <c r="C1214" s="23"/>
      <c r="D1214" s="23"/>
      <c r="E1214" s="23"/>
      <c r="F1214" s="21"/>
      <c r="G1214" s="21"/>
      <c r="H1214" s="21"/>
      <c r="I1214" s="511"/>
    </row>
    <row r="1215" spans="1:9">
      <c r="A1215" s="509"/>
      <c r="B1215" s="510"/>
      <c r="C1215" s="23"/>
      <c r="D1215" s="23"/>
      <c r="E1215" s="23"/>
      <c r="F1215" s="21"/>
      <c r="G1215" s="21"/>
      <c r="H1215" s="21"/>
      <c r="I1215" s="511"/>
    </row>
    <row r="1216" spans="1:9">
      <c r="A1216" s="509"/>
      <c r="B1216" s="510"/>
      <c r="C1216" s="23"/>
      <c r="D1216" s="23"/>
      <c r="E1216" s="23"/>
      <c r="F1216" s="21"/>
      <c r="G1216" s="21"/>
      <c r="H1216" s="21"/>
      <c r="I1216" s="511"/>
    </row>
    <row r="1217" spans="1:9">
      <c r="A1217" s="509"/>
      <c r="B1217" s="510"/>
      <c r="C1217" s="23"/>
      <c r="D1217" s="23"/>
      <c r="E1217" s="23"/>
      <c r="F1217" s="21"/>
      <c r="G1217" s="21"/>
      <c r="H1217" s="21"/>
      <c r="I1217" s="511"/>
    </row>
    <row r="1218" spans="1:9">
      <c r="A1218" s="509"/>
      <c r="B1218" s="510"/>
      <c r="C1218" s="23"/>
      <c r="D1218" s="23"/>
      <c r="E1218" s="23"/>
      <c r="F1218" s="21"/>
      <c r="G1218" s="21"/>
      <c r="H1218" s="21"/>
      <c r="I1218" s="511"/>
    </row>
    <row r="1219" spans="1:9">
      <c r="A1219" s="509"/>
      <c r="B1219" s="510"/>
      <c r="C1219" s="23"/>
      <c r="D1219" s="23"/>
      <c r="E1219" s="23"/>
      <c r="F1219" s="21"/>
      <c r="G1219" s="21"/>
      <c r="H1219" s="21"/>
      <c r="I1219" s="511"/>
    </row>
    <row r="1220" spans="1:9">
      <c r="A1220" s="509"/>
      <c r="B1220" s="510"/>
      <c r="C1220" s="23"/>
      <c r="D1220" s="23"/>
      <c r="E1220" s="23"/>
      <c r="F1220" s="21"/>
      <c r="G1220" s="21"/>
      <c r="H1220" s="21"/>
      <c r="I1220" s="511"/>
    </row>
    <row r="1221" spans="1:9">
      <c r="A1221" s="509"/>
      <c r="B1221" s="510"/>
      <c r="C1221" s="23"/>
      <c r="D1221" s="23"/>
      <c r="E1221" s="23"/>
      <c r="F1221" s="21"/>
      <c r="G1221" s="21"/>
      <c r="H1221" s="21"/>
      <c r="I1221" s="511"/>
    </row>
    <row r="1222" spans="1:9">
      <c r="A1222" s="509"/>
      <c r="B1222" s="510"/>
      <c r="C1222" s="23"/>
      <c r="D1222" s="23"/>
      <c r="E1222" s="23"/>
      <c r="F1222" s="21"/>
      <c r="G1222" s="21"/>
      <c r="H1222" s="21"/>
      <c r="I1222" s="511"/>
    </row>
    <row r="1223" spans="1:9">
      <c r="A1223" s="509"/>
      <c r="B1223" s="510"/>
      <c r="C1223" s="23"/>
      <c r="D1223" s="23"/>
      <c r="E1223" s="23"/>
      <c r="F1223" s="21"/>
      <c r="G1223" s="21"/>
      <c r="H1223" s="21"/>
      <c r="I1223" s="511"/>
    </row>
    <row r="1224" spans="1:9">
      <c r="A1224" s="509"/>
      <c r="B1224" s="510"/>
      <c r="C1224" s="23"/>
      <c r="D1224" s="23"/>
      <c r="E1224" s="23"/>
      <c r="F1224" s="21"/>
      <c r="G1224" s="21"/>
      <c r="H1224" s="21"/>
      <c r="I1224" s="511"/>
    </row>
    <row r="1225" spans="1:9">
      <c r="A1225" s="509"/>
      <c r="B1225" s="510"/>
      <c r="C1225" s="23"/>
      <c r="D1225" s="23"/>
      <c r="E1225" s="23"/>
      <c r="F1225" s="21"/>
      <c r="G1225" s="21"/>
      <c r="H1225" s="21"/>
      <c r="I1225" s="511"/>
    </row>
    <row r="1226" spans="1:9">
      <c r="A1226" s="509"/>
      <c r="B1226" s="510"/>
      <c r="C1226" s="23"/>
      <c r="D1226" s="23"/>
      <c r="E1226" s="23"/>
      <c r="F1226" s="21"/>
      <c r="G1226" s="21"/>
      <c r="H1226" s="21"/>
      <c r="I1226" s="511"/>
    </row>
    <row r="1227" spans="1:9">
      <c r="A1227" s="509"/>
      <c r="B1227" s="510"/>
      <c r="C1227" s="23"/>
      <c r="D1227" s="23"/>
      <c r="E1227" s="23"/>
      <c r="F1227" s="21"/>
      <c r="G1227" s="21"/>
      <c r="H1227" s="21"/>
      <c r="I1227" s="511"/>
    </row>
    <row r="1228" spans="1:9">
      <c r="A1228" s="509"/>
      <c r="B1228" s="510"/>
      <c r="C1228" s="23"/>
      <c r="D1228" s="23"/>
      <c r="E1228" s="23"/>
      <c r="F1228" s="21"/>
      <c r="G1228" s="21"/>
      <c r="H1228" s="21"/>
      <c r="I1228" s="511"/>
    </row>
    <row r="1229" spans="1:9">
      <c r="A1229" s="509"/>
      <c r="B1229" s="510"/>
      <c r="C1229" s="23"/>
      <c r="D1229" s="23"/>
      <c r="E1229" s="23"/>
      <c r="F1229" s="21"/>
      <c r="G1229" s="21"/>
      <c r="H1229" s="21"/>
      <c r="I1229" s="511"/>
    </row>
    <row r="1230" spans="1:9">
      <c r="A1230" s="509"/>
      <c r="B1230" s="510"/>
      <c r="C1230" s="23"/>
      <c r="D1230" s="23"/>
      <c r="E1230" s="23"/>
      <c r="F1230" s="21"/>
      <c r="G1230" s="21"/>
      <c r="H1230" s="21"/>
      <c r="I1230" s="511"/>
    </row>
    <row r="1231" spans="1:9">
      <c r="A1231" s="509"/>
      <c r="B1231" s="510"/>
      <c r="C1231" s="23"/>
      <c r="D1231" s="23"/>
      <c r="E1231" s="23"/>
      <c r="F1231" s="21"/>
      <c r="G1231" s="21"/>
      <c r="H1231" s="21"/>
      <c r="I1231" s="511"/>
    </row>
    <row r="1232" spans="1:9">
      <c r="A1232" s="509"/>
      <c r="B1232" s="510"/>
      <c r="C1232" s="23"/>
      <c r="D1232" s="23"/>
      <c r="E1232" s="23"/>
      <c r="F1232" s="21"/>
      <c r="G1232" s="21"/>
      <c r="H1232" s="21"/>
      <c r="I1232" s="511"/>
    </row>
    <row r="1233" spans="1:9">
      <c r="A1233" s="509"/>
      <c r="B1233" s="510"/>
      <c r="C1233" s="23"/>
      <c r="D1233" s="23"/>
      <c r="E1233" s="23"/>
      <c r="F1233" s="21"/>
      <c r="G1233" s="21"/>
      <c r="H1233" s="21"/>
      <c r="I1233" s="511"/>
    </row>
    <row r="1234" spans="1:9">
      <c r="A1234" s="509"/>
      <c r="B1234" s="510"/>
      <c r="C1234" s="23"/>
      <c r="D1234" s="23"/>
      <c r="E1234" s="23"/>
      <c r="F1234" s="21"/>
      <c r="G1234" s="21"/>
      <c r="H1234" s="21"/>
      <c r="I1234" s="511"/>
    </row>
    <row r="1235" spans="1:9">
      <c r="A1235" s="509"/>
      <c r="B1235" s="510"/>
      <c r="C1235" s="23"/>
      <c r="D1235" s="23"/>
      <c r="E1235" s="23"/>
      <c r="F1235" s="21"/>
      <c r="G1235" s="21"/>
      <c r="H1235" s="21"/>
      <c r="I1235" s="511"/>
    </row>
    <row r="1236" spans="1:9">
      <c r="A1236" s="509"/>
      <c r="B1236" s="510"/>
      <c r="C1236" s="23"/>
      <c r="D1236" s="23"/>
      <c r="E1236" s="23"/>
      <c r="F1236" s="21"/>
      <c r="G1236" s="21"/>
      <c r="H1236" s="21"/>
      <c r="I1236" s="511"/>
    </row>
    <row r="1237" spans="1:9">
      <c r="A1237" s="509"/>
      <c r="B1237" s="510"/>
      <c r="C1237" s="23"/>
      <c r="D1237" s="23"/>
      <c r="E1237" s="23"/>
      <c r="F1237" s="21"/>
      <c r="G1237" s="21"/>
      <c r="H1237" s="21"/>
      <c r="I1237" s="511"/>
    </row>
    <row r="1238" spans="1:9">
      <c r="A1238" s="509"/>
      <c r="B1238" s="510"/>
      <c r="C1238" s="23"/>
      <c r="D1238" s="23"/>
      <c r="E1238" s="23"/>
      <c r="F1238" s="21"/>
      <c r="G1238" s="21"/>
      <c r="H1238" s="21"/>
      <c r="I1238" s="511"/>
    </row>
    <row r="1239" spans="1:9">
      <c r="A1239" s="509"/>
      <c r="B1239" s="510"/>
      <c r="C1239" s="23"/>
      <c r="D1239" s="23"/>
      <c r="E1239" s="23"/>
      <c r="F1239" s="21"/>
      <c r="G1239" s="21"/>
      <c r="H1239" s="21"/>
      <c r="I1239" s="511"/>
    </row>
    <row r="1240" spans="1:9">
      <c r="A1240" s="509"/>
      <c r="B1240" s="510"/>
      <c r="C1240" s="23"/>
      <c r="D1240" s="23"/>
      <c r="E1240" s="23"/>
      <c r="F1240" s="21"/>
      <c r="G1240" s="21"/>
      <c r="H1240" s="21"/>
      <c r="I1240" s="511"/>
    </row>
    <row r="1241" spans="1:9">
      <c r="A1241" s="509"/>
      <c r="B1241" s="510"/>
      <c r="C1241" s="23"/>
      <c r="D1241" s="23"/>
      <c r="E1241" s="23"/>
      <c r="F1241" s="21"/>
      <c r="G1241" s="21"/>
      <c r="H1241" s="21"/>
      <c r="I1241" s="511"/>
    </row>
    <row r="1242" spans="1:9">
      <c r="A1242" s="509"/>
      <c r="B1242" s="510"/>
      <c r="C1242" s="23"/>
      <c r="D1242" s="23"/>
      <c r="E1242" s="23"/>
      <c r="F1242" s="21"/>
      <c r="G1242" s="21"/>
      <c r="H1242" s="21"/>
      <c r="I1242" s="511"/>
    </row>
    <row r="1243" spans="1:9">
      <c r="A1243" s="509"/>
      <c r="B1243" s="510"/>
      <c r="C1243" s="23"/>
      <c r="D1243" s="23"/>
      <c r="E1243" s="23"/>
      <c r="F1243" s="21"/>
      <c r="G1243" s="21"/>
      <c r="H1243" s="21"/>
      <c r="I1243" s="511"/>
    </row>
    <row r="1244" spans="1:9">
      <c r="A1244" s="509"/>
      <c r="B1244" s="510"/>
      <c r="C1244" s="23"/>
      <c r="D1244" s="23"/>
      <c r="E1244" s="23"/>
      <c r="F1244" s="21"/>
      <c r="G1244" s="21"/>
      <c r="H1244" s="21"/>
      <c r="I1244" s="511"/>
    </row>
    <row r="1245" spans="1:9">
      <c r="A1245" s="509"/>
      <c r="B1245" s="510"/>
      <c r="C1245" s="23"/>
      <c r="D1245" s="23"/>
      <c r="E1245" s="23"/>
      <c r="F1245" s="21"/>
      <c r="G1245" s="21"/>
      <c r="H1245" s="21"/>
      <c r="I1245" s="511"/>
    </row>
    <row r="1246" spans="1:9">
      <c r="A1246" s="509"/>
      <c r="B1246" s="510"/>
      <c r="C1246" s="23"/>
      <c r="D1246" s="23"/>
      <c r="E1246" s="23"/>
      <c r="F1246" s="21"/>
      <c r="G1246" s="21"/>
      <c r="H1246" s="21"/>
      <c r="I1246" s="511"/>
    </row>
    <row r="1247" spans="1:9">
      <c r="A1247" s="509"/>
      <c r="B1247" s="510"/>
      <c r="C1247" s="23"/>
      <c r="D1247" s="23"/>
      <c r="E1247" s="23"/>
      <c r="F1247" s="21"/>
      <c r="G1247" s="21"/>
      <c r="H1247" s="21"/>
      <c r="I1247" s="511"/>
    </row>
    <row r="1248" spans="1:9">
      <c r="A1248" s="509"/>
      <c r="B1248" s="510"/>
      <c r="C1248" s="23"/>
      <c r="D1248" s="23"/>
      <c r="E1248" s="23"/>
      <c r="F1248" s="21"/>
      <c r="G1248" s="21"/>
      <c r="H1248" s="21"/>
      <c r="I1248" s="511"/>
    </row>
    <row r="1249" spans="1:9">
      <c r="A1249" s="509"/>
      <c r="B1249" s="510"/>
      <c r="C1249" s="23"/>
      <c r="D1249" s="23"/>
      <c r="E1249" s="23"/>
      <c r="F1249" s="21"/>
      <c r="G1249" s="21"/>
      <c r="H1249" s="21"/>
      <c r="I1249" s="511"/>
    </row>
    <row r="1250" spans="1:9">
      <c r="A1250" s="509"/>
      <c r="B1250" s="510"/>
      <c r="C1250" s="23"/>
      <c r="D1250" s="23"/>
      <c r="E1250" s="23"/>
      <c r="F1250" s="21"/>
      <c r="G1250" s="21"/>
      <c r="H1250" s="21"/>
      <c r="I1250" s="511"/>
    </row>
    <row r="1251" spans="1:9">
      <c r="A1251" s="509"/>
      <c r="B1251" s="510"/>
      <c r="C1251" s="23"/>
      <c r="D1251" s="23"/>
      <c r="E1251" s="23"/>
      <c r="F1251" s="21"/>
      <c r="G1251" s="21"/>
      <c r="H1251" s="21"/>
      <c r="I1251" s="511"/>
    </row>
    <row r="1252" spans="1:9">
      <c r="A1252" s="509"/>
      <c r="B1252" s="510"/>
      <c r="C1252" s="23"/>
      <c r="D1252" s="23"/>
      <c r="E1252" s="23"/>
      <c r="F1252" s="21"/>
      <c r="G1252" s="21"/>
      <c r="H1252" s="21"/>
      <c r="I1252" s="511"/>
    </row>
    <row r="1253" spans="1:9">
      <c r="A1253" s="509"/>
      <c r="B1253" s="510"/>
      <c r="C1253" s="23"/>
      <c r="D1253" s="23"/>
      <c r="E1253" s="23"/>
      <c r="F1253" s="21"/>
      <c r="G1253" s="21"/>
      <c r="H1253" s="21"/>
      <c r="I1253" s="511"/>
    </row>
    <row r="1254" spans="1:9">
      <c r="A1254" s="509"/>
      <c r="B1254" s="510"/>
      <c r="C1254" s="23"/>
      <c r="D1254" s="23"/>
      <c r="E1254" s="23"/>
      <c r="F1254" s="21"/>
      <c r="G1254" s="21"/>
      <c r="H1254" s="21"/>
      <c r="I1254" s="511"/>
    </row>
    <row r="1255" spans="1:9">
      <c r="A1255" s="509"/>
      <c r="B1255" s="510"/>
      <c r="C1255" s="23"/>
      <c r="D1255" s="23"/>
      <c r="E1255" s="23"/>
      <c r="F1255" s="21"/>
      <c r="G1255" s="21"/>
      <c r="H1255" s="21"/>
      <c r="I1255" s="511"/>
    </row>
    <row r="1256" spans="1:9">
      <c r="A1256" s="509"/>
      <c r="B1256" s="510"/>
      <c r="C1256" s="23"/>
      <c r="D1256" s="23"/>
      <c r="E1256" s="23"/>
      <c r="F1256" s="21"/>
      <c r="G1256" s="21"/>
      <c r="H1256" s="21"/>
      <c r="I1256" s="511"/>
    </row>
    <row r="1257" spans="1:9">
      <c r="A1257" s="509"/>
      <c r="B1257" s="510"/>
      <c r="C1257" s="23"/>
      <c r="D1257" s="23"/>
      <c r="E1257" s="23"/>
      <c r="F1257" s="21"/>
      <c r="G1257" s="21"/>
      <c r="H1257" s="21"/>
      <c r="I1257" s="511"/>
    </row>
    <row r="1258" spans="1:9">
      <c r="A1258" s="509"/>
      <c r="B1258" s="510"/>
      <c r="C1258" s="23"/>
      <c r="D1258" s="23"/>
      <c r="E1258" s="23"/>
      <c r="F1258" s="21"/>
      <c r="G1258" s="21"/>
      <c r="H1258" s="21"/>
      <c r="I1258" s="511"/>
    </row>
    <row r="1259" spans="1:9">
      <c r="A1259" s="509"/>
      <c r="B1259" s="510"/>
      <c r="C1259" s="23"/>
      <c r="D1259" s="23"/>
      <c r="E1259" s="23"/>
      <c r="F1259" s="21"/>
      <c r="G1259" s="21"/>
      <c r="H1259" s="21"/>
      <c r="I1259" s="511"/>
    </row>
    <row r="1260" spans="1:9">
      <c r="A1260" s="509"/>
      <c r="B1260" s="510"/>
      <c r="C1260" s="23"/>
      <c r="D1260" s="23"/>
      <c r="E1260" s="23"/>
      <c r="F1260" s="21"/>
      <c r="G1260" s="21"/>
      <c r="H1260" s="21"/>
      <c r="I1260" s="511"/>
    </row>
    <row r="1261" spans="1:9">
      <c r="A1261" s="509"/>
      <c r="B1261" s="510"/>
      <c r="C1261" s="23"/>
      <c r="D1261" s="23"/>
      <c r="E1261" s="23"/>
      <c r="F1261" s="21"/>
      <c r="G1261" s="21"/>
      <c r="H1261" s="21"/>
      <c r="I1261" s="511"/>
    </row>
    <row r="1262" spans="1:9">
      <c r="A1262" s="509"/>
      <c r="B1262" s="510"/>
      <c r="C1262" s="23"/>
      <c r="D1262" s="23"/>
      <c r="E1262" s="23"/>
      <c r="F1262" s="21"/>
      <c r="G1262" s="21"/>
      <c r="H1262" s="21"/>
      <c r="I1262" s="511"/>
    </row>
    <row r="1263" spans="1:9">
      <c r="A1263" s="509"/>
      <c r="B1263" s="510"/>
      <c r="C1263" s="23"/>
      <c r="D1263" s="23"/>
      <c r="E1263" s="23"/>
      <c r="F1263" s="21"/>
      <c r="G1263" s="21"/>
      <c r="H1263" s="21"/>
      <c r="I1263" s="511"/>
    </row>
    <row r="1264" spans="1:9">
      <c r="A1264" s="509"/>
      <c r="B1264" s="510"/>
      <c r="C1264" s="23"/>
      <c r="D1264" s="23"/>
      <c r="E1264" s="23"/>
      <c r="F1264" s="21"/>
      <c r="G1264" s="21"/>
      <c r="H1264" s="21"/>
      <c r="I1264" s="511"/>
    </row>
    <row r="1265" spans="1:9">
      <c r="A1265" s="509"/>
      <c r="B1265" s="510"/>
      <c r="C1265" s="23"/>
      <c r="D1265" s="23"/>
      <c r="E1265" s="23"/>
      <c r="F1265" s="21"/>
      <c r="G1265" s="21"/>
      <c r="H1265" s="21"/>
      <c r="I1265" s="511"/>
    </row>
    <row r="1266" spans="1:9">
      <c r="A1266" s="509"/>
      <c r="B1266" s="510"/>
      <c r="C1266" s="23"/>
      <c r="D1266" s="23"/>
      <c r="E1266" s="23"/>
      <c r="F1266" s="21"/>
      <c r="G1266" s="21"/>
      <c r="H1266" s="21"/>
      <c r="I1266" s="511"/>
    </row>
    <row r="1267" spans="1:9">
      <c r="A1267" s="509"/>
      <c r="B1267" s="510"/>
      <c r="C1267" s="23"/>
      <c r="D1267" s="23"/>
      <c r="E1267" s="23"/>
      <c r="F1267" s="21"/>
      <c r="G1267" s="21"/>
      <c r="H1267" s="21"/>
      <c r="I1267" s="511"/>
    </row>
    <row r="1268" spans="1:9">
      <c r="A1268" s="509"/>
      <c r="B1268" s="510"/>
      <c r="C1268" s="23"/>
      <c r="D1268" s="23"/>
      <c r="E1268" s="23"/>
      <c r="F1268" s="21"/>
      <c r="G1268" s="21"/>
      <c r="H1268" s="21"/>
      <c r="I1268" s="511"/>
    </row>
    <row r="1269" spans="1:9">
      <c r="A1269" s="509"/>
      <c r="B1269" s="510"/>
      <c r="C1269" s="23"/>
      <c r="D1269" s="23"/>
      <c r="E1269" s="23"/>
      <c r="F1269" s="21"/>
      <c r="G1269" s="21"/>
      <c r="H1269" s="21"/>
      <c r="I1269" s="511"/>
    </row>
    <row r="1270" spans="1:9">
      <c r="A1270" s="509"/>
      <c r="B1270" s="510"/>
      <c r="C1270" s="23"/>
      <c r="D1270" s="23"/>
      <c r="E1270" s="23"/>
      <c r="F1270" s="21"/>
      <c r="G1270" s="21"/>
      <c r="H1270" s="21"/>
      <c r="I1270" s="511"/>
    </row>
    <row r="1271" spans="1:9">
      <c r="A1271" s="509"/>
      <c r="B1271" s="510"/>
      <c r="C1271" s="23"/>
      <c r="D1271" s="23"/>
      <c r="E1271" s="23"/>
      <c r="F1271" s="21"/>
      <c r="G1271" s="21"/>
      <c r="H1271" s="21"/>
      <c r="I1271" s="511"/>
    </row>
    <row r="1272" spans="1:9">
      <c r="A1272" s="509"/>
      <c r="B1272" s="510"/>
      <c r="C1272" s="23"/>
      <c r="D1272" s="23"/>
      <c r="E1272" s="23"/>
      <c r="F1272" s="21"/>
      <c r="G1272" s="21"/>
      <c r="H1272" s="21"/>
      <c r="I1272" s="511"/>
    </row>
    <row r="1273" spans="1:9">
      <c r="A1273" s="509"/>
      <c r="B1273" s="510"/>
      <c r="C1273" s="23"/>
      <c r="D1273" s="23"/>
      <c r="E1273" s="23"/>
      <c r="F1273" s="21"/>
      <c r="G1273" s="21"/>
      <c r="H1273" s="21"/>
      <c r="I1273" s="511"/>
    </row>
    <row r="1274" spans="1:9">
      <c r="A1274" s="509"/>
      <c r="B1274" s="510"/>
      <c r="C1274" s="23"/>
      <c r="D1274" s="23"/>
      <c r="E1274" s="23"/>
      <c r="F1274" s="21"/>
      <c r="G1274" s="21"/>
      <c r="H1274" s="21"/>
      <c r="I1274" s="511"/>
    </row>
    <row r="1275" spans="1:9">
      <c r="A1275" s="509"/>
      <c r="B1275" s="510"/>
      <c r="C1275" s="23"/>
      <c r="D1275" s="23"/>
      <c r="E1275" s="23"/>
      <c r="F1275" s="21"/>
      <c r="G1275" s="21"/>
      <c r="H1275" s="21"/>
      <c r="I1275" s="511"/>
    </row>
    <row r="1276" spans="1:9">
      <c r="A1276" s="509"/>
      <c r="B1276" s="510"/>
      <c r="C1276" s="23"/>
      <c r="D1276" s="23"/>
      <c r="E1276" s="23"/>
      <c r="F1276" s="21"/>
      <c r="G1276" s="21"/>
      <c r="H1276" s="21"/>
      <c r="I1276" s="511"/>
    </row>
    <row r="1277" spans="1:9">
      <c r="A1277" s="509"/>
      <c r="B1277" s="510"/>
      <c r="C1277" s="23"/>
      <c r="D1277" s="23"/>
      <c r="E1277" s="23"/>
      <c r="F1277" s="21"/>
      <c r="G1277" s="21"/>
      <c r="H1277" s="21"/>
      <c r="I1277" s="511"/>
    </row>
    <row r="1278" spans="1:9">
      <c r="A1278" s="509"/>
      <c r="B1278" s="510"/>
      <c r="C1278" s="23"/>
      <c r="D1278" s="23"/>
      <c r="E1278" s="23"/>
      <c r="F1278" s="21"/>
      <c r="G1278" s="21"/>
      <c r="H1278" s="21"/>
      <c r="I1278" s="511"/>
    </row>
    <row r="1279" spans="1:9">
      <c r="A1279" s="509"/>
      <c r="B1279" s="510"/>
      <c r="C1279" s="23"/>
      <c r="D1279" s="23"/>
      <c r="E1279" s="23"/>
      <c r="F1279" s="21"/>
      <c r="G1279" s="21"/>
      <c r="H1279" s="21"/>
      <c r="I1279" s="511"/>
    </row>
    <row r="1280" spans="1:9">
      <c r="A1280" s="509"/>
      <c r="B1280" s="510"/>
      <c r="C1280" s="23"/>
      <c r="D1280" s="23"/>
      <c r="E1280" s="23"/>
      <c r="F1280" s="21"/>
      <c r="G1280" s="21"/>
      <c r="H1280" s="21"/>
      <c r="I1280" s="511"/>
    </row>
    <row r="1281" spans="1:9">
      <c r="A1281" s="509"/>
      <c r="B1281" s="510"/>
      <c r="C1281" s="23"/>
      <c r="D1281" s="23"/>
      <c r="E1281" s="23"/>
      <c r="F1281" s="21"/>
      <c r="G1281" s="21"/>
      <c r="H1281" s="21"/>
      <c r="I1281" s="511"/>
    </row>
    <row r="1282" spans="1:9">
      <c r="A1282" s="509"/>
      <c r="B1282" s="510"/>
      <c r="C1282" s="23"/>
      <c r="D1282" s="23"/>
      <c r="E1282" s="23"/>
      <c r="F1282" s="21"/>
      <c r="G1282" s="21"/>
      <c r="H1282" s="21"/>
      <c r="I1282" s="511"/>
    </row>
    <row r="1283" spans="1:9">
      <c r="A1283" s="509"/>
      <c r="B1283" s="510"/>
      <c r="C1283" s="23"/>
      <c r="D1283" s="23"/>
      <c r="E1283" s="23"/>
      <c r="F1283" s="21"/>
      <c r="G1283" s="21"/>
      <c r="H1283" s="21"/>
      <c r="I1283" s="511"/>
    </row>
    <row r="1284" spans="1:9">
      <c r="A1284" s="509"/>
      <c r="B1284" s="510"/>
      <c r="C1284" s="23"/>
      <c r="D1284" s="23"/>
      <c r="E1284" s="23"/>
      <c r="F1284" s="21"/>
      <c r="G1284" s="21"/>
      <c r="H1284" s="21"/>
      <c r="I1284" s="511"/>
    </row>
    <row r="1285" spans="1:9">
      <c r="A1285" s="509"/>
      <c r="B1285" s="510"/>
      <c r="C1285" s="23"/>
      <c r="D1285" s="23"/>
      <c r="E1285" s="23"/>
      <c r="F1285" s="21"/>
      <c r="G1285" s="21"/>
      <c r="H1285" s="21"/>
      <c r="I1285" s="511"/>
    </row>
    <row r="1286" spans="1:9">
      <c r="A1286" s="509"/>
      <c r="B1286" s="510"/>
      <c r="C1286" s="23"/>
      <c r="D1286" s="23"/>
      <c r="E1286" s="23"/>
      <c r="F1286" s="21"/>
      <c r="G1286" s="21"/>
      <c r="H1286" s="21"/>
      <c r="I1286" s="511"/>
    </row>
    <row r="1287" spans="1:9">
      <c r="A1287" s="509"/>
      <c r="B1287" s="510"/>
      <c r="C1287" s="23"/>
      <c r="D1287" s="23"/>
      <c r="E1287" s="23"/>
      <c r="F1287" s="21"/>
      <c r="G1287" s="21"/>
      <c r="H1287" s="21"/>
      <c r="I1287" s="511"/>
    </row>
    <row r="1288" spans="1:9">
      <c r="A1288" s="509"/>
      <c r="B1288" s="510"/>
      <c r="C1288" s="23"/>
      <c r="D1288" s="23"/>
      <c r="E1288" s="23"/>
      <c r="F1288" s="21"/>
      <c r="G1288" s="21"/>
      <c r="H1288" s="21"/>
      <c r="I1288" s="511"/>
    </row>
    <row r="1289" spans="1:9">
      <c r="A1289" s="509"/>
      <c r="B1289" s="510"/>
      <c r="C1289" s="23"/>
      <c r="D1289" s="23"/>
      <c r="E1289" s="23"/>
      <c r="F1289" s="21"/>
      <c r="G1289" s="21"/>
      <c r="H1289" s="21"/>
      <c r="I1289" s="511"/>
    </row>
    <row r="1290" spans="1:9">
      <c r="A1290" s="509"/>
      <c r="B1290" s="510"/>
      <c r="C1290" s="23"/>
      <c r="D1290" s="23"/>
      <c r="E1290" s="23"/>
      <c r="F1290" s="21"/>
      <c r="G1290" s="21"/>
      <c r="H1290" s="21"/>
      <c r="I1290" s="511"/>
    </row>
    <row r="1291" spans="1:9">
      <c r="A1291" s="509"/>
      <c r="B1291" s="510"/>
      <c r="C1291" s="23"/>
      <c r="D1291" s="23"/>
      <c r="E1291" s="23"/>
      <c r="F1291" s="21"/>
      <c r="G1291" s="21"/>
      <c r="H1291" s="21"/>
      <c r="I1291" s="511"/>
    </row>
    <row r="1292" spans="1:9">
      <c r="A1292" s="509"/>
      <c r="B1292" s="510"/>
      <c r="C1292" s="23"/>
      <c r="D1292" s="23"/>
      <c r="E1292" s="23"/>
      <c r="F1292" s="21"/>
      <c r="G1292" s="21"/>
      <c r="H1292" s="21"/>
      <c r="I1292" s="511"/>
    </row>
    <row r="1293" spans="1:9">
      <c r="A1293" s="509"/>
      <c r="B1293" s="510"/>
      <c r="C1293" s="23"/>
      <c r="D1293" s="23"/>
      <c r="E1293" s="23"/>
      <c r="F1293" s="21"/>
      <c r="G1293" s="21"/>
      <c r="H1293" s="21"/>
      <c r="I1293" s="511"/>
    </row>
    <row r="1294" spans="1:9">
      <c r="A1294" s="509"/>
      <c r="B1294" s="510"/>
      <c r="C1294" s="23"/>
      <c r="D1294" s="23"/>
      <c r="E1294" s="23"/>
      <c r="F1294" s="21"/>
      <c r="G1294" s="21"/>
      <c r="H1294" s="21"/>
      <c r="I1294" s="511"/>
    </row>
    <row r="1295" spans="1:9">
      <c r="A1295" s="509"/>
      <c r="B1295" s="510"/>
      <c r="C1295" s="23"/>
      <c r="D1295" s="23"/>
      <c r="E1295" s="23"/>
      <c r="F1295" s="21"/>
      <c r="G1295" s="21"/>
      <c r="H1295" s="21"/>
      <c r="I1295" s="511"/>
    </row>
    <row r="1296" spans="1:9">
      <c r="A1296" s="509"/>
      <c r="B1296" s="510"/>
      <c r="C1296" s="23"/>
      <c r="D1296" s="23"/>
      <c r="E1296" s="23"/>
      <c r="F1296" s="21"/>
      <c r="G1296" s="21"/>
      <c r="H1296" s="21"/>
      <c r="I1296" s="511"/>
    </row>
    <row r="1297" spans="1:9">
      <c r="A1297" s="509"/>
      <c r="B1297" s="510"/>
      <c r="C1297" s="23"/>
      <c r="D1297" s="23"/>
      <c r="E1297" s="23"/>
      <c r="F1297" s="21"/>
      <c r="G1297" s="21"/>
      <c r="H1297" s="21"/>
      <c r="I1297" s="511"/>
    </row>
    <row r="1298" spans="1:9">
      <c r="A1298" s="509"/>
      <c r="B1298" s="510"/>
      <c r="C1298" s="23"/>
      <c r="D1298" s="23"/>
      <c r="E1298" s="23"/>
      <c r="F1298" s="21"/>
      <c r="G1298" s="21"/>
      <c r="H1298" s="21"/>
      <c r="I1298" s="511"/>
    </row>
    <row r="1299" spans="1:9">
      <c r="A1299" s="509"/>
      <c r="B1299" s="510"/>
      <c r="C1299" s="23"/>
      <c r="D1299" s="23"/>
      <c r="E1299" s="23"/>
      <c r="F1299" s="21"/>
      <c r="G1299" s="21"/>
      <c r="H1299" s="21"/>
      <c r="I1299" s="511"/>
    </row>
    <row r="1300" spans="1:9">
      <c r="A1300" s="509"/>
      <c r="B1300" s="510"/>
      <c r="C1300" s="23"/>
      <c r="D1300" s="23"/>
      <c r="E1300" s="23"/>
      <c r="F1300" s="21"/>
      <c r="G1300" s="21"/>
      <c r="H1300" s="21"/>
      <c r="I1300" s="511"/>
    </row>
    <row r="1301" spans="1:9">
      <c r="A1301" s="509"/>
      <c r="B1301" s="510"/>
      <c r="C1301" s="23"/>
      <c r="D1301" s="23"/>
      <c r="E1301" s="23"/>
      <c r="F1301" s="21"/>
      <c r="G1301" s="21"/>
      <c r="H1301" s="21"/>
      <c r="I1301" s="511"/>
    </row>
    <row r="1302" spans="1:9">
      <c r="A1302" s="509"/>
      <c r="B1302" s="510"/>
      <c r="C1302" s="23"/>
      <c r="D1302" s="23"/>
      <c r="E1302" s="23"/>
      <c r="F1302" s="21"/>
      <c r="G1302" s="21"/>
      <c r="H1302" s="21"/>
      <c r="I1302" s="511"/>
    </row>
    <row r="1303" spans="1:9">
      <c r="A1303" s="509"/>
      <c r="B1303" s="510"/>
      <c r="C1303" s="23"/>
      <c r="D1303" s="23"/>
      <c r="E1303" s="23"/>
      <c r="F1303" s="21"/>
      <c r="G1303" s="21"/>
      <c r="H1303" s="21"/>
      <c r="I1303" s="511"/>
    </row>
    <row r="1304" spans="1:9">
      <c r="A1304" s="509"/>
      <c r="B1304" s="510"/>
      <c r="C1304" s="23"/>
      <c r="D1304" s="23"/>
      <c r="E1304" s="23"/>
      <c r="F1304" s="21"/>
      <c r="G1304" s="21"/>
      <c r="H1304" s="21"/>
      <c r="I1304" s="511"/>
    </row>
    <row r="1305" spans="1:9">
      <c r="A1305" s="509"/>
      <c r="B1305" s="510"/>
      <c r="C1305" s="23"/>
      <c r="D1305" s="23"/>
      <c r="E1305" s="23"/>
      <c r="F1305" s="21"/>
      <c r="G1305" s="21"/>
      <c r="H1305" s="21"/>
      <c r="I1305" s="511"/>
    </row>
    <row r="1306" spans="1:9">
      <c r="A1306" s="509"/>
      <c r="B1306" s="510"/>
      <c r="C1306" s="23"/>
      <c r="D1306" s="23"/>
      <c r="E1306" s="23"/>
      <c r="F1306" s="21"/>
      <c r="G1306" s="21"/>
      <c r="H1306" s="21"/>
      <c r="I1306" s="511"/>
    </row>
    <row r="1307" spans="1:9">
      <c r="A1307" s="509"/>
      <c r="B1307" s="510"/>
      <c r="C1307" s="23"/>
      <c r="D1307" s="23"/>
      <c r="E1307" s="23"/>
      <c r="F1307" s="21"/>
      <c r="G1307" s="21"/>
      <c r="H1307" s="21"/>
      <c r="I1307" s="511"/>
    </row>
    <row r="1308" spans="1:9">
      <c r="A1308" s="509"/>
      <c r="B1308" s="510"/>
      <c r="C1308" s="23"/>
      <c r="D1308" s="23"/>
      <c r="E1308" s="23"/>
      <c r="F1308" s="21"/>
      <c r="G1308" s="21"/>
      <c r="H1308" s="21"/>
      <c r="I1308" s="511"/>
    </row>
    <row r="1309" spans="1:9">
      <c r="A1309" s="509"/>
      <c r="B1309" s="510"/>
      <c r="C1309" s="23"/>
      <c r="D1309" s="23"/>
      <c r="E1309" s="23"/>
      <c r="F1309" s="21"/>
      <c r="G1309" s="21"/>
      <c r="H1309" s="21"/>
      <c r="I1309" s="511"/>
    </row>
    <row r="1310" spans="1:9">
      <c r="A1310" s="509"/>
      <c r="B1310" s="510"/>
      <c r="C1310" s="23"/>
      <c r="D1310" s="23"/>
      <c r="E1310" s="23"/>
      <c r="F1310" s="21"/>
      <c r="G1310" s="21"/>
      <c r="H1310" s="21"/>
      <c r="I1310" s="511"/>
    </row>
    <row r="1311" spans="1:9">
      <c r="A1311" s="509"/>
      <c r="B1311" s="510"/>
      <c r="C1311" s="23"/>
      <c r="D1311" s="23"/>
      <c r="E1311" s="23"/>
      <c r="F1311" s="21"/>
      <c r="G1311" s="21"/>
      <c r="H1311" s="21"/>
      <c r="I1311" s="511"/>
    </row>
    <row r="1312" spans="1:9">
      <c r="A1312" s="509"/>
      <c r="B1312" s="510"/>
      <c r="C1312" s="23"/>
      <c r="D1312" s="23"/>
      <c r="E1312" s="23"/>
      <c r="F1312" s="21"/>
      <c r="G1312" s="21"/>
      <c r="H1312" s="21"/>
      <c r="I1312" s="511"/>
    </row>
    <row r="1313" spans="1:9">
      <c r="A1313" s="509"/>
      <c r="B1313" s="510"/>
      <c r="C1313" s="23"/>
      <c r="D1313" s="23"/>
      <c r="E1313" s="23"/>
      <c r="F1313" s="21"/>
      <c r="G1313" s="21"/>
      <c r="H1313" s="21"/>
      <c r="I1313" s="511"/>
    </row>
    <row r="1314" spans="1:9">
      <c r="A1314" s="509"/>
      <c r="B1314" s="510"/>
      <c r="C1314" s="23"/>
      <c r="D1314" s="23"/>
      <c r="E1314" s="23"/>
      <c r="F1314" s="21"/>
      <c r="G1314" s="21"/>
      <c r="H1314" s="21"/>
      <c r="I1314" s="511"/>
    </row>
    <row r="1315" spans="1:9">
      <c r="A1315" s="509"/>
      <c r="B1315" s="510"/>
      <c r="C1315" s="23"/>
      <c r="D1315" s="23"/>
      <c r="E1315" s="23"/>
      <c r="F1315" s="21"/>
      <c r="G1315" s="21"/>
      <c r="H1315" s="21"/>
      <c r="I1315" s="511"/>
    </row>
    <row r="1316" spans="1:9">
      <c r="A1316" s="509"/>
      <c r="B1316" s="510"/>
      <c r="C1316" s="23"/>
      <c r="D1316" s="23"/>
      <c r="E1316" s="23"/>
      <c r="F1316" s="21"/>
      <c r="G1316" s="21"/>
      <c r="H1316" s="21"/>
      <c r="I1316" s="511"/>
    </row>
    <row r="1317" spans="1:9">
      <c r="A1317" s="509"/>
      <c r="B1317" s="510"/>
      <c r="C1317" s="23"/>
      <c r="D1317" s="23"/>
      <c r="E1317" s="23"/>
      <c r="F1317" s="21"/>
      <c r="G1317" s="21"/>
      <c r="H1317" s="21"/>
      <c r="I1317" s="511"/>
    </row>
    <row r="1318" spans="1:9">
      <c r="A1318" s="509"/>
      <c r="B1318" s="510"/>
      <c r="C1318" s="23"/>
      <c r="D1318" s="23"/>
      <c r="E1318" s="23"/>
      <c r="F1318" s="21"/>
      <c r="G1318" s="21"/>
      <c r="H1318" s="21"/>
      <c r="I1318" s="511"/>
    </row>
    <row r="1319" spans="1:9">
      <c r="A1319" s="509"/>
      <c r="B1319" s="510"/>
      <c r="C1319" s="23"/>
      <c r="D1319" s="23"/>
      <c r="E1319" s="23"/>
      <c r="F1319" s="21"/>
      <c r="G1319" s="21"/>
      <c r="H1319" s="21"/>
      <c r="I1319" s="511"/>
    </row>
    <row r="1320" spans="1:9">
      <c r="A1320" s="509"/>
      <c r="B1320" s="510"/>
      <c r="C1320" s="23"/>
      <c r="D1320" s="23"/>
      <c r="E1320" s="23"/>
      <c r="F1320" s="21"/>
      <c r="G1320" s="21"/>
      <c r="H1320" s="21"/>
      <c r="I1320" s="511"/>
    </row>
    <row r="1321" spans="1:9">
      <c r="A1321" s="509"/>
      <c r="B1321" s="510"/>
      <c r="C1321" s="23"/>
      <c r="D1321" s="23"/>
      <c r="E1321" s="23"/>
      <c r="F1321" s="21"/>
      <c r="G1321" s="21"/>
      <c r="H1321" s="21"/>
      <c r="I1321" s="511"/>
    </row>
    <row r="1322" spans="1:9">
      <c r="A1322" s="509"/>
      <c r="B1322" s="510"/>
      <c r="C1322" s="23"/>
      <c r="D1322" s="23"/>
      <c r="E1322" s="23"/>
      <c r="F1322" s="21"/>
      <c r="G1322" s="21"/>
      <c r="H1322" s="21"/>
      <c r="I1322" s="511"/>
    </row>
    <row r="1323" spans="1:9">
      <c r="A1323" s="509"/>
      <c r="B1323" s="510"/>
      <c r="C1323" s="23"/>
      <c r="D1323" s="23"/>
      <c r="E1323" s="23"/>
      <c r="F1323" s="21"/>
      <c r="G1323" s="21"/>
      <c r="H1323" s="21"/>
      <c r="I1323" s="511"/>
    </row>
    <row r="1324" spans="1:9">
      <c r="A1324" s="509"/>
      <c r="B1324" s="510"/>
      <c r="C1324" s="23"/>
      <c r="D1324" s="23"/>
      <c r="E1324" s="23"/>
      <c r="F1324" s="21"/>
      <c r="G1324" s="21"/>
      <c r="H1324" s="21"/>
      <c r="I1324" s="511"/>
    </row>
    <row r="1325" spans="1:9">
      <c r="A1325" s="509"/>
      <c r="B1325" s="510"/>
      <c r="C1325" s="23"/>
      <c r="D1325" s="23"/>
      <c r="E1325" s="23"/>
      <c r="F1325" s="21"/>
      <c r="G1325" s="21"/>
      <c r="H1325" s="21"/>
      <c r="I1325" s="511"/>
    </row>
    <row r="1326" spans="1:9">
      <c r="A1326" s="509"/>
      <c r="B1326" s="510"/>
      <c r="C1326" s="23"/>
      <c r="D1326" s="23"/>
      <c r="E1326" s="23"/>
      <c r="F1326" s="21"/>
      <c r="G1326" s="21"/>
      <c r="H1326" s="21"/>
      <c r="I1326" s="511"/>
    </row>
    <row r="1327" spans="1:9">
      <c r="A1327" s="509"/>
      <c r="B1327" s="510"/>
      <c r="C1327" s="23"/>
      <c r="D1327" s="23"/>
      <c r="E1327" s="23"/>
      <c r="F1327" s="21"/>
      <c r="G1327" s="21"/>
      <c r="H1327" s="21"/>
      <c r="I1327" s="511"/>
    </row>
    <row r="1328" spans="1:9">
      <c r="A1328" s="509"/>
      <c r="B1328" s="510"/>
      <c r="C1328" s="23"/>
      <c r="D1328" s="23"/>
      <c r="E1328" s="23"/>
      <c r="F1328" s="21"/>
      <c r="G1328" s="21"/>
      <c r="H1328" s="21"/>
      <c r="I1328" s="511"/>
    </row>
    <row r="1329" spans="1:9">
      <c r="A1329" s="509"/>
      <c r="B1329" s="510"/>
      <c r="C1329" s="23"/>
      <c r="D1329" s="23"/>
      <c r="E1329" s="23"/>
      <c r="F1329" s="21"/>
      <c r="G1329" s="21"/>
      <c r="H1329" s="21"/>
      <c r="I1329" s="511"/>
    </row>
    <row r="1330" spans="1:9">
      <c r="A1330" s="509"/>
      <c r="B1330" s="510"/>
      <c r="C1330" s="23"/>
      <c r="D1330" s="23"/>
      <c r="E1330" s="23"/>
      <c r="F1330" s="21"/>
      <c r="G1330" s="21"/>
      <c r="H1330" s="21"/>
      <c r="I1330" s="511"/>
    </row>
    <row r="1331" spans="1:9">
      <c r="A1331" s="509"/>
      <c r="B1331" s="510"/>
      <c r="C1331" s="23"/>
      <c r="D1331" s="23"/>
      <c r="E1331" s="23"/>
      <c r="F1331" s="21"/>
      <c r="G1331" s="21"/>
      <c r="H1331" s="21"/>
      <c r="I1331" s="511"/>
    </row>
    <row r="1332" spans="1:9">
      <c r="A1332" s="509"/>
      <c r="B1332" s="510"/>
      <c r="C1332" s="23"/>
      <c r="D1332" s="23"/>
      <c r="E1332" s="23"/>
      <c r="F1332" s="21"/>
      <c r="G1332" s="21"/>
      <c r="H1332" s="21"/>
      <c r="I1332" s="511"/>
    </row>
    <row r="1333" spans="1:9">
      <c r="A1333" s="509"/>
      <c r="B1333" s="510"/>
      <c r="C1333" s="23"/>
      <c r="D1333" s="23"/>
      <c r="E1333" s="23"/>
      <c r="F1333" s="21"/>
      <c r="G1333" s="21"/>
      <c r="H1333" s="21"/>
      <c r="I1333" s="511"/>
    </row>
    <row r="1334" spans="1:9">
      <c r="A1334" s="509"/>
      <c r="B1334" s="510"/>
      <c r="C1334" s="23"/>
      <c r="D1334" s="23"/>
      <c r="E1334" s="23"/>
      <c r="F1334" s="21"/>
      <c r="G1334" s="21"/>
      <c r="H1334" s="21"/>
      <c r="I1334" s="511"/>
    </row>
    <row r="1335" spans="1:9">
      <c r="A1335" s="509"/>
      <c r="B1335" s="510"/>
      <c r="C1335" s="23"/>
      <c r="D1335" s="23"/>
      <c r="E1335" s="23"/>
      <c r="F1335" s="21"/>
      <c r="G1335" s="21"/>
      <c r="H1335" s="21"/>
      <c r="I1335" s="511"/>
    </row>
    <row r="1336" spans="1:9">
      <c r="A1336" s="509"/>
      <c r="B1336" s="510"/>
      <c r="C1336" s="23"/>
      <c r="D1336" s="23"/>
      <c r="E1336" s="23"/>
      <c r="F1336" s="21"/>
      <c r="G1336" s="21"/>
      <c r="H1336" s="21"/>
      <c r="I1336" s="511"/>
    </row>
    <row r="1337" spans="1:9">
      <c r="A1337" s="509"/>
      <c r="B1337" s="510"/>
      <c r="C1337" s="23"/>
      <c r="D1337" s="23"/>
      <c r="E1337" s="23"/>
      <c r="F1337" s="21"/>
      <c r="G1337" s="21"/>
      <c r="H1337" s="21"/>
      <c r="I1337" s="511"/>
    </row>
    <row r="1338" spans="1:9">
      <c r="A1338" s="509"/>
      <c r="B1338" s="510"/>
      <c r="C1338" s="23"/>
      <c r="D1338" s="23"/>
      <c r="E1338" s="23"/>
      <c r="F1338" s="21"/>
      <c r="G1338" s="21"/>
      <c r="H1338" s="21"/>
      <c r="I1338" s="511"/>
    </row>
    <row r="1339" spans="1:9">
      <c r="A1339" s="509"/>
      <c r="B1339" s="510"/>
      <c r="C1339" s="23"/>
      <c r="D1339" s="23"/>
      <c r="E1339" s="23"/>
      <c r="F1339" s="21"/>
      <c r="G1339" s="21"/>
      <c r="H1339" s="21"/>
      <c r="I1339" s="511"/>
    </row>
    <row r="1340" spans="1:9">
      <c r="A1340" s="509"/>
      <c r="B1340" s="510"/>
      <c r="C1340" s="23"/>
      <c r="D1340" s="23"/>
      <c r="E1340" s="23"/>
      <c r="F1340" s="21"/>
      <c r="G1340" s="21"/>
      <c r="H1340" s="21"/>
      <c r="I1340" s="511"/>
    </row>
    <row r="1341" spans="1:9">
      <c r="A1341" s="509"/>
      <c r="B1341" s="510"/>
      <c r="C1341" s="23"/>
      <c r="D1341" s="23"/>
      <c r="E1341" s="23"/>
      <c r="F1341" s="21"/>
      <c r="G1341" s="21"/>
      <c r="H1341" s="21"/>
      <c r="I1341" s="511"/>
    </row>
    <row r="1342" spans="1:9">
      <c r="A1342" s="509"/>
      <c r="B1342" s="510"/>
      <c r="C1342" s="23"/>
      <c r="D1342" s="23"/>
      <c r="E1342" s="23"/>
      <c r="F1342" s="21"/>
      <c r="G1342" s="21"/>
      <c r="H1342" s="21"/>
      <c r="I1342" s="511"/>
    </row>
    <row r="1343" spans="1:9">
      <c r="A1343" s="509"/>
      <c r="B1343" s="510"/>
      <c r="C1343" s="23"/>
      <c r="D1343" s="23"/>
      <c r="E1343" s="23"/>
      <c r="F1343" s="21"/>
      <c r="G1343" s="21"/>
      <c r="H1343" s="21"/>
      <c r="I1343" s="511"/>
    </row>
    <row r="1344" spans="1:9">
      <c r="A1344" s="509"/>
      <c r="B1344" s="510"/>
      <c r="C1344" s="23"/>
      <c r="D1344" s="23"/>
      <c r="E1344" s="23"/>
      <c r="F1344" s="21"/>
      <c r="G1344" s="21"/>
      <c r="H1344" s="21"/>
      <c r="I1344" s="511"/>
    </row>
    <row r="1345" spans="1:9">
      <c r="A1345" s="509"/>
      <c r="B1345" s="510"/>
      <c r="C1345" s="23"/>
      <c r="D1345" s="23"/>
      <c r="E1345" s="23"/>
      <c r="F1345" s="21"/>
      <c r="G1345" s="21"/>
      <c r="H1345" s="21"/>
      <c r="I1345" s="511"/>
    </row>
    <row r="1346" spans="1:9">
      <c r="A1346" s="509"/>
      <c r="B1346" s="510"/>
      <c r="C1346" s="23"/>
      <c r="D1346" s="23"/>
      <c r="E1346" s="23"/>
      <c r="F1346" s="21"/>
      <c r="G1346" s="21"/>
      <c r="H1346" s="21"/>
      <c r="I1346" s="511"/>
    </row>
    <row r="1347" spans="1:9">
      <c r="A1347" s="509"/>
      <c r="B1347" s="510"/>
      <c r="C1347" s="23"/>
      <c r="D1347" s="23"/>
      <c r="E1347" s="23"/>
      <c r="F1347" s="21"/>
      <c r="G1347" s="21"/>
      <c r="H1347" s="21"/>
      <c r="I1347" s="511"/>
    </row>
    <row r="1348" spans="1:9">
      <c r="A1348" s="509"/>
      <c r="B1348" s="510"/>
      <c r="C1348" s="23"/>
      <c r="D1348" s="23"/>
      <c r="E1348" s="23"/>
      <c r="F1348" s="21"/>
      <c r="G1348" s="21"/>
      <c r="H1348" s="21"/>
      <c r="I1348" s="511"/>
    </row>
    <row r="1349" spans="1:9">
      <c r="A1349" s="509"/>
      <c r="B1349" s="510"/>
      <c r="C1349" s="23"/>
      <c r="D1349" s="23"/>
      <c r="E1349" s="23"/>
      <c r="F1349" s="21"/>
      <c r="G1349" s="21"/>
      <c r="H1349" s="21"/>
      <c r="I1349" s="511"/>
    </row>
    <row r="1350" spans="1:9">
      <c r="A1350" s="509"/>
      <c r="B1350" s="510"/>
      <c r="C1350" s="23"/>
      <c r="D1350" s="23"/>
      <c r="E1350" s="23"/>
      <c r="F1350" s="21"/>
      <c r="G1350" s="21"/>
      <c r="H1350" s="21"/>
      <c r="I1350" s="511"/>
    </row>
    <row r="1351" spans="1:9">
      <c r="A1351" s="509"/>
      <c r="B1351" s="510"/>
      <c r="C1351" s="23"/>
      <c r="D1351" s="23"/>
      <c r="E1351" s="23"/>
      <c r="F1351" s="21"/>
      <c r="G1351" s="21"/>
      <c r="H1351" s="21"/>
      <c r="I1351" s="511"/>
    </row>
    <row r="1352" spans="1:9">
      <c r="A1352" s="509"/>
      <c r="B1352" s="510"/>
      <c r="C1352" s="23"/>
      <c r="D1352" s="23"/>
      <c r="E1352" s="23"/>
      <c r="F1352" s="21"/>
      <c r="G1352" s="21"/>
      <c r="H1352" s="21"/>
      <c r="I1352" s="511"/>
    </row>
    <row r="1353" spans="1:9">
      <c r="A1353" s="509"/>
      <c r="B1353" s="510"/>
      <c r="C1353" s="23"/>
      <c r="D1353" s="23"/>
      <c r="E1353" s="23"/>
      <c r="F1353" s="21"/>
      <c r="G1353" s="21"/>
      <c r="H1353" s="21"/>
      <c r="I1353" s="511"/>
    </row>
    <row r="1354" spans="1:9">
      <c r="A1354" s="509"/>
      <c r="B1354" s="510"/>
      <c r="C1354" s="23"/>
      <c r="D1354" s="23"/>
      <c r="E1354" s="23"/>
      <c r="F1354" s="21"/>
      <c r="G1354" s="21"/>
      <c r="H1354" s="21"/>
      <c r="I1354" s="511"/>
    </row>
    <row r="1355" spans="1:9">
      <c r="A1355" s="509"/>
      <c r="B1355" s="510"/>
      <c r="C1355" s="23"/>
      <c r="D1355" s="23"/>
      <c r="E1355" s="23"/>
      <c r="F1355" s="21"/>
      <c r="G1355" s="21"/>
      <c r="H1355" s="21"/>
      <c r="I1355" s="511"/>
    </row>
    <row r="1356" spans="1:9">
      <c r="A1356" s="509"/>
      <c r="B1356" s="510"/>
      <c r="C1356" s="23"/>
      <c r="D1356" s="23"/>
      <c r="E1356" s="23"/>
      <c r="F1356" s="21"/>
      <c r="G1356" s="21"/>
      <c r="H1356" s="21"/>
      <c r="I1356" s="511"/>
    </row>
    <row r="1357" spans="1:9">
      <c r="A1357" s="509"/>
      <c r="B1357" s="510"/>
      <c r="C1357" s="23"/>
      <c r="D1357" s="23"/>
      <c r="E1357" s="23"/>
      <c r="F1357" s="21"/>
      <c r="G1357" s="21"/>
      <c r="H1357" s="21"/>
      <c r="I1357" s="511"/>
    </row>
    <row r="1358" spans="1:9">
      <c r="A1358" s="509"/>
      <c r="B1358" s="510"/>
      <c r="C1358" s="23"/>
      <c r="D1358" s="23"/>
      <c r="E1358" s="23"/>
      <c r="F1358" s="21"/>
      <c r="G1358" s="21"/>
      <c r="H1358" s="21"/>
      <c r="I1358" s="511"/>
    </row>
    <row r="1359" spans="1:9">
      <c r="A1359" s="509"/>
      <c r="B1359" s="510"/>
      <c r="C1359" s="23"/>
      <c r="D1359" s="23"/>
      <c r="E1359" s="23"/>
      <c r="F1359" s="21"/>
      <c r="G1359" s="21"/>
      <c r="H1359" s="21"/>
      <c r="I1359" s="511"/>
    </row>
    <row r="1360" spans="1:9">
      <c r="A1360" s="509"/>
      <c r="B1360" s="510"/>
      <c r="C1360" s="23"/>
      <c r="D1360" s="23"/>
      <c r="E1360" s="23"/>
      <c r="F1360" s="21"/>
      <c r="G1360" s="21"/>
      <c r="H1360" s="21"/>
      <c r="I1360" s="511"/>
    </row>
    <row r="1361" spans="1:9">
      <c r="A1361" s="509"/>
      <c r="B1361" s="510"/>
      <c r="C1361" s="23"/>
      <c r="D1361" s="23"/>
      <c r="E1361" s="23"/>
      <c r="F1361" s="21"/>
      <c r="G1361" s="21"/>
      <c r="H1361" s="21"/>
      <c r="I1361" s="511"/>
    </row>
    <row r="1362" spans="1:9">
      <c r="A1362" s="509"/>
      <c r="B1362" s="510"/>
      <c r="C1362" s="23"/>
      <c r="D1362" s="23"/>
      <c r="E1362" s="23"/>
      <c r="F1362" s="21"/>
      <c r="G1362" s="21"/>
      <c r="H1362" s="21"/>
      <c r="I1362" s="511"/>
    </row>
    <row r="1363" spans="1:9">
      <c r="A1363" s="509"/>
      <c r="B1363" s="510"/>
      <c r="C1363" s="23"/>
      <c r="D1363" s="23"/>
      <c r="E1363" s="23"/>
      <c r="F1363" s="21"/>
      <c r="G1363" s="21"/>
      <c r="H1363" s="21"/>
      <c r="I1363" s="511"/>
    </row>
    <row r="1364" spans="1:9">
      <c r="A1364" s="509"/>
      <c r="B1364" s="510"/>
      <c r="C1364" s="23"/>
      <c r="D1364" s="23"/>
      <c r="E1364" s="23"/>
      <c r="F1364" s="21"/>
      <c r="G1364" s="21"/>
      <c r="H1364" s="21"/>
      <c r="I1364" s="511"/>
    </row>
    <row r="1365" spans="1:9">
      <c r="A1365" s="509"/>
      <c r="B1365" s="510"/>
      <c r="C1365" s="23"/>
      <c r="D1365" s="23"/>
      <c r="E1365" s="23"/>
      <c r="F1365" s="21"/>
      <c r="G1365" s="21"/>
      <c r="H1365" s="21"/>
      <c r="I1365" s="511"/>
    </row>
    <row r="1366" spans="1:9">
      <c r="A1366" s="509"/>
      <c r="B1366" s="510"/>
      <c r="C1366" s="23"/>
      <c r="D1366" s="23"/>
      <c r="E1366" s="23"/>
      <c r="F1366" s="21"/>
      <c r="G1366" s="21"/>
      <c r="H1366" s="21"/>
      <c r="I1366" s="511"/>
    </row>
    <row r="1367" spans="1:9">
      <c r="A1367" s="509"/>
      <c r="B1367" s="510"/>
      <c r="C1367" s="23"/>
      <c r="D1367" s="23"/>
      <c r="E1367" s="23"/>
      <c r="F1367" s="21"/>
      <c r="G1367" s="21"/>
      <c r="H1367" s="21"/>
      <c r="I1367" s="511"/>
    </row>
    <row r="1368" spans="1:9">
      <c r="A1368" s="509"/>
      <c r="B1368" s="510"/>
      <c r="C1368" s="23"/>
      <c r="D1368" s="23"/>
      <c r="E1368" s="23"/>
      <c r="F1368" s="21"/>
      <c r="G1368" s="21"/>
      <c r="H1368" s="21"/>
      <c r="I1368" s="511"/>
    </row>
    <row r="1369" spans="1:9">
      <c r="A1369" s="509"/>
      <c r="B1369" s="510"/>
      <c r="C1369" s="23"/>
      <c r="D1369" s="23"/>
      <c r="E1369" s="23"/>
      <c r="F1369" s="21"/>
      <c r="G1369" s="21"/>
      <c r="H1369" s="21"/>
      <c r="I1369" s="511"/>
    </row>
    <row r="1370" spans="1:9">
      <c r="A1370" s="509"/>
      <c r="B1370" s="510"/>
      <c r="C1370" s="23"/>
      <c r="D1370" s="23"/>
      <c r="E1370" s="23"/>
      <c r="F1370" s="21"/>
      <c r="G1370" s="21"/>
      <c r="H1370" s="21"/>
      <c r="I1370" s="511"/>
    </row>
    <row r="1371" spans="1:9">
      <c r="A1371" s="509"/>
      <c r="B1371" s="510"/>
      <c r="C1371" s="23"/>
      <c r="D1371" s="23"/>
      <c r="E1371" s="23"/>
      <c r="F1371" s="21"/>
      <c r="G1371" s="21"/>
      <c r="H1371" s="21"/>
      <c r="I1371" s="511"/>
    </row>
    <row r="1372" spans="1:9">
      <c r="A1372" s="509"/>
      <c r="B1372" s="510"/>
      <c r="C1372" s="23"/>
      <c r="D1372" s="23"/>
      <c r="E1372" s="23"/>
      <c r="F1372" s="21"/>
      <c r="G1372" s="21"/>
      <c r="H1372" s="21"/>
      <c r="I1372" s="511"/>
    </row>
    <row r="1373" spans="1:9">
      <c r="A1373" s="509"/>
      <c r="B1373" s="510"/>
      <c r="C1373" s="23"/>
      <c r="D1373" s="23"/>
      <c r="E1373" s="23"/>
      <c r="F1373" s="21"/>
      <c r="G1373" s="21"/>
      <c r="H1373" s="21"/>
      <c r="I1373" s="511"/>
    </row>
    <row r="1374" spans="1:9">
      <c r="A1374" s="509"/>
      <c r="B1374" s="510"/>
      <c r="C1374" s="23"/>
      <c r="D1374" s="23"/>
      <c r="E1374" s="23"/>
      <c r="F1374" s="21"/>
      <c r="G1374" s="21"/>
      <c r="H1374" s="21"/>
      <c r="I1374" s="511"/>
    </row>
    <row r="1375" spans="1:9">
      <c r="A1375" s="509"/>
      <c r="B1375" s="510"/>
      <c r="C1375" s="23"/>
      <c r="D1375" s="23"/>
      <c r="E1375" s="23"/>
      <c r="F1375" s="21"/>
      <c r="G1375" s="21"/>
      <c r="H1375" s="21"/>
      <c r="I1375" s="511"/>
    </row>
    <row r="1376" spans="1:9">
      <c r="A1376" s="509"/>
      <c r="B1376" s="510"/>
      <c r="C1376" s="23"/>
      <c r="D1376" s="23"/>
      <c r="E1376" s="23"/>
      <c r="F1376" s="21"/>
      <c r="G1376" s="21"/>
      <c r="H1376" s="21"/>
      <c r="I1376" s="511"/>
    </row>
    <row r="1377" spans="1:9">
      <c r="A1377" s="509"/>
      <c r="B1377" s="510"/>
      <c r="C1377" s="23"/>
      <c r="D1377" s="23"/>
      <c r="E1377" s="23"/>
      <c r="F1377" s="21"/>
      <c r="G1377" s="21"/>
      <c r="H1377" s="21"/>
      <c r="I1377" s="511"/>
    </row>
    <row r="1378" spans="1:9">
      <c r="A1378" s="509"/>
      <c r="B1378" s="510"/>
      <c r="C1378" s="23"/>
      <c r="D1378" s="23"/>
      <c r="E1378" s="23"/>
      <c r="F1378" s="21"/>
      <c r="G1378" s="21"/>
      <c r="H1378" s="21"/>
      <c r="I1378" s="511"/>
    </row>
    <row r="1379" spans="1:9">
      <c r="A1379" s="509"/>
      <c r="B1379" s="510"/>
      <c r="C1379" s="23"/>
      <c r="D1379" s="23"/>
      <c r="E1379" s="23"/>
      <c r="F1379" s="21"/>
      <c r="G1379" s="21"/>
      <c r="H1379" s="21"/>
      <c r="I1379" s="511"/>
    </row>
    <row r="1380" spans="1:9">
      <c r="A1380" s="509"/>
      <c r="B1380" s="510"/>
      <c r="C1380" s="23"/>
      <c r="D1380" s="23"/>
      <c r="E1380" s="23"/>
      <c r="F1380" s="21"/>
      <c r="G1380" s="21"/>
      <c r="H1380" s="21"/>
      <c r="I1380" s="511"/>
    </row>
    <row r="1381" spans="1:9">
      <c r="A1381" s="509"/>
      <c r="B1381" s="510"/>
      <c r="C1381" s="23"/>
      <c r="D1381" s="23"/>
      <c r="E1381" s="23"/>
      <c r="F1381" s="21"/>
      <c r="G1381" s="21"/>
      <c r="H1381" s="21"/>
      <c r="I1381" s="511"/>
    </row>
    <row r="1382" spans="1:9">
      <c r="A1382" s="509"/>
      <c r="B1382" s="510"/>
      <c r="C1382" s="23"/>
      <c r="D1382" s="23"/>
      <c r="E1382" s="23"/>
      <c r="F1382" s="21"/>
      <c r="G1382" s="21"/>
      <c r="H1382" s="21"/>
      <c r="I1382" s="511"/>
    </row>
    <row r="1383" spans="1:9">
      <c r="A1383" s="509"/>
      <c r="B1383" s="510"/>
      <c r="C1383" s="23"/>
      <c r="D1383" s="23"/>
      <c r="E1383" s="23"/>
      <c r="F1383" s="21"/>
      <c r="G1383" s="21"/>
      <c r="H1383" s="21"/>
      <c r="I1383" s="511"/>
    </row>
    <row r="1384" spans="1:9">
      <c r="A1384" s="509"/>
      <c r="B1384" s="510"/>
      <c r="C1384" s="23"/>
      <c r="D1384" s="23"/>
      <c r="E1384" s="23"/>
      <c r="F1384" s="21"/>
      <c r="G1384" s="21"/>
      <c r="H1384" s="21"/>
      <c r="I1384" s="511"/>
    </row>
    <row r="1385" spans="1:9">
      <c r="A1385" s="509"/>
      <c r="B1385" s="510"/>
      <c r="C1385" s="23"/>
      <c r="D1385" s="23"/>
      <c r="E1385" s="23"/>
      <c r="F1385" s="21"/>
      <c r="G1385" s="21"/>
      <c r="H1385" s="21"/>
      <c r="I1385" s="511"/>
    </row>
    <row r="1386" spans="1:9">
      <c r="A1386" s="509"/>
      <c r="B1386" s="510"/>
      <c r="C1386" s="23"/>
      <c r="D1386" s="23"/>
      <c r="E1386" s="23"/>
      <c r="F1386" s="21"/>
      <c r="G1386" s="21"/>
      <c r="H1386" s="21"/>
      <c r="I1386" s="511"/>
    </row>
    <row r="1387" spans="1:9">
      <c r="A1387" s="509"/>
      <c r="B1387" s="510"/>
      <c r="C1387" s="23"/>
      <c r="D1387" s="23"/>
      <c r="E1387" s="23"/>
      <c r="F1387" s="21"/>
      <c r="G1387" s="21"/>
      <c r="H1387" s="21"/>
      <c r="I1387" s="511"/>
    </row>
    <row r="1388" spans="1:9">
      <c r="A1388" s="509"/>
      <c r="B1388" s="510"/>
      <c r="C1388" s="23"/>
      <c r="D1388" s="23"/>
      <c r="E1388" s="23"/>
      <c r="F1388" s="21"/>
      <c r="G1388" s="21"/>
      <c r="H1388" s="21"/>
      <c r="I1388" s="511"/>
    </row>
    <row r="1389" spans="1:9">
      <c r="A1389" s="509"/>
      <c r="B1389" s="510"/>
      <c r="C1389" s="23"/>
      <c r="D1389" s="23"/>
      <c r="E1389" s="23"/>
      <c r="F1389" s="21"/>
      <c r="G1389" s="21"/>
      <c r="H1389" s="21"/>
      <c r="I1389" s="511"/>
    </row>
    <row r="1390" spans="1:9">
      <c r="A1390" s="509"/>
      <c r="B1390" s="510"/>
      <c r="C1390" s="23"/>
      <c r="D1390" s="23"/>
      <c r="E1390" s="23"/>
      <c r="F1390" s="21"/>
      <c r="G1390" s="21"/>
      <c r="H1390" s="21"/>
      <c r="I1390" s="511"/>
    </row>
    <row r="1391" spans="1:9">
      <c r="A1391" s="509"/>
      <c r="B1391" s="510"/>
      <c r="C1391" s="23"/>
      <c r="D1391" s="23"/>
      <c r="E1391" s="23"/>
      <c r="F1391" s="21"/>
      <c r="G1391" s="21"/>
      <c r="H1391" s="21"/>
      <c r="I1391" s="511"/>
    </row>
    <row r="1392" spans="1:9">
      <c r="A1392" s="509"/>
      <c r="B1392" s="510"/>
      <c r="C1392" s="23"/>
      <c r="D1392" s="23"/>
      <c r="E1392" s="23"/>
      <c r="F1392" s="21"/>
      <c r="G1392" s="21"/>
      <c r="H1392" s="21"/>
      <c r="I1392" s="511"/>
    </row>
    <row r="1393" spans="1:9">
      <c r="A1393" s="509"/>
      <c r="B1393" s="510"/>
      <c r="C1393" s="23"/>
      <c r="D1393" s="23"/>
      <c r="E1393" s="23"/>
      <c r="F1393" s="21"/>
      <c r="G1393" s="21"/>
      <c r="H1393" s="21"/>
      <c r="I1393" s="511"/>
    </row>
    <row r="1394" spans="1:9">
      <c r="A1394" s="509"/>
      <c r="B1394" s="510"/>
      <c r="C1394" s="23"/>
      <c r="D1394" s="23"/>
      <c r="E1394" s="23"/>
      <c r="F1394" s="21"/>
      <c r="G1394" s="21"/>
      <c r="H1394" s="21"/>
      <c r="I1394" s="511"/>
    </row>
    <row r="1395" spans="1:9">
      <c r="A1395" s="509"/>
      <c r="B1395" s="510"/>
      <c r="C1395" s="23"/>
      <c r="D1395" s="23"/>
      <c r="E1395" s="23"/>
      <c r="F1395" s="21"/>
      <c r="G1395" s="21"/>
      <c r="H1395" s="21"/>
      <c r="I1395" s="511"/>
    </row>
    <row r="1396" spans="1:9">
      <c r="A1396" s="509"/>
      <c r="B1396" s="510"/>
      <c r="C1396" s="23"/>
      <c r="D1396" s="23"/>
      <c r="E1396" s="23"/>
      <c r="F1396" s="21"/>
      <c r="G1396" s="21"/>
      <c r="H1396" s="21"/>
      <c r="I1396" s="511"/>
    </row>
    <row r="1397" spans="1:9">
      <c r="A1397" s="509"/>
      <c r="B1397" s="510"/>
      <c r="C1397" s="23"/>
      <c r="D1397" s="23"/>
      <c r="E1397" s="23"/>
      <c r="F1397" s="21"/>
      <c r="G1397" s="21"/>
      <c r="H1397" s="21"/>
      <c r="I1397" s="511"/>
    </row>
    <row r="1398" spans="1:9">
      <c r="A1398" s="509"/>
      <c r="B1398" s="510"/>
      <c r="C1398" s="23"/>
      <c r="D1398" s="23"/>
      <c r="E1398" s="23"/>
      <c r="F1398" s="21"/>
      <c r="G1398" s="21"/>
      <c r="H1398" s="21"/>
      <c r="I1398" s="511"/>
    </row>
    <row r="1399" spans="1:9">
      <c r="A1399" s="509"/>
      <c r="B1399" s="510"/>
      <c r="C1399" s="23"/>
      <c r="D1399" s="23"/>
      <c r="E1399" s="23"/>
      <c r="F1399" s="21"/>
      <c r="G1399" s="21"/>
      <c r="H1399" s="21"/>
      <c r="I1399" s="511"/>
    </row>
    <row r="1400" spans="1:9">
      <c r="A1400" s="509"/>
      <c r="B1400" s="510"/>
      <c r="C1400" s="23"/>
      <c r="D1400" s="23"/>
      <c r="E1400" s="23"/>
      <c r="F1400" s="21"/>
      <c r="G1400" s="21"/>
      <c r="H1400" s="21"/>
      <c r="I1400" s="511"/>
    </row>
    <row r="1401" spans="1:9">
      <c r="A1401" s="509"/>
      <c r="B1401" s="510"/>
      <c r="C1401" s="23"/>
      <c r="D1401" s="23"/>
      <c r="E1401" s="23"/>
      <c r="F1401" s="21"/>
      <c r="G1401" s="21"/>
      <c r="H1401" s="21"/>
      <c r="I1401" s="511"/>
    </row>
    <row r="1402" spans="1:9">
      <c r="A1402" s="509"/>
      <c r="B1402" s="510"/>
      <c r="C1402" s="23"/>
      <c r="D1402" s="23"/>
      <c r="E1402" s="23"/>
      <c r="F1402" s="21"/>
      <c r="G1402" s="21"/>
      <c r="H1402" s="21"/>
      <c r="I1402" s="511"/>
    </row>
    <row r="1403" spans="1:9">
      <c r="A1403" s="509"/>
      <c r="B1403" s="510"/>
      <c r="C1403" s="23"/>
      <c r="D1403" s="23"/>
      <c r="E1403" s="23"/>
      <c r="F1403" s="21"/>
      <c r="G1403" s="21"/>
      <c r="H1403" s="21"/>
      <c r="I1403" s="511"/>
    </row>
    <row r="1404" spans="1:9">
      <c r="A1404" s="509"/>
      <c r="B1404" s="510"/>
      <c r="C1404" s="23"/>
      <c r="D1404" s="23"/>
      <c r="E1404" s="23"/>
      <c r="F1404" s="21"/>
      <c r="G1404" s="21"/>
      <c r="H1404" s="21"/>
      <c r="I1404" s="511"/>
    </row>
    <row r="1405" spans="1:9">
      <c r="A1405" s="509"/>
      <c r="B1405" s="510"/>
      <c r="C1405" s="23"/>
      <c r="D1405" s="23"/>
      <c r="E1405" s="23"/>
      <c r="F1405" s="21"/>
      <c r="G1405" s="21"/>
      <c r="H1405" s="21"/>
      <c r="I1405" s="511"/>
    </row>
    <row r="1406" spans="1:9">
      <c r="A1406" s="509"/>
      <c r="B1406" s="510"/>
      <c r="C1406" s="23"/>
      <c r="D1406" s="23"/>
      <c r="E1406" s="23"/>
      <c r="F1406" s="21"/>
      <c r="G1406" s="21"/>
      <c r="H1406" s="21"/>
      <c r="I1406" s="511"/>
    </row>
    <row r="1407" spans="1:9">
      <c r="A1407" s="509"/>
      <c r="B1407" s="510"/>
      <c r="C1407" s="23"/>
      <c r="D1407" s="23"/>
      <c r="E1407" s="23"/>
      <c r="F1407" s="21"/>
      <c r="G1407" s="21"/>
      <c r="H1407" s="21"/>
      <c r="I1407" s="511"/>
    </row>
    <row r="1408" spans="1:9">
      <c r="A1408" s="509"/>
      <c r="B1408" s="510"/>
      <c r="C1408" s="23"/>
      <c r="D1408" s="23"/>
      <c r="E1408" s="23"/>
      <c r="F1408" s="21"/>
      <c r="G1408" s="21"/>
      <c r="H1408" s="21"/>
      <c r="I1408" s="511"/>
    </row>
    <row r="1409" spans="1:9">
      <c r="A1409" s="509"/>
      <c r="B1409" s="510"/>
      <c r="C1409" s="23"/>
      <c r="D1409" s="23"/>
      <c r="E1409" s="23"/>
      <c r="F1409" s="21"/>
      <c r="G1409" s="21"/>
      <c r="H1409" s="21"/>
      <c r="I1409" s="511"/>
    </row>
    <row r="1410" spans="1:9">
      <c r="A1410" s="509"/>
      <c r="B1410" s="510"/>
      <c r="C1410" s="23"/>
      <c r="D1410" s="23"/>
      <c r="E1410" s="23"/>
      <c r="F1410" s="21"/>
      <c r="G1410" s="21"/>
      <c r="H1410" s="21"/>
      <c r="I1410" s="511"/>
    </row>
    <row r="1411" spans="1:9">
      <c r="A1411" s="509"/>
      <c r="B1411" s="510"/>
      <c r="C1411" s="23"/>
      <c r="D1411" s="23"/>
      <c r="E1411" s="23"/>
      <c r="F1411" s="21"/>
      <c r="G1411" s="21"/>
      <c r="H1411" s="21"/>
      <c r="I1411" s="511"/>
    </row>
    <row r="1412" spans="1:9">
      <c r="A1412" s="509"/>
      <c r="B1412" s="510"/>
      <c r="C1412" s="23"/>
      <c r="D1412" s="23"/>
      <c r="E1412" s="23"/>
      <c r="F1412" s="21"/>
      <c r="G1412" s="21"/>
      <c r="H1412" s="21"/>
      <c r="I1412" s="511"/>
    </row>
    <row r="1413" spans="1:9">
      <c r="A1413" s="509"/>
      <c r="B1413" s="510"/>
      <c r="C1413" s="23"/>
      <c r="D1413" s="23"/>
      <c r="E1413" s="23"/>
      <c r="F1413" s="21"/>
      <c r="G1413" s="21"/>
      <c r="H1413" s="21"/>
      <c r="I1413" s="511"/>
    </row>
    <row r="1414" spans="1:9">
      <c r="A1414" s="509"/>
      <c r="B1414" s="510"/>
      <c r="C1414" s="23"/>
      <c r="D1414" s="23"/>
      <c r="E1414" s="23"/>
      <c r="F1414" s="21"/>
      <c r="G1414" s="21"/>
      <c r="H1414" s="21"/>
      <c r="I1414" s="511"/>
    </row>
    <row r="1415" spans="1:9">
      <c r="A1415" s="509"/>
      <c r="B1415" s="510"/>
      <c r="C1415" s="23"/>
      <c r="D1415" s="23"/>
      <c r="E1415" s="23"/>
      <c r="F1415" s="21"/>
      <c r="G1415" s="21"/>
      <c r="H1415" s="21"/>
      <c r="I1415" s="511"/>
    </row>
    <row r="1416" spans="1:9">
      <c r="A1416" s="509"/>
      <c r="B1416" s="510"/>
      <c r="C1416" s="23"/>
      <c r="D1416" s="23"/>
      <c r="E1416" s="23"/>
      <c r="F1416" s="21"/>
      <c r="G1416" s="21"/>
      <c r="H1416" s="21"/>
      <c r="I1416" s="511"/>
    </row>
    <row r="1417" spans="1:9">
      <c r="A1417" s="509"/>
      <c r="B1417" s="510"/>
      <c r="C1417" s="23"/>
      <c r="D1417" s="23"/>
      <c r="E1417" s="23"/>
      <c r="F1417" s="21"/>
      <c r="G1417" s="21"/>
      <c r="H1417" s="21"/>
      <c r="I1417" s="511"/>
    </row>
    <row r="1418" spans="1:9">
      <c r="A1418" s="509"/>
      <c r="B1418" s="510"/>
      <c r="C1418" s="23"/>
      <c r="D1418" s="23"/>
      <c r="E1418" s="23"/>
      <c r="F1418" s="21"/>
      <c r="G1418" s="21"/>
      <c r="H1418" s="21"/>
      <c r="I1418" s="511"/>
    </row>
    <row r="1419" spans="1:9">
      <c r="A1419" s="509"/>
      <c r="B1419" s="510"/>
      <c r="C1419" s="23"/>
      <c r="D1419" s="23"/>
      <c r="E1419" s="23"/>
      <c r="F1419" s="21"/>
      <c r="G1419" s="21"/>
      <c r="H1419" s="21"/>
      <c r="I1419" s="511"/>
    </row>
    <row r="1420" spans="1:9">
      <c r="A1420" s="509"/>
      <c r="B1420" s="510"/>
      <c r="C1420" s="23"/>
      <c r="D1420" s="23"/>
      <c r="E1420" s="23"/>
      <c r="F1420" s="21"/>
      <c r="G1420" s="21"/>
      <c r="H1420" s="21"/>
      <c r="I1420" s="511"/>
    </row>
    <row r="1421" spans="1:9">
      <c r="A1421" s="509"/>
      <c r="B1421" s="510"/>
      <c r="C1421" s="23"/>
      <c r="D1421" s="23"/>
      <c r="E1421" s="23"/>
      <c r="F1421" s="21"/>
      <c r="G1421" s="21"/>
      <c r="H1421" s="21"/>
      <c r="I1421" s="511"/>
    </row>
    <row r="1422" spans="1:9">
      <c r="A1422" s="509"/>
      <c r="B1422" s="510"/>
      <c r="C1422" s="23"/>
      <c r="D1422" s="23"/>
      <c r="E1422" s="23"/>
      <c r="F1422" s="21"/>
      <c r="G1422" s="21"/>
      <c r="H1422" s="21"/>
      <c r="I1422" s="511"/>
    </row>
    <row r="1423" spans="1:9">
      <c r="A1423" s="509"/>
      <c r="B1423" s="510"/>
      <c r="C1423" s="23"/>
      <c r="D1423" s="23"/>
      <c r="E1423" s="23"/>
      <c r="F1423" s="21"/>
      <c r="G1423" s="21"/>
      <c r="H1423" s="21"/>
      <c r="I1423" s="511"/>
    </row>
    <row r="1424" spans="1:9">
      <c r="A1424" s="509"/>
      <c r="B1424" s="510"/>
      <c r="C1424" s="23"/>
      <c r="D1424" s="23"/>
      <c r="E1424" s="23"/>
      <c r="F1424" s="21"/>
      <c r="G1424" s="21"/>
      <c r="H1424" s="21"/>
      <c r="I1424" s="511"/>
    </row>
    <row r="1425" spans="1:9">
      <c r="A1425" s="509"/>
      <c r="B1425" s="510"/>
      <c r="C1425" s="23"/>
      <c r="D1425" s="23"/>
      <c r="E1425" s="23"/>
      <c r="F1425" s="21"/>
      <c r="G1425" s="21"/>
      <c r="H1425" s="21"/>
      <c r="I1425" s="511"/>
    </row>
    <row r="1426" spans="1:9">
      <c r="A1426" s="509"/>
      <c r="B1426" s="510"/>
      <c r="C1426" s="23"/>
      <c r="D1426" s="23"/>
      <c r="E1426" s="23"/>
      <c r="F1426" s="21"/>
      <c r="G1426" s="21"/>
      <c r="H1426" s="21"/>
      <c r="I1426" s="511"/>
    </row>
    <row r="1427" spans="1:9">
      <c r="A1427" s="509"/>
      <c r="B1427" s="510"/>
      <c r="C1427" s="23"/>
      <c r="D1427" s="23"/>
      <c r="E1427" s="23"/>
      <c r="F1427" s="21"/>
      <c r="G1427" s="21"/>
      <c r="H1427" s="21"/>
      <c r="I1427" s="511"/>
    </row>
    <row r="1428" spans="1:9">
      <c r="A1428" s="509"/>
      <c r="B1428" s="510"/>
      <c r="C1428" s="23"/>
      <c r="D1428" s="23"/>
      <c r="E1428" s="23"/>
      <c r="F1428" s="21"/>
      <c r="G1428" s="21"/>
      <c r="H1428" s="21"/>
      <c r="I1428" s="511"/>
    </row>
    <row r="1429" spans="1:9">
      <c r="A1429" s="509"/>
      <c r="B1429" s="510"/>
      <c r="C1429" s="23"/>
      <c r="D1429" s="23"/>
      <c r="E1429" s="23"/>
      <c r="F1429" s="21"/>
      <c r="G1429" s="21"/>
      <c r="H1429" s="21"/>
      <c r="I1429" s="511"/>
    </row>
    <row r="1430" spans="1:9">
      <c r="A1430" s="509"/>
      <c r="B1430" s="510"/>
      <c r="C1430" s="23"/>
      <c r="D1430" s="23"/>
      <c r="E1430" s="23"/>
      <c r="F1430" s="21"/>
      <c r="G1430" s="21"/>
      <c r="H1430" s="21"/>
      <c r="I1430" s="511"/>
    </row>
    <row r="1431" spans="1:9">
      <c r="A1431" s="509"/>
      <c r="B1431" s="510"/>
      <c r="C1431" s="23"/>
      <c r="D1431" s="23"/>
      <c r="E1431" s="23"/>
      <c r="F1431" s="21"/>
      <c r="G1431" s="21"/>
      <c r="H1431" s="21"/>
      <c r="I1431" s="511"/>
    </row>
    <row r="1432" spans="1:9">
      <c r="A1432" s="509"/>
      <c r="B1432" s="510"/>
      <c r="C1432" s="23"/>
      <c r="D1432" s="23"/>
      <c r="E1432" s="23"/>
      <c r="F1432" s="21"/>
      <c r="G1432" s="21"/>
      <c r="H1432" s="21"/>
      <c r="I1432" s="511"/>
    </row>
    <row r="1433" spans="1:9">
      <c r="A1433" s="509"/>
      <c r="B1433" s="510"/>
      <c r="C1433" s="23"/>
      <c r="D1433" s="23"/>
      <c r="E1433" s="23"/>
      <c r="F1433" s="21"/>
      <c r="G1433" s="21"/>
      <c r="H1433" s="21"/>
      <c r="I1433" s="511"/>
    </row>
    <row r="1434" spans="1:9">
      <c r="A1434" s="509"/>
      <c r="B1434" s="510"/>
      <c r="C1434" s="23"/>
      <c r="D1434" s="23"/>
      <c r="E1434" s="23"/>
      <c r="F1434" s="21"/>
      <c r="G1434" s="21"/>
      <c r="H1434" s="21"/>
      <c r="I1434" s="511"/>
    </row>
    <row r="1435" spans="1:9">
      <c r="A1435" s="509"/>
      <c r="B1435" s="510"/>
      <c r="C1435" s="23"/>
      <c r="D1435" s="23"/>
      <c r="E1435" s="23"/>
      <c r="F1435" s="21"/>
      <c r="G1435" s="21"/>
      <c r="H1435" s="21"/>
      <c r="I1435" s="511"/>
    </row>
    <row r="1436" spans="1:9">
      <c r="A1436" s="509"/>
      <c r="B1436" s="510"/>
      <c r="C1436" s="23"/>
      <c r="D1436" s="23"/>
      <c r="E1436" s="23"/>
      <c r="F1436" s="21"/>
      <c r="G1436" s="21"/>
      <c r="H1436" s="21"/>
      <c r="I1436" s="511"/>
    </row>
    <row r="1437" spans="1:9">
      <c r="A1437" s="509"/>
      <c r="B1437" s="510"/>
      <c r="C1437" s="23"/>
      <c r="D1437" s="23"/>
      <c r="E1437" s="23"/>
      <c r="F1437" s="21"/>
      <c r="G1437" s="21"/>
      <c r="H1437" s="21"/>
      <c r="I1437" s="511"/>
    </row>
    <row r="1438" spans="1:9">
      <c r="A1438" s="509"/>
      <c r="B1438" s="510"/>
      <c r="C1438" s="23"/>
      <c r="D1438" s="23"/>
      <c r="E1438" s="23"/>
      <c r="F1438" s="21"/>
      <c r="G1438" s="21"/>
      <c r="H1438" s="21"/>
      <c r="I1438" s="511"/>
    </row>
    <row r="1439" spans="1:9">
      <c r="A1439" s="509"/>
      <c r="B1439" s="510"/>
      <c r="C1439" s="23"/>
      <c r="D1439" s="23"/>
      <c r="E1439" s="23"/>
      <c r="F1439" s="21"/>
      <c r="G1439" s="21"/>
      <c r="H1439" s="21"/>
      <c r="I1439" s="511"/>
    </row>
    <row r="1440" spans="1:9">
      <c r="A1440" s="509"/>
      <c r="B1440" s="510"/>
      <c r="C1440" s="23"/>
      <c r="D1440" s="23"/>
      <c r="E1440" s="23"/>
      <c r="F1440" s="21"/>
      <c r="G1440" s="21"/>
      <c r="H1440" s="21"/>
      <c r="I1440" s="511"/>
    </row>
    <row r="1441" spans="1:9">
      <c r="A1441" s="509"/>
      <c r="B1441" s="510"/>
      <c r="C1441" s="23"/>
      <c r="D1441" s="23"/>
      <c r="E1441" s="23"/>
      <c r="F1441" s="21"/>
      <c r="G1441" s="21"/>
      <c r="H1441" s="21"/>
      <c r="I1441" s="511"/>
    </row>
    <row r="1442" spans="1:9">
      <c r="A1442" s="509"/>
      <c r="B1442" s="510"/>
      <c r="C1442" s="23"/>
      <c r="D1442" s="23"/>
      <c r="E1442" s="23"/>
      <c r="F1442" s="21"/>
      <c r="G1442" s="21"/>
      <c r="H1442" s="21"/>
      <c r="I1442" s="511"/>
    </row>
    <row r="1443" spans="1:9">
      <c r="A1443" s="509"/>
      <c r="B1443" s="510"/>
      <c r="C1443" s="23"/>
      <c r="D1443" s="23"/>
      <c r="E1443" s="23"/>
      <c r="F1443" s="21"/>
      <c r="G1443" s="21"/>
      <c r="H1443" s="21"/>
      <c r="I1443" s="511"/>
    </row>
    <row r="1444" spans="1:9">
      <c r="A1444" s="509"/>
      <c r="B1444" s="510"/>
      <c r="C1444" s="23"/>
      <c r="D1444" s="23"/>
      <c r="E1444" s="23"/>
      <c r="F1444" s="21"/>
      <c r="G1444" s="21"/>
      <c r="H1444" s="21"/>
      <c r="I1444" s="511"/>
    </row>
    <row r="1445" spans="1:9">
      <c r="A1445" s="509"/>
      <c r="B1445" s="510"/>
      <c r="C1445" s="23"/>
      <c r="D1445" s="23"/>
      <c r="E1445" s="23"/>
      <c r="F1445" s="21"/>
      <c r="G1445" s="21"/>
      <c r="H1445" s="21"/>
      <c r="I1445" s="511"/>
    </row>
    <row r="1446" spans="1:9">
      <c r="A1446" s="509"/>
      <c r="B1446" s="510"/>
      <c r="C1446" s="23"/>
      <c r="D1446" s="23"/>
      <c r="E1446" s="23"/>
      <c r="F1446" s="21"/>
      <c r="G1446" s="21"/>
      <c r="H1446" s="21"/>
      <c r="I1446" s="511"/>
    </row>
    <row r="1447" spans="1:9">
      <c r="A1447" s="509"/>
      <c r="B1447" s="510"/>
      <c r="C1447" s="23"/>
      <c r="D1447" s="23"/>
      <c r="E1447" s="23"/>
      <c r="F1447" s="21"/>
      <c r="G1447" s="21"/>
      <c r="H1447" s="21"/>
      <c r="I1447" s="511"/>
    </row>
    <row r="1448" spans="1:9">
      <c r="A1448" s="509"/>
      <c r="B1448" s="510"/>
      <c r="C1448" s="23"/>
      <c r="D1448" s="23"/>
      <c r="E1448" s="23"/>
      <c r="F1448" s="21"/>
      <c r="G1448" s="21"/>
      <c r="H1448" s="21"/>
      <c r="I1448" s="511"/>
    </row>
    <row r="1449" spans="1:9">
      <c r="A1449" s="509"/>
      <c r="B1449" s="510"/>
      <c r="C1449" s="23"/>
      <c r="D1449" s="23"/>
      <c r="E1449" s="23"/>
      <c r="F1449" s="21"/>
      <c r="G1449" s="21"/>
      <c r="H1449" s="21"/>
      <c r="I1449" s="511"/>
    </row>
    <row r="1450" spans="1:9">
      <c r="A1450" s="509"/>
      <c r="B1450" s="510"/>
      <c r="C1450" s="23"/>
      <c r="D1450" s="23"/>
      <c r="E1450" s="23"/>
      <c r="F1450" s="21"/>
      <c r="G1450" s="21"/>
      <c r="H1450" s="21"/>
      <c r="I1450" s="511"/>
    </row>
    <row r="1451" spans="1:9">
      <c r="A1451" s="509"/>
      <c r="B1451" s="510"/>
      <c r="C1451" s="23"/>
      <c r="D1451" s="23"/>
      <c r="E1451" s="23"/>
      <c r="F1451" s="21"/>
      <c r="G1451" s="21"/>
      <c r="H1451" s="21"/>
      <c r="I1451" s="511"/>
    </row>
    <row r="1452" spans="1:9">
      <c r="A1452" s="509"/>
      <c r="B1452" s="510"/>
      <c r="C1452" s="23"/>
      <c r="D1452" s="23"/>
      <c r="E1452" s="23"/>
      <c r="F1452" s="21"/>
      <c r="G1452" s="21"/>
      <c r="H1452" s="21"/>
      <c r="I1452" s="511"/>
    </row>
    <row r="1453" spans="1:9">
      <c r="A1453" s="509"/>
      <c r="B1453" s="510"/>
      <c r="C1453" s="23"/>
      <c r="D1453" s="23"/>
      <c r="E1453" s="23"/>
      <c r="F1453" s="21"/>
      <c r="G1453" s="21"/>
      <c r="H1453" s="21"/>
      <c r="I1453" s="511"/>
    </row>
    <row r="1454" spans="1:9">
      <c r="A1454" s="509"/>
      <c r="B1454" s="510"/>
      <c r="C1454" s="23"/>
      <c r="D1454" s="23"/>
      <c r="E1454" s="23"/>
      <c r="F1454" s="21"/>
      <c r="G1454" s="21"/>
      <c r="H1454" s="21"/>
      <c r="I1454" s="511"/>
    </row>
    <row r="1455" spans="1:9">
      <c r="A1455" s="509"/>
      <c r="B1455" s="510"/>
      <c r="C1455" s="23"/>
      <c r="D1455" s="23"/>
      <c r="E1455" s="23"/>
      <c r="F1455" s="21"/>
      <c r="G1455" s="21"/>
      <c r="H1455" s="21"/>
      <c r="I1455" s="511"/>
    </row>
    <row r="1456" spans="1:9">
      <c r="A1456" s="509"/>
      <c r="B1456" s="510"/>
      <c r="C1456" s="23"/>
      <c r="D1456" s="23"/>
      <c r="E1456" s="23"/>
      <c r="F1456" s="21"/>
      <c r="G1456" s="21"/>
      <c r="H1456" s="21"/>
      <c r="I1456" s="511"/>
    </row>
    <row r="1457" spans="1:9">
      <c r="A1457" s="509"/>
      <c r="B1457" s="510"/>
      <c r="C1457" s="23"/>
      <c r="D1457" s="23"/>
      <c r="E1457" s="23"/>
      <c r="F1457" s="21"/>
      <c r="G1457" s="21"/>
      <c r="H1457" s="21"/>
      <c r="I1457" s="511"/>
    </row>
    <row r="1458" spans="1:9">
      <c r="A1458" s="509"/>
      <c r="B1458" s="510"/>
      <c r="C1458" s="23"/>
      <c r="D1458" s="23"/>
      <c r="E1458" s="23"/>
      <c r="F1458" s="21"/>
      <c r="G1458" s="21"/>
      <c r="H1458" s="21"/>
      <c r="I1458" s="511"/>
    </row>
    <row r="1459" spans="1:9">
      <c r="A1459" s="509"/>
      <c r="B1459" s="510"/>
      <c r="C1459" s="23"/>
      <c r="D1459" s="23"/>
      <c r="E1459" s="23"/>
      <c r="F1459" s="21"/>
      <c r="G1459" s="21"/>
      <c r="H1459" s="21"/>
      <c r="I1459" s="511"/>
    </row>
    <row r="1460" spans="1:9">
      <c r="A1460" s="509"/>
      <c r="B1460" s="510"/>
      <c r="C1460" s="23"/>
      <c r="D1460" s="23"/>
      <c r="E1460" s="23"/>
      <c r="F1460" s="21"/>
      <c r="G1460" s="21"/>
      <c r="H1460" s="21"/>
      <c r="I1460" s="511"/>
    </row>
    <row r="1461" spans="1:9">
      <c r="A1461" s="509"/>
      <c r="B1461" s="510"/>
      <c r="C1461" s="23"/>
      <c r="D1461" s="23"/>
      <c r="E1461" s="23"/>
      <c r="F1461" s="21"/>
      <c r="G1461" s="21"/>
      <c r="H1461" s="21"/>
      <c r="I1461" s="511"/>
    </row>
    <row r="1462" spans="1:9">
      <c r="A1462" s="509"/>
      <c r="B1462" s="510"/>
      <c r="C1462" s="23"/>
      <c r="D1462" s="23"/>
      <c r="E1462" s="23"/>
      <c r="F1462" s="21"/>
      <c r="G1462" s="21"/>
      <c r="H1462" s="21"/>
      <c r="I1462" s="511"/>
    </row>
    <row r="1463" spans="1:9">
      <c r="A1463" s="509"/>
      <c r="B1463" s="510"/>
      <c r="C1463" s="23"/>
      <c r="D1463" s="23"/>
      <c r="E1463" s="23"/>
      <c r="F1463" s="21"/>
      <c r="G1463" s="21"/>
      <c r="H1463" s="21"/>
      <c r="I1463" s="511"/>
    </row>
    <row r="1464" spans="1:9">
      <c r="A1464" s="509"/>
      <c r="B1464" s="510"/>
      <c r="C1464" s="23"/>
      <c r="D1464" s="23"/>
      <c r="E1464" s="23"/>
      <c r="F1464" s="21"/>
      <c r="G1464" s="21"/>
      <c r="H1464" s="21"/>
      <c r="I1464" s="511"/>
    </row>
    <row r="1465" spans="1:9">
      <c r="A1465" s="509"/>
      <c r="B1465" s="510"/>
      <c r="C1465" s="23"/>
      <c r="D1465" s="23"/>
      <c r="E1465" s="23"/>
      <c r="F1465" s="21"/>
      <c r="G1465" s="21"/>
      <c r="H1465" s="21"/>
      <c r="I1465" s="511"/>
    </row>
    <row r="1466" spans="1:9">
      <c r="A1466" s="509"/>
      <c r="B1466" s="510"/>
      <c r="C1466" s="23"/>
      <c r="D1466" s="23"/>
      <c r="E1466" s="23"/>
      <c r="F1466" s="21"/>
      <c r="G1466" s="21"/>
      <c r="H1466" s="21"/>
      <c r="I1466" s="511"/>
    </row>
    <row r="1467" spans="1:9">
      <c r="A1467" s="509"/>
      <c r="B1467" s="510"/>
      <c r="C1467" s="23"/>
      <c r="D1467" s="23"/>
      <c r="E1467" s="23"/>
      <c r="F1467" s="21"/>
      <c r="G1467" s="21"/>
      <c r="H1467" s="21"/>
      <c r="I1467" s="511"/>
    </row>
    <row r="1468" spans="1:9">
      <c r="A1468" s="509"/>
      <c r="B1468" s="510"/>
      <c r="C1468" s="23"/>
      <c r="D1468" s="23"/>
      <c r="E1468" s="23"/>
      <c r="F1468" s="21"/>
      <c r="G1468" s="21"/>
      <c r="H1468" s="21"/>
      <c r="I1468" s="511"/>
    </row>
    <row r="1469" spans="1:9">
      <c r="A1469" s="509"/>
      <c r="B1469" s="510"/>
      <c r="C1469" s="23"/>
      <c r="D1469" s="23"/>
      <c r="E1469" s="23"/>
      <c r="F1469" s="21"/>
      <c r="G1469" s="21"/>
      <c r="H1469" s="21"/>
      <c r="I1469" s="511"/>
    </row>
    <row r="1470" spans="1:9">
      <c r="A1470" s="509"/>
      <c r="B1470" s="510"/>
      <c r="C1470" s="23"/>
      <c r="D1470" s="23"/>
      <c r="E1470" s="23"/>
      <c r="F1470" s="21"/>
      <c r="G1470" s="21"/>
      <c r="H1470" s="21"/>
      <c r="I1470" s="511"/>
    </row>
    <row r="1471" spans="1:9">
      <c r="A1471" s="509"/>
      <c r="B1471" s="510"/>
      <c r="C1471" s="23"/>
      <c r="D1471" s="23"/>
      <c r="E1471" s="23"/>
      <c r="F1471" s="21"/>
      <c r="G1471" s="21"/>
      <c r="H1471" s="21"/>
      <c r="I1471" s="511"/>
    </row>
    <row r="1472" spans="1:9">
      <c r="A1472" s="509"/>
      <c r="B1472" s="510"/>
      <c r="C1472" s="23"/>
      <c r="D1472" s="23"/>
      <c r="E1472" s="23"/>
      <c r="F1472" s="21"/>
      <c r="G1472" s="21"/>
      <c r="H1472" s="21"/>
      <c r="I1472" s="511"/>
    </row>
    <row r="1473" spans="1:9">
      <c r="A1473" s="509"/>
      <c r="B1473" s="510"/>
      <c r="C1473" s="23"/>
      <c r="D1473" s="23"/>
      <c r="E1473" s="23"/>
      <c r="F1473" s="21"/>
      <c r="G1473" s="21"/>
      <c r="H1473" s="21"/>
      <c r="I1473" s="511"/>
    </row>
    <row r="1474" spans="1:9">
      <c r="A1474" s="509"/>
      <c r="B1474" s="510"/>
      <c r="C1474" s="23"/>
      <c r="D1474" s="23"/>
      <c r="E1474" s="23"/>
      <c r="F1474" s="21"/>
      <c r="G1474" s="21"/>
      <c r="H1474" s="21"/>
      <c r="I1474" s="511"/>
    </row>
    <row r="1475" spans="1:9">
      <c r="A1475" s="509"/>
      <c r="B1475" s="510"/>
      <c r="C1475" s="23"/>
      <c r="D1475" s="23"/>
      <c r="E1475" s="23"/>
      <c r="F1475" s="21"/>
      <c r="G1475" s="21"/>
      <c r="H1475" s="21"/>
      <c r="I1475" s="511"/>
    </row>
    <row r="1476" spans="1:9">
      <c r="A1476" s="509"/>
      <c r="B1476" s="510"/>
      <c r="C1476" s="23"/>
      <c r="D1476" s="23"/>
      <c r="E1476" s="23"/>
      <c r="F1476" s="21"/>
      <c r="G1476" s="21"/>
      <c r="H1476" s="21"/>
      <c r="I1476" s="511"/>
    </row>
    <row r="1477" spans="1:9">
      <c r="A1477" s="509"/>
      <c r="B1477" s="510"/>
      <c r="C1477" s="23"/>
      <c r="D1477" s="23"/>
      <c r="E1477" s="23"/>
      <c r="F1477" s="21"/>
      <c r="G1477" s="21"/>
      <c r="H1477" s="21"/>
      <c r="I1477" s="511"/>
    </row>
    <row r="1478" spans="1:9">
      <c r="A1478" s="509"/>
      <c r="B1478" s="510"/>
      <c r="C1478" s="23"/>
      <c r="D1478" s="23"/>
      <c r="E1478" s="23"/>
      <c r="F1478" s="21"/>
      <c r="G1478" s="21"/>
      <c r="H1478" s="21"/>
      <c r="I1478" s="511"/>
    </row>
    <row r="1479" spans="1:9">
      <c r="A1479" s="509"/>
      <c r="B1479" s="510"/>
      <c r="C1479" s="23"/>
      <c r="D1479" s="23"/>
      <c r="E1479" s="23"/>
      <c r="F1479" s="21"/>
      <c r="G1479" s="21"/>
      <c r="H1479" s="21"/>
      <c r="I1479" s="511"/>
    </row>
    <row r="1480" spans="1:9">
      <c r="A1480" s="509"/>
      <c r="B1480" s="510"/>
      <c r="C1480" s="23"/>
      <c r="D1480" s="23"/>
      <c r="E1480" s="23"/>
      <c r="F1480" s="21"/>
      <c r="G1480" s="21"/>
      <c r="H1480" s="21"/>
      <c r="I1480" s="511"/>
    </row>
    <row r="1481" spans="1:9">
      <c r="A1481" s="509"/>
      <c r="B1481" s="510"/>
      <c r="C1481" s="23"/>
      <c r="D1481" s="23"/>
      <c r="E1481" s="23"/>
      <c r="F1481" s="21"/>
      <c r="G1481" s="21"/>
      <c r="H1481" s="21"/>
      <c r="I1481" s="511"/>
    </row>
    <row r="1482" spans="1:9">
      <c r="A1482" s="509"/>
      <c r="B1482" s="510"/>
      <c r="C1482" s="23"/>
      <c r="D1482" s="23"/>
      <c r="E1482" s="23"/>
      <c r="F1482" s="21"/>
      <c r="G1482" s="21"/>
      <c r="H1482" s="21"/>
      <c r="I1482" s="511"/>
    </row>
    <row r="1483" spans="1:9">
      <c r="A1483" s="509"/>
      <c r="B1483" s="510"/>
      <c r="C1483" s="23"/>
      <c r="D1483" s="23"/>
      <c r="E1483" s="23"/>
      <c r="F1483" s="21"/>
      <c r="G1483" s="21"/>
      <c r="H1483" s="21"/>
      <c r="I1483" s="511"/>
    </row>
    <row r="1484" spans="1:9">
      <c r="A1484" s="509"/>
      <c r="B1484" s="510"/>
      <c r="C1484" s="23"/>
      <c r="D1484" s="23"/>
      <c r="E1484" s="23"/>
      <c r="F1484" s="21"/>
      <c r="G1484" s="21"/>
      <c r="H1484" s="21"/>
      <c r="I1484" s="511"/>
    </row>
    <row r="1485" spans="1:9">
      <c r="A1485" s="509"/>
      <c r="B1485" s="510"/>
      <c r="C1485" s="23"/>
      <c r="D1485" s="23"/>
      <c r="E1485" s="23"/>
      <c r="F1485" s="21"/>
      <c r="G1485" s="21"/>
      <c r="H1485" s="21"/>
      <c r="I1485" s="511"/>
    </row>
    <row r="1486" spans="1:9">
      <c r="A1486" s="509"/>
      <c r="B1486" s="510"/>
      <c r="C1486" s="23"/>
      <c r="D1486" s="23"/>
      <c r="E1486" s="23"/>
      <c r="F1486" s="21"/>
      <c r="G1486" s="21"/>
      <c r="H1486" s="21"/>
      <c r="I1486" s="511"/>
    </row>
    <row r="1487" spans="1:9">
      <c r="A1487" s="509"/>
      <c r="B1487" s="510"/>
      <c r="C1487" s="23"/>
      <c r="D1487" s="23"/>
      <c r="E1487" s="23"/>
      <c r="F1487" s="21"/>
      <c r="G1487" s="21"/>
      <c r="H1487" s="21"/>
      <c r="I1487" s="511"/>
    </row>
    <row r="1488" spans="1:9">
      <c r="A1488" s="509"/>
      <c r="B1488" s="510"/>
      <c r="C1488" s="23"/>
      <c r="D1488" s="23"/>
      <c r="E1488" s="23"/>
      <c r="F1488" s="21"/>
      <c r="G1488" s="21"/>
      <c r="H1488" s="21"/>
      <c r="I1488" s="511"/>
    </row>
    <row r="1489" spans="1:9">
      <c r="A1489" s="509"/>
      <c r="B1489" s="510"/>
      <c r="C1489" s="23"/>
      <c r="D1489" s="23"/>
      <c r="E1489" s="23"/>
      <c r="F1489" s="21"/>
      <c r="G1489" s="21"/>
      <c r="H1489" s="21"/>
      <c r="I1489" s="511"/>
    </row>
    <row r="1490" spans="1:9">
      <c r="A1490" s="509"/>
      <c r="B1490" s="510"/>
      <c r="C1490" s="23"/>
      <c r="D1490" s="23"/>
      <c r="E1490" s="23"/>
      <c r="F1490" s="21"/>
      <c r="G1490" s="21"/>
      <c r="H1490" s="21"/>
      <c r="I1490" s="511"/>
    </row>
    <row r="1491" spans="1:9">
      <c r="A1491" s="509"/>
      <c r="B1491" s="510"/>
      <c r="C1491" s="23"/>
      <c r="D1491" s="23"/>
      <c r="E1491" s="23"/>
      <c r="F1491" s="21"/>
      <c r="G1491" s="21"/>
      <c r="H1491" s="21"/>
      <c r="I1491" s="511"/>
    </row>
    <row r="1492" spans="1:9">
      <c r="A1492" s="509"/>
      <c r="B1492" s="510"/>
      <c r="C1492" s="23"/>
      <c r="D1492" s="23"/>
      <c r="E1492" s="23"/>
      <c r="F1492" s="21"/>
      <c r="G1492" s="21"/>
      <c r="H1492" s="21"/>
      <c r="I1492" s="511"/>
    </row>
    <row r="1493" spans="1:9">
      <c r="A1493" s="509"/>
      <c r="B1493" s="510"/>
      <c r="C1493" s="23"/>
      <c r="D1493" s="23"/>
      <c r="E1493" s="23"/>
      <c r="F1493" s="21"/>
      <c r="G1493" s="21"/>
      <c r="H1493" s="21"/>
      <c r="I1493" s="511"/>
    </row>
    <row r="1494" spans="1:9">
      <c r="A1494" s="509"/>
      <c r="B1494" s="510"/>
      <c r="C1494" s="23"/>
      <c r="D1494" s="23"/>
      <c r="E1494" s="23"/>
      <c r="F1494" s="21"/>
      <c r="G1494" s="21"/>
      <c r="H1494" s="21"/>
      <c r="I1494" s="511"/>
    </row>
    <row r="1495" spans="1:9">
      <c r="A1495" s="509"/>
      <c r="B1495" s="510"/>
      <c r="C1495" s="23"/>
      <c r="D1495" s="23"/>
      <c r="E1495" s="23"/>
      <c r="F1495" s="21"/>
      <c r="G1495" s="21"/>
      <c r="H1495" s="21"/>
      <c r="I1495" s="511"/>
    </row>
    <row r="1496" spans="1:9">
      <c r="A1496" s="509"/>
      <c r="B1496" s="510"/>
      <c r="C1496" s="23"/>
      <c r="D1496" s="23"/>
      <c r="E1496" s="23"/>
      <c r="F1496" s="21"/>
      <c r="G1496" s="21"/>
      <c r="H1496" s="21"/>
      <c r="I1496" s="511"/>
    </row>
    <row r="1497" spans="1:9">
      <c r="A1497" s="509"/>
      <c r="B1497" s="510"/>
      <c r="C1497" s="23"/>
      <c r="D1497" s="23"/>
      <c r="E1497" s="23"/>
      <c r="F1497" s="21"/>
      <c r="G1497" s="21"/>
      <c r="H1497" s="21"/>
      <c r="I1497" s="511"/>
    </row>
    <row r="1498" spans="1:9">
      <c r="A1498" s="509"/>
      <c r="B1498" s="510"/>
      <c r="C1498" s="23"/>
      <c r="D1498" s="23"/>
      <c r="E1498" s="23"/>
      <c r="F1498" s="21"/>
      <c r="G1498" s="21"/>
      <c r="H1498" s="21"/>
      <c r="I1498" s="511"/>
    </row>
    <row r="1499" spans="1:9">
      <c r="A1499" s="509"/>
      <c r="B1499" s="510"/>
      <c r="C1499" s="23"/>
      <c r="D1499" s="23"/>
      <c r="E1499" s="23"/>
      <c r="F1499" s="21"/>
      <c r="G1499" s="21"/>
      <c r="H1499" s="21"/>
      <c r="I1499" s="511"/>
    </row>
    <row r="1500" spans="1:9">
      <c r="A1500" s="509"/>
      <c r="B1500" s="510"/>
      <c r="C1500" s="23"/>
      <c r="D1500" s="23"/>
      <c r="E1500" s="23"/>
      <c r="F1500" s="21"/>
      <c r="G1500" s="21"/>
      <c r="H1500" s="21"/>
      <c r="I1500" s="511"/>
    </row>
    <row r="1501" spans="1:9">
      <c r="A1501" s="509"/>
      <c r="B1501" s="510"/>
      <c r="C1501" s="23"/>
      <c r="D1501" s="23"/>
      <c r="E1501" s="23"/>
      <c r="F1501" s="21"/>
      <c r="G1501" s="21"/>
      <c r="H1501" s="21"/>
      <c r="I1501" s="511"/>
    </row>
    <row r="1502" spans="1:9">
      <c r="A1502" s="509"/>
      <c r="B1502" s="510"/>
      <c r="C1502" s="23"/>
      <c r="D1502" s="23"/>
      <c r="E1502" s="23"/>
      <c r="F1502" s="21"/>
      <c r="G1502" s="21"/>
      <c r="H1502" s="21"/>
      <c r="I1502" s="511"/>
    </row>
    <row r="1503" spans="1:9">
      <c r="A1503" s="509"/>
      <c r="B1503" s="510"/>
      <c r="C1503" s="23"/>
      <c r="D1503" s="23"/>
      <c r="E1503" s="23"/>
      <c r="F1503" s="21"/>
      <c r="G1503" s="21"/>
      <c r="H1503" s="21"/>
      <c r="I1503" s="511"/>
    </row>
    <row r="1504" spans="1:9">
      <c r="A1504" s="509"/>
      <c r="B1504" s="510"/>
      <c r="C1504" s="23"/>
      <c r="D1504" s="23"/>
      <c r="E1504" s="23"/>
      <c r="F1504" s="21"/>
      <c r="G1504" s="21"/>
      <c r="H1504" s="21"/>
      <c r="I1504" s="511"/>
    </row>
    <row r="1505" spans="1:9">
      <c r="A1505" s="509"/>
      <c r="B1505" s="510"/>
      <c r="C1505" s="23"/>
      <c r="D1505" s="23"/>
      <c r="E1505" s="23"/>
      <c r="F1505" s="21"/>
      <c r="G1505" s="21"/>
      <c r="H1505" s="21"/>
      <c r="I1505" s="511"/>
    </row>
    <row r="1506" spans="1:9">
      <c r="A1506" s="509"/>
      <c r="B1506" s="510"/>
      <c r="C1506" s="23"/>
      <c r="D1506" s="23"/>
      <c r="E1506" s="23"/>
      <c r="F1506" s="21"/>
      <c r="G1506" s="21"/>
      <c r="H1506" s="21"/>
      <c r="I1506" s="511"/>
    </row>
    <row r="1507" spans="1:9">
      <c r="A1507" s="509"/>
      <c r="B1507" s="510"/>
      <c r="C1507" s="23"/>
      <c r="D1507" s="23"/>
      <c r="E1507" s="23"/>
      <c r="F1507" s="21"/>
      <c r="G1507" s="21"/>
      <c r="H1507" s="21"/>
      <c r="I1507" s="511"/>
    </row>
    <row r="1508" spans="1:9">
      <c r="A1508" s="509"/>
      <c r="B1508" s="510"/>
      <c r="C1508" s="23"/>
      <c r="D1508" s="23"/>
      <c r="E1508" s="23"/>
      <c r="F1508" s="21"/>
      <c r="G1508" s="21"/>
      <c r="H1508" s="21"/>
      <c r="I1508" s="511"/>
    </row>
    <row r="1509" spans="1:9">
      <c r="A1509" s="509"/>
      <c r="B1509" s="510"/>
      <c r="C1509" s="23"/>
      <c r="D1509" s="23"/>
      <c r="E1509" s="23"/>
      <c r="F1509" s="21"/>
      <c r="G1509" s="21"/>
      <c r="H1509" s="21"/>
      <c r="I1509" s="511"/>
    </row>
    <row r="1510" spans="1:9">
      <c r="A1510" s="509"/>
      <c r="B1510" s="510"/>
      <c r="C1510" s="23"/>
      <c r="D1510" s="23"/>
      <c r="E1510" s="23"/>
      <c r="F1510" s="21"/>
      <c r="G1510" s="21"/>
      <c r="H1510" s="21"/>
      <c r="I1510" s="511"/>
    </row>
    <row r="1511" spans="1:9">
      <c r="A1511" s="509"/>
      <c r="B1511" s="510"/>
      <c r="C1511" s="23"/>
      <c r="D1511" s="23"/>
      <c r="E1511" s="23"/>
      <c r="F1511" s="21"/>
      <c r="G1511" s="21"/>
      <c r="H1511" s="21"/>
      <c r="I1511" s="511"/>
    </row>
    <row r="1512" spans="1:9">
      <c r="A1512" s="509"/>
      <c r="B1512" s="510"/>
      <c r="C1512" s="23"/>
      <c r="D1512" s="23"/>
      <c r="E1512" s="23"/>
      <c r="F1512" s="21"/>
      <c r="G1512" s="21"/>
      <c r="H1512" s="21"/>
      <c r="I1512" s="511"/>
    </row>
    <row r="1513" spans="1:9">
      <c r="A1513" s="509"/>
      <c r="B1513" s="510"/>
      <c r="C1513" s="23"/>
      <c r="D1513" s="23"/>
      <c r="E1513" s="23"/>
      <c r="F1513" s="21"/>
      <c r="G1513" s="21"/>
      <c r="H1513" s="21"/>
      <c r="I1513" s="511"/>
    </row>
    <row r="1514" spans="1:9">
      <c r="A1514" s="509"/>
      <c r="B1514" s="510"/>
      <c r="C1514" s="23"/>
      <c r="D1514" s="23"/>
      <c r="E1514" s="23"/>
      <c r="F1514" s="21"/>
      <c r="G1514" s="21"/>
      <c r="H1514" s="21"/>
      <c r="I1514" s="511"/>
    </row>
    <row r="1515" spans="1:9">
      <c r="A1515" s="509"/>
      <c r="B1515" s="510"/>
      <c r="C1515" s="23"/>
      <c r="D1515" s="23"/>
      <c r="E1515" s="23"/>
      <c r="F1515" s="21"/>
      <c r="G1515" s="21"/>
      <c r="H1515" s="21"/>
      <c r="I1515" s="511"/>
    </row>
    <row r="1516" spans="1:9">
      <c r="A1516" s="509"/>
      <c r="B1516" s="510"/>
      <c r="C1516" s="23"/>
      <c r="D1516" s="23"/>
      <c r="E1516" s="23"/>
      <c r="F1516" s="21"/>
      <c r="G1516" s="21"/>
      <c r="H1516" s="21"/>
      <c r="I1516" s="511"/>
    </row>
    <row r="1517" spans="1:9">
      <c r="A1517" s="509"/>
      <c r="B1517" s="510"/>
      <c r="C1517" s="23"/>
      <c r="D1517" s="23"/>
      <c r="E1517" s="23"/>
      <c r="F1517" s="21"/>
      <c r="G1517" s="21"/>
      <c r="H1517" s="21"/>
      <c r="I1517" s="511"/>
    </row>
    <row r="1518" spans="1:9">
      <c r="A1518" s="509"/>
      <c r="B1518" s="510"/>
      <c r="C1518" s="23"/>
      <c r="D1518" s="23"/>
      <c r="E1518" s="23"/>
      <c r="F1518" s="21"/>
      <c r="G1518" s="21"/>
      <c r="H1518" s="21"/>
      <c r="I1518" s="511"/>
    </row>
    <row r="1519" spans="1:9">
      <c r="A1519" s="509"/>
      <c r="B1519" s="510"/>
      <c r="C1519" s="23"/>
      <c r="D1519" s="23"/>
      <c r="E1519" s="23"/>
      <c r="F1519" s="21"/>
      <c r="G1519" s="21"/>
      <c r="H1519" s="21"/>
      <c r="I1519" s="511"/>
    </row>
    <row r="1520" spans="1:9">
      <c r="A1520" s="509"/>
      <c r="B1520" s="510"/>
      <c r="C1520" s="23"/>
      <c r="D1520" s="23"/>
      <c r="E1520" s="23"/>
      <c r="F1520" s="21"/>
      <c r="G1520" s="21"/>
      <c r="H1520" s="21"/>
      <c r="I1520" s="511"/>
    </row>
    <row r="1521" spans="1:9">
      <c r="A1521" s="509"/>
      <c r="B1521" s="510"/>
      <c r="C1521" s="23"/>
      <c r="D1521" s="23"/>
      <c r="E1521" s="23"/>
      <c r="F1521" s="21"/>
      <c r="G1521" s="21"/>
      <c r="H1521" s="21"/>
      <c r="I1521" s="511"/>
    </row>
    <row r="1522" spans="1:9">
      <c r="A1522" s="509"/>
      <c r="B1522" s="510"/>
      <c r="C1522" s="23"/>
      <c r="D1522" s="23"/>
      <c r="E1522" s="23"/>
      <c r="F1522" s="21"/>
      <c r="G1522" s="21"/>
      <c r="H1522" s="21"/>
      <c r="I1522" s="511"/>
    </row>
    <row r="1523" spans="1:9">
      <c r="A1523" s="509"/>
      <c r="B1523" s="510"/>
      <c r="C1523" s="23"/>
      <c r="D1523" s="23"/>
      <c r="E1523" s="23"/>
      <c r="F1523" s="21"/>
      <c r="G1523" s="21"/>
      <c r="H1523" s="21"/>
      <c r="I1523" s="511"/>
    </row>
    <row r="1524" spans="1:9">
      <c r="A1524" s="509"/>
      <c r="B1524" s="510"/>
      <c r="C1524" s="23"/>
      <c r="D1524" s="23"/>
      <c r="E1524" s="23"/>
      <c r="F1524" s="21"/>
      <c r="G1524" s="21"/>
      <c r="H1524" s="21"/>
      <c r="I1524" s="511"/>
    </row>
    <row r="1525" spans="1:9">
      <c r="A1525" s="509"/>
      <c r="B1525" s="510"/>
      <c r="C1525" s="23"/>
      <c r="D1525" s="23"/>
      <c r="E1525" s="23"/>
      <c r="F1525" s="21"/>
      <c r="G1525" s="21"/>
      <c r="H1525" s="21"/>
      <c r="I1525" s="511"/>
    </row>
    <row r="1526" spans="1:9">
      <c r="A1526" s="509"/>
      <c r="B1526" s="510"/>
      <c r="C1526" s="23"/>
      <c r="D1526" s="23"/>
      <c r="E1526" s="23"/>
      <c r="F1526" s="21"/>
      <c r="G1526" s="21"/>
      <c r="H1526" s="21"/>
      <c r="I1526" s="511"/>
    </row>
    <row r="1527" spans="1:9">
      <c r="A1527" s="509"/>
      <c r="B1527" s="510"/>
      <c r="C1527" s="23"/>
      <c r="D1527" s="23"/>
      <c r="E1527" s="23"/>
      <c r="F1527" s="21"/>
      <c r="G1527" s="21"/>
      <c r="H1527" s="21"/>
      <c r="I1527" s="511"/>
    </row>
    <row r="1528" spans="1:9">
      <c r="A1528" s="509"/>
      <c r="B1528" s="510"/>
      <c r="C1528" s="23"/>
      <c r="D1528" s="23"/>
      <c r="E1528" s="23"/>
      <c r="F1528" s="21"/>
      <c r="G1528" s="21"/>
      <c r="H1528" s="21"/>
      <c r="I1528" s="511"/>
    </row>
    <row r="1529" spans="1:9">
      <c r="A1529" s="509"/>
      <c r="B1529" s="510"/>
      <c r="C1529" s="23"/>
      <c r="D1529" s="23"/>
      <c r="E1529" s="23"/>
      <c r="F1529" s="21"/>
      <c r="G1529" s="21"/>
      <c r="H1529" s="21"/>
      <c r="I1529" s="511"/>
    </row>
    <row r="1530" spans="1:9">
      <c r="A1530" s="509"/>
      <c r="B1530" s="510"/>
      <c r="C1530" s="23"/>
      <c r="D1530" s="23"/>
      <c r="E1530" s="23"/>
      <c r="F1530" s="21"/>
      <c r="G1530" s="21"/>
      <c r="H1530" s="21"/>
      <c r="I1530" s="511"/>
    </row>
    <row r="1531" spans="1:9">
      <c r="A1531" s="509"/>
      <c r="B1531" s="510"/>
      <c r="C1531" s="23"/>
      <c r="D1531" s="23"/>
      <c r="E1531" s="23"/>
      <c r="F1531" s="21"/>
      <c r="G1531" s="21"/>
      <c r="H1531" s="21"/>
      <c r="I1531" s="511"/>
    </row>
    <row r="1532" spans="1:9">
      <c r="A1532" s="509"/>
      <c r="B1532" s="510"/>
      <c r="C1532" s="23"/>
      <c r="D1532" s="23"/>
      <c r="E1532" s="23"/>
      <c r="F1532" s="21"/>
      <c r="G1532" s="21"/>
      <c r="H1532" s="21"/>
      <c r="I1532" s="511"/>
    </row>
    <row r="1533" spans="1:9">
      <c r="A1533" s="509"/>
      <c r="B1533" s="510"/>
      <c r="C1533" s="23"/>
      <c r="D1533" s="23"/>
      <c r="E1533" s="23"/>
      <c r="F1533" s="21"/>
      <c r="G1533" s="21"/>
      <c r="H1533" s="21"/>
      <c r="I1533" s="511"/>
    </row>
    <row r="1534" spans="1:9">
      <c r="A1534" s="509"/>
      <c r="B1534" s="510"/>
      <c r="C1534" s="23"/>
      <c r="D1534" s="23"/>
      <c r="E1534" s="23"/>
      <c r="F1534" s="21"/>
      <c r="G1534" s="21"/>
      <c r="H1534" s="21"/>
      <c r="I1534" s="511"/>
    </row>
    <row r="1535" spans="1:9">
      <c r="A1535" s="509"/>
      <c r="B1535" s="510"/>
      <c r="C1535" s="23"/>
      <c r="D1535" s="23"/>
      <c r="E1535" s="23"/>
      <c r="F1535" s="21"/>
      <c r="G1535" s="21"/>
      <c r="H1535" s="21"/>
      <c r="I1535" s="511"/>
    </row>
    <row r="1536" spans="1:9">
      <c r="A1536" s="509"/>
      <c r="B1536" s="510"/>
      <c r="C1536" s="23"/>
      <c r="D1536" s="23"/>
      <c r="E1536" s="23"/>
      <c r="F1536" s="21"/>
      <c r="G1536" s="21"/>
      <c r="H1536" s="21"/>
      <c r="I1536" s="511"/>
    </row>
    <row r="1537" spans="1:9">
      <c r="A1537" s="509"/>
      <c r="B1537" s="510"/>
      <c r="C1537" s="23"/>
      <c r="D1537" s="23"/>
      <c r="E1537" s="23"/>
      <c r="F1537" s="21"/>
      <c r="G1537" s="21"/>
      <c r="H1537" s="21"/>
      <c r="I1537" s="511"/>
    </row>
    <row r="1538" spans="1:9">
      <c r="A1538" s="509"/>
      <c r="B1538" s="510"/>
      <c r="C1538" s="23"/>
      <c r="D1538" s="23"/>
      <c r="E1538" s="23"/>
      <c r="F1538" s="21"/>
      <c r="G1538" s="21"/>
      <c r="H1538" s="21"/>
      <c r="I1538" s="511"/>
    </row>
    <row r="1539" spans="1:9">
      <c r="A1539" s="509"/>
      <c r="B1539" s="510"/>
      <c r="C1539" s="23"/>
      <c r="D1539" s="23"/>
      <c r="E1539" s="23"/>
      <c r="F1539" s="21"/>
      <c r="G1539" s="21"/>
      <c r="H1539" s="21"/>
      <c r="I1539" s="511"/>
    </row>
    <row r="1540" spans="1:9">
      <c r="A1540" s="509"/>
      <c r="B1540" s="510"/>
      <c r="C1540" s="23"/>
      <c r="D1540" s="23"/>
      <c r="E1540" s="23"/>
      <c r="F1540" s="21"/>
      <c r="G1540" s="21"/>
      <c r="H1540" s="21"/>
      <c r="I1540" s="511"/>
    </row>
    <row r="1541" spans="1:9">
      <c r="A1541" s="509"/>
      <c r="B1541" s="510"/>
      <c r="C1541" s="23"/>
      <c r="D1541" s="23"/>
      <c r="E1541" s="23"/>
      <c r="F1541" s="21"/>
      <c r="G1541" s="21"/>
      <c r="H1541" s="21"/>
      <c r="I1541" s="511"/>
    </row>
    <row r="1542" spans="1:9">
      <c r="A1542" s="509"/>
      <c r="B1542" s="510"/>
      <c r="C1542" s="23"/>
      <c r="D1542" s="23"/>
      <c r="E1542" s="23"/>
      <c r="F1542" s="21"/>
      <c r="G1542" s="21"/>
      <c r="H1542" s="21"/>
      <c r="I1542" s="511"/>
    </row>
    <row r="1543" spans="1:9">
      <c r="A1543" s="509"/>
      <c r="B1543" s="510"/>
      <c r="C1543" s="23"/>
      <c r="D1543" s="23"/>
      <c r="E1543" s="23"/>
      <c r="F1543" s="21"/>
      <c r="G1543" s="21"/>
      <c r="H1543" s="21"/>
      <c r="I1543" s="511"/>
    </row>
    <row r="1544" spans="1:9">
      <c r="A1544" s="509"/>
      <c r="B1544" s="510"/>
      <c r="C1544" s="23"/>
      <c r="D1544" s="23"/>
      <c r="E1544" s="23"/>
      <c r="F1544" s="21"/>
      <c r="G1544" s="21"/>
      <c r="H1544" s="21"/>
      <c r="I1544" s="511"/>
    </row>
    <row r="1545" spans="1:9">
      <c r="A1545" s="509"/>
      <c r="B1545" s="510"/>
      <c r="C1545" s="23"/>
      <c r="D1545" s="23"/>
      <c r="E1545" s="23"/>
      <c r="F1545" s="21"/>
      <c r="G1545" s="21"/>
      <c r="H1545" s="21"/>
      <c r="I1545" s="511"/>
    </row>
    <row r="1546" spans="1:9">
      <c r="A1546" s="509"/>
      <c r="B1546" s="510"/>
      <c r="C1546" s="23"/>
      <c r="D1546" s="23"/>
      <c r="E1546" s="23"/>
      <c r="F1546" s="21"/>
      <c r="G1546" s="21"/>
      <c r="H1546" s="21"/>
      <c r="I1546" s="511"/>
    </row>
    <row r="1547" spans="1:9">
      <c r="A1547" s="509"/>
      <c r="B1547" s="510"/>
      <c r="C1547" s="23"/>
      <c r="D1547" s="23"/>
      <c r="E1547" s="23"/>
      <c r="F1547" s="21"/>
      <c r="G1547" s="21"/>
      <c r="H1547" s="21"/>
      <c r="I1547" s="511"/>
    </row>
    <row r="1548" spans="1:9">
      <c r="A1548" s="509"/>
      <c r="B1548" s="510"/>
      <c r="C1548" s="23"/>
      <c r="D1548" s="23"/>
      <c r="E1548" s="23"/>
      <c r="F1548" s="21"/>
      <c r="G1548" s="21"/>
      <c r="H1548" s="21"/>
      <c r="I1548" s="511"/>
    </row>
    <row r="1549" spans="1:9">
      <c r="A1549" s="509"/>
      <c r="B1549" s="510"/>
      <c r="C1549" s="23"/>
      <c r="D1549" s="23"/>
      <c r="E1549" s="23"/>
      <c r="F1549" s="21"/>
      <c r="G1549" s="21"/>
      <c r="H1549" s="21"/>
      <c r="I1549" s="511"/>
    </row>
    <row r="1550" spans="1:9">
      <c r="A1550" s="509"/>
      <c r="B1550" s="510"/>
      <c r="C1550" s="23"/>
      <c r="D1550" s="23"/>
      <c r="E1550" s="23"/>
      <c r="F1550" s="21"/>
      <c r="G1550" s="21"/>
      <c r="H1550" s="21"/>
      <c r="I1550" s="511"/>
    </row>
    <row r="1551" spans="1:9">
      <c r="A1551" s="509"/>
      <c r="B1551" s="510"/>
      <c r="C1551" s="23"/>
      <c r="D1551" s="23"/>
      <c r="E1551" s="23"/>
      <c r="F1551" s="21"/>
      <c r="G1551" s="21"/>
      <c r="H1551" s="21"/>
      <c r="I1551" s="511"/>
    </row>
    <row r="1552" spans="1:9">
      <c r="A1552" s="509"/>
      <c r="B1552" s="510"/>
      <c r="C1552" s="23"/>
      <c r="D1552" s="23"/>
      <c r="E1552" s="23"/>
      <c r="F1552" s="21"/>
      <c r="G1552" s="21"/>
      <c r="H1552" s="21"/>
      <c r="I1552" s="511"/>
    </row>
    <row r="1553" spans="1:9">
      <c r="A1553" s="509"/>
      <c r="B1553" s="510"/>
      <c r="C1553" s="23"/>
      <c r="D1553" s="23"/>
      <c r="E1553" s="23"/>
      <c r="F1553" s="21"/>
      <c r="G1553" s="21"/>
      <c r="H1553" s="21"/>
      <c r="I1553" s="511"/>
    </row>
    <row r="1554" spans="1:9">
      <c r="A1554" s="509"/>
      <c r="B1554" s="510"/>
      <c r="C1554" s="23"/>
      <c r="D1554" s="23"/>
      <c r="E1554" s="23"/>
      <c r="F1554" s="21"/>
      <c r="G1554" s="21"/>
      <c r="H1554" s="21"/>
      <c r="I1554" s="511"/>
    </row>
    <row r="1555" spans="1:9">
      <c r="A1555" s="509"/>
      <c r="B1555" s="510"/>
      <c r="C1555" s="23"/>
      <c r="D1555" s="23"/>
      <c r="E1555" s="23"/>
      <c r="F1555" s="21"/>
      <c r="G1555" s="21"/>
      <c r="H1555" s="21"/>
      <c r="I1555" s="511"/>
    </row>
    <row r="1556" spans="1:9">
      <c r="A1556" s="509"/>
      <c r="B1556" s="510"/>
      <c r="C1556" s="23"/>
      <c r="D1556" s="23"/>
      <c r="E1556" s="23"/>
      <c r="F1556" s="21"/>
      <c r="G1556" s="21"/>
      <c r="H1556" s="21"/>
      <c r="I1556" s="511"/>
    </row>
    <row r="1557" spans="1:9">
      <c r="A1557" s="509"/>
      <c r="B1557" s="510"/>
      <c r="C1557" s="23"/>
      <c r="D1557" s="23"/>
      <c r="E1557" s="23"/>
      <c r="F1557" s="21"/>
      <c r="G1557" s="21"/>
      <c r="H1557" s="21"/>
      <c r="I1557" s="511"/>
    </row>
    <row r="1558" spans="1:9">
      <c r="A1558" s="509"/>
      <c r="B1558" s="510"/>
      <c r="C1558" s="23"/>
      <c r="D1558" s="23"/>
      <c r="E1558" s="23"/>
      <c r="F1558" s="21"/>
      <c r="G1558" s="21"/>
      <c r="H1558" s="21"/>
      <c r="I1558" s="511"/>
    </row>
    <row r="1559" spans="1:9">
      <c r="A1559" s="509"/>
      <c r="B1559" s="510"/>
      <c r="C1559" s="23"/>
      <c r="D1559" s="23"/>
      <c r="E1559" s="23"/>
      <c r="F1559" s="21"/>
      <c r="G1559" s="21"/>
      <c r="H1559" s="21"/>
      <c r="I1559" s="511"/>
    </row>
    <row r="1560" spans="1:9">
      <c r="A1560" s="509"/>
      <c r="B1560" s="510"/>
      <c r="C1560" s="23"/>
      <c r="D1560" s="23"/>
      <c r="E1560" s="23"/>
      <c r="F1560" s="21"/>
      <c r="G1560" s="21"/>
      <c r="H1560" s="21"/>
      <c r="I1560" s="511"/>
    </row>
    <row r="1561" spans="1:9">
      <c r="A1561" s="509"/>
      <c r="B1561" s="510"/>
      <c r="C1561" s="23"/>
      <c r="D1561" s="23"/>
      <c r="E1561" s="23"/>
      <c r="F1561" s="21"/>
      <c r="G1561" s="21"/>
      <c r="H1561" s="21"/>
      <c r="I1561" s="511"/>
    </row>
    <row r="1562" spans="1:9">
      <c r="A1562" s="509"/>
      <c r="B1562" s="510"/>
      <c r="C1562" s="23"/>
      <c r="D1562" s="23"/>
      <c r="E1562" s="23"/>
      <c r="F1562" s="21"/>
      <c r="G1562" s="21"/>
      <c r="H1562" s="21"/>
      <c r="I1562" s="511"/>
    </row>
    <row r="1563" spans="1:9">
      <c r="A1563" s="509"/>
      <c r="B1563" s="510"/>
      <c r="C1563" s="23"/>
      <c r="D1563" s="23"/>
      <c r="E1563" s="23"/>
      <c r="F1563" s="21"/>
      <c r="G1563" s="21"/>
      <c r="H1563" s="21"/>
      <c r="I1563" s="511"/>
    </row>
    <row r="1564" spans="1:9">
      <c r="A1564" s="509"/>
      <c r="B1564" s="510"/>
      <c r="C1564" s="23"/>
      <c r="D1564" s="23"/>
      <c r="E1564" s="23"/>
      <c r="F1564" s="21"/>
      <c r="G1564" s="21"/>
      <c r="H1564" s="21"/>
      <c r="I1564" s="511"/>
    </row>
    <row r="1565" spans="1:9">
      <c r="A1565" s="509"/>
      <c r="B1565" s="510"/>
      <c r="C1565" s="23"/>
      <c r="D1565" s="23"/>
      <c r="E1565" s="23"/>
      <c r="F1565" s="21"/>
      <c r="G1565" s="21"/>
      <c r="H1565" s="21"/>
      <c r="I1565" s="511"/>
    </row>
    <row r="1566" spans="1:9">
      <c r="A1566" s="509"/>
      <c r="B1566" s="510"/>
      <c r="C1566" s="23"/>
      <c r="D1566" s="23"/>
      <c r="E1566" s="23"/>
      <c r="F1566" s="21"/>
      <c r="G1566" s="21"/>
      <c r="H1566" s="21"/>
      <c r="I1566" s="511"/>
    </row>
    <row r="1567" spans="1:9">
      <c r="A1567" s="509"/>
      <c r="B1567" s="510"/>
      <c r="C1567" s="23"/>
      <c r="D1567" s="23"/>
      <c r="E1567" s="23"/>
      <c r="F1567" s="21"/>
      <c r="G1567" s="21"/>
      <c r="H1567" s="21"/>
      <c r="I1567" s="511"/>
    </row>
    <row r="1568" spans="1:9">
      <c r="A1568" s="509"/>
      <c r="B1568" s="510"/>
      <c r="C1568" s="23"/>
      <c r="D1568" s="23"/>
      <c r="E1568" s="23"/>
      <c r="F1568" s="21"/>
      <c r="G1568" s="21"/>
      <c r="H1568" s="21"/>
      <c r="I1568" s="511"/>
    </row>
    <row r="1569" spans="1:9">
      <c r="A1569" s="509"/>
      <c r="B1569" s="510"/>
      <c r="C1569" s="23"/>
      <c r="D1569" s="23"/>
      <c r="E1569" s="23"/>
      <c r="F1569" s="21"/>
      <c r="G1569" s="21"/>
      <c r="H1569" s="21"/>
      <c r="I1569" s="511"/>
    </row>
    <row r="1570" spans="1:9">
      <c r="A1570" s="509"/>
      <c r="B1570" s="510"/>
      <c r="C1570" s="23"/>
      <c r="D1570" s="23"/>
      <c r="E1570" s="23"/>
      <c r="F1570" s="21"/>
      <c r="G1570" s="21"/>
      <c r="H1570" s="21"/>
      <c r="I1570" s="511"/>
    </row>
    <row r="1571" spans="1:9">
      <c r="A1571" s="509"/>
      <c r="B1571" s="510"/>
      <c r="C1571" s="23"/>
      <c r="D1571" s="23"/>
      <c r="E1571" s="23"/>
      <c r="F1571" s="21"/>
      <c r="G1571" s="21"/>
      <c r="H1571" s="21"/>
      <c r="I1571" s="511"/>
    </row>
    <row r="1572" spans="1:9">
      <c r="A1572" s="509"/>
      <c r="B1572" s="510"/>
      <c r="C1572" s="23"/>
      <c r="D1572" s="23"/>
      <c r="E1572" s="23"/>
      <c r="F1572" s="21"/>
      <c r="G1572" s="21"/>
      <c r="H1572" s="21"/>
      <c r="I1572" s="511"/>
    </row>
    <row r="1573" spans="1:9">
      <c r="A1573" s="509"/>
      <c r="B1573" s="510"/>
      <c r="C1573" s="23"/>
      <c r="D1573" s="23"/>
      <c r="E1573" s="23"/>
      <c r="F1573" s="21"/>
      <c r="G1573" s="21"/>
      <c r="H1573" s="21"/>
      <c r="I1573" s="511"/>
    </row>
    <row r="1574" spans="1:9">
      <c r="A1574" s="509"/>
      <c r="B1574" s="510"/>
      <c r="C1574" s="23"/>
      <c r="D1574" s="23"/>
      <c r="E1574" s="23"/>
      <c r="F1574" s="21"/>
      <c r="G1574" s="21"/>
      <c r="H1574" s="21"/>
      <c r="I1574" s="511"/>
    </row>
    <row r="1575" spans="1:9">
      <c r="A1575" s="509"/>
      <c r="B1575" s="510"/>
      <c r="C1575" s="23"/>
      <c r="D1575" s="23"/>
      <c r="E1575" s="23"/>
      <c r="F1575" s="21"/>
      <c r="G1575" s="21"/>
      <c r="H1575" s="21"/>
      <c r="I1575" s="511"/>
    </row>
    <row r="1576" spans="1:9">
      <c r="A1576" s="509"/>
      <c r="B1576" s="510"/>
      <c r="C1576" s="23"/>
      <c r="D1576" s="23"/>
      <c r="E1576" s="23"/>
      <c r="F1576" s="21"/>
      <c r="G1576" s="21"/>
      <c r="H1576" s="21"/>
      <c r="I1576" s="511"/>
    </row>
    <row r="1577" spans="1:9">
      <c r="A1577" s="509"/>
      <c r="B1577" s="510"/>
      <c r="C1577" s="23"/>
      <c r="D1577" s="23"/>
      <c r="E1577" s="23"/>
      <c r="F1577" s="21"/>
      <c r="G1577" s="21"/>
      <c r="H1577" s="21"/>
      <c r="I1577" s="511"/>
    </row>
    <row r="1578" spans="1:9">
      <c r="A1578" s="509"/>
      <c r="B1578" s="510"/>
      <c r="C1578" s="23"/>
      <c r="D1578" s="23"/>
      <c r="E1578" s="23"/>
      <c r="F1578" s="21"/>
      <c r="G1578" s="21"/>
      <c r="H1578" s="21"/>
      <c r="I1578" s="511"/>
    </row>
    <row r="1579" spans="1:9">
      <c r="A1579" s="509"/>
      <c r="B1579" s="510"/>
      <c r="C1579" s="23"/>
      <c r="D1579" s="23"/>
      <c r="E1579" s="23"/>
      <c r="F1579" s="21"/>
      <c r="G1579" s="21"/>
      <c r="H1579" s="21"/>
      <c r="I1579" s="511"/>
    </row>
    <row r="1580" spans="1:9">
      <c r="A1580" s="509"/>
      <c r="B1580" s="510"/>
      <c r="C1580" s="23"/>
      <c r="D1580" s="23"/>
      <c r="E1580" s="23"/>
      <c r="F1580" s="21"/>
      <c r="G1580" s="21"/>
      <c r="H1580" s="21"/>
      <c r="I1580" s="511"/>
    </row>
    <row r="1581" spans="1:9">
      <c r="A1581" s="509"/>
      <c r="B1581" s="510"/>
      <c r="C1581" s="23"/>
      <c r="D1581" s="23"/>
      <c r="E1581" s="23"/>
      <c r="F1581" s="21"/>
      <c r="G1581" s="21"/>
      <c r="H1581" s="21"/>
      <c r="I1581" s="511"/>
    </row>
    <row r="1582" spans="1:9">
      <c r="A1582" s="509"/>
      <c r="B1582" s="510"/>
      <c r="C1582" s="23"/>
      <c r="D1582" s="23"/>
      <c r="E1582" s="23"/>
      <c r="F1582" s="21"/>
      <c r="G1582" s="21"/>
      <c r="H1582" s="21"/>
      <c r="I1582" s="511"/>
    </row>
    <row r="1583" spans="1:9">
      <c r="A1583" s="509"/>
      <c r="B1583" s="510"/>
      <c r="C1583" s="23"/>
      <c r="D1583" s="23"/>
      <c r="E1583" s="23"/>
      <c r="F1583" s="21"/>
      <c r="G1583" s="21"/>
      <c r="H1583" s="21"/>
      <c r="I1583" s="511"/>
    </row>
    <row r="1584" spans="1:9">
      <c r="A1584" s="509"/>
      <c r="B1584" s="510"/>
      <c r="C1584" s="23"/>
      <c r="D1584" s="23"/>
      <c r="E1584" s="23"/>
      <c r="F1584" s="21"/>
      <c r="G1584" s="21"/>
      <c r="H1584" s="21"/>
      <c r="I1584" s="511"/>
    </row>
    <row r="1585" spans="1:9">
      <c r="A1585" s="509"/>
      <c r="B1585" s="510"/>
      <c r="C1585" s="23"/>
      <c r="D1585" s="23"/>
      <c r="E1585" s="23"/>
      <c r="F1585" s="21"/>
      <c r="G1585" s="21"/>
      <c r="H1585" s="21"/>
      <c r="I1585" s="511"/>
    </row>
    <row r="1586" spans="1:9">
      <c r="A1586" s="509"/>
      <c r="B1586" s="510"/>
      <c r="C1586" s="23"/>
      <c r="D1586" s="23"/>
      <c r="E1586" s="23"/>
      <c r="F1586" s="21"/>
      <c r="G1586" s="21"/>
      <c r="H1586" s="21"/>
      <c r="I1586" s="511"/>
    </row>
    <row r="1587" spans="1:9">
      <c r="A1587" s="509"/>
      <c r="B1587" s="510"/>
      <c r="C1587" s="23"/>
      <c r="D1587" s="23"/>
      <c r="E1587" s="23"/>
      <c r="F1587" s="21"/>
      <c r="G1587" s="21"/>
      <c r="H1587" s="21"/>
      <c r="I1587" s="511"/>
    </row>
    <row r="1588" spans="1:9">
      <c r="A1588" s="509"/>
      <c r="B1588" s="510"/>
      <c r="C1588" s="23"/>
      <c r="D1588" s="23"/>
      <c r="E1588" s="23"/>
      <c r="F1588" s="21"/>
      <c r="G1588" s="21"/>
      <c r="H1588" s="21"/>
      <c r="I1588" s="511"/>
    </row>
    <row r="1589" spans="1:9">
      <c r="A1589" s="509"/>
      <c r="B1589" s="510"/>
      <c r="C1589" s="23"/>
      <c r="D1589" s="23"/>
      <c r="E1589" s="23"/>
      <c r="F1589" s="21"/>
      <c r="G1589" s="21"/>
      <c r="H1589" s="21"/>
      <c r="I1589" s="511"/>
    </row>
    <row r="1590" spans="1:9">
      <c r="A1590" s="509"/>
      <c r="B1590" s="510"/>
      <c r="C1590" s="23"/>
      <c r="D1590" s="23"/>
      <c r="E1590" s="23"/>
      <c r="F1590" s="21"/>
      <c r="G1590" s="21"/>
      <c r="H1590" s="21"/>
      <c r="I1590" s="511"/>
    </row>
    <row r="1591" spans="1:9">
      <c r="A1591" s="509"/>
      <c r="B1591" s="510"/>
      <c r="C1591" s="23"/>
      <c r="D1591" s="23"/>
      <c r="E1591" s="23"/>
      <c r="F1591" s="21"/>
      <c r="G1591" s="21"/>
      <c r="H1591" s="21"/>
      <c r="I1591" s="511"/>
    </row>
    <row r="1592" spans="1:9">
      <c r="A1592" s="509"/>
      <c r="B1592" s="510"/>
      <c r="C1592" s="23"/>
      <c r="D1592" s="23"/>
      <c r="E1592" s="23"/>
      <c r="F1592" s="21"/>
      <c r="G1592" s="21"/>
      <c r="H1592" s="21"/>
      <c r="I1592" s="511"/>
    </row>
    <row r="1593" spans="1:9">
      <c r="A1593" s="509"/>
      <c r="B1593" s="510"/>
      <c r="C1593" s="23"/>
      <c r="D1593" s="23"/>
      <c r="E1593" s="23"/>
      <c r="F1593" s="21"/>
      <c r="G1593" s="21"/>
      <c r="H1593" s="21"/>
      <c r="I1593" s="511"/>
    </row>
    <row r="1594" spans="1:9">
      <c r="A1594" s="509"/>
      <c r="B1594" s="510"/>
      <c r="C1594" s="23"/>
      <c r="D1594" s="23"/>
      <c r="E1594" s="23"/>
      <c r="F1594" s="21"/>
      <c r="G1594" s="21"/>
      <c r="H1594" s="21"/>
      <c r="I1594" s="511"/>
    </row>
    <row r="1595" spans="1:9">
      <c r="A1595" s="509"/>
      <c r="B1595" s="510"/>
      <c r="C1595" s="23"/>
      <c r="D1595" s="23"/>
      <c r="E1595" s="23"/>
      <c r="F1595" s="21"/>
      <c r="G1595" s="21"/>
      <c r="H1595" s="21"/>
      <c r="I1595" s="511"/>
    </row>
    <row r="1596" spans="1:9">
      <c r="A1596" s="509"/>
      <c r="B1596" s="510"/>
      <c r="C1596" s="23"/>
      <c r="D1596" s="23"/>
      <c r="E1596" s="23"/>
      <c r="F1596" s="21"/>
      <c r="G1596" s="21"/>
      <c r="H1596" s="21"/>
      <c r="I1596" s="511"/>
    </row>
    <row r="1597" spans="1:9">
      <c r="A1597" s="509"/>
      <c r="B1597" s="510"/>
      <c r="C1597" s="23"/>
      <c r="D1597" s="23"/>
      <c r="E1597" s="23"/>
      <c r="F1597" s="21"/>
      <c r="G1597" s="21"/>
      <c r="H1597" s="21"/>
      <c r="I1597" s="511"/>
    </row>
    <row r="1598" spans="1:9">
      <c r="A1598" s="509"/>
      <c r="B1598" s="510"/>
      <c r="C1598" s="23"/>
      <c r="D1598" s="23"/>
      <c r="E1598" s="23"/>
      <c r="F1598" s="21"/>
      <c r="G1598" s="21"/>
      <c r="H1598" s="21"/>
      <c r="I1598" s="511"/>
    </row>
    <row r="1599" spans="1:9">
      <c r="A1599" s="509"/>
      <c r="B1599" s="510"/>
      <c r="C1599" s="23"/>
      <c r="D1599" s="23"/>
      <c r="E1599" s="23"/>
      <c r="F1599" s="21"/>
      <c r="G1599" s="21"/>
      <c r="H1599" s="21"/>
      <c r="I1599" s="511"/>
    </row>
    <row r="1600" spans="1:9">
      <c r="A1600" s="509"/>
      <c r="B1600" s="510"/>
      <c r="C1600" s="23"/>
      <c r="D1600" s="23"/>
      <c r="E1600" s="23"/>
      <c r="F1600" s="21"/>
      <c r="G1600" s="21"/>
      <c r="H1600" s="21"/>
      <c r="I1600" s="511"/>
    </row>
    <row r="1601" spans="1:9">
      <c r="A1601" s="509"/>
      <c r="B1601" s="510"/>
      <c r="C1601" s="23"/>
      <c r="D1601" s="23"/>
      <c r="E1601" s="23"/>
      <c r="F1601" s="21"/>
      <c r="G1601" s="21"/>
      <c r="H1601" s="21"/>
      <c r="I1601" s="511"/>
    </row>
    <row r="1602" spans="1:9">
      <c r="A1602" s="509"/>
      <c r="B1602" s="510"/>
      <c r="C1602" s="23"/>
      <c r="D1602" s="23"/>
      <c r="E1602" s="23"/>
      <c r="F1602" s="21"/>
      <c r="G1602" s="21"/>
      <c r="H1602" s="21"/>
      <c r="I1602" s="511"/>
    </row>
    <row r="1603" spans="1:9">
      <c r="A1603" s="509"/>
      <c r="B1603" s="510"/>
      <c r="C1603" s="23"/>
      <c r="D1603" s="23"/>
      <c r="E1603" s="23"/>
      <c r="F1603" s="21"/>
      <c r="G1603" s="21"/>
      <c r="H1603" s="21"/>
      <c r="I1603" s="511"/>
    </row>
    <row r="1604" spans="1:9">
      <c r="A1604" s="509"/>
      <c r="B1604" s="510"/>
      <c r="C1604" s="23"/>
      <c r="D1604" s="23"/>
      <c r="E1604" s="23"/>
      <c r="F1604" s="21"/>
      <c r="G1604" s="21"/>
      <c r="H1604" s="21"/>
      <c r="I1604" s="511"/>
    </row>
    <row r="1605" spans="1:9">
      <c r="A1605" s="509"/>
      <c r="B1605" s="510"/>
      <c r="C1605" s="23"/>
      <c r="D1605" s="23"/>
      <c r="E1605" s="23"/>
      <c r="F1605" s="21"/>
      <c r="G1605" s="21"/>
      <c r="H1605" s="21"/>
      <c r="I1605" s="511"/>
    </row>
    <row r="1606" spans="1:9">
      <c r="A1606" s="509"/>
      <c r="B1606" s="510"/>
      <c r="C1606" s="23"/>
      <c r="D1606" s="23"/>
      <c r="E1606" s="23"/>
      <c r="F1606" s="21"/>
      <c r="G1606" s="21"/>
      <c r="H1606" s="21"/>
      <c r="I1606" s="511"/>
    </row>
    <row r="1607" spans="1:9">
      <c r="A1607" s="509"/>
      <c r="B1607" s="510"/>
      <c r="C1607" s="23"/>
      <c r="D1607" s="23"/>
      <c r="E1607" s="23"/>
      <c r="F1607" s="21"/>
      <c r="G1607" s="21"/>
      <c r="H1607" s="21"/>
      <c r="I1607" s="511"/>
    </row>
    <row r="1608" spans="1:9">
      <c r="A1608" s="509"/>
      <c r="B1608" s="510"/>
      <c r="C1608" s="23"/>
      <c r="D1608" s="23"/>
      <c r="E1608" s="23"/>
      <c r="F1608" s="21"/>
      <c r="G1608" s="21"/>
      <c r="H1608" s="21"/>
      <c r="I1608" s="511"/>
    </row>
    <row r="1609" spans="1:9">
      <c r="A1609" s="509"/>
      <c r="B1609" s="510"/>
      <c r="C1609" s="23"/>
      <c r="D1609" s="23"/>
      <c r="E1609" s="23"/>
      <c r="F1609" s="21"/>
      <c r="G1609" s="21"/>
      <c r="H1609" s="21"/>
      <c r="I1609" s="511"/>
    </row>
    <row r="1610" spans="1:9">
      <c r="A1610" s="509"/>
      <c r="B1610" s="510"/>
      <c r="C1610" s="23"/>
      <c r="D1610" s="23"/>
      <c r="E1610" s="23"/>
      <c r="F1610" s="21"/>
      <c r="G1610" s="21"/>
      <c r="H1610" s="21"/>
      <c r="I1610" s="511"/>
    </row>
    <row r="1611" spans="1:9">
      <c r="A1611" s="509"/>
      <c r="B1611" s="510"/>
      <c r="C1611" s="23"/>
      <c r="D1611" s="23"/>
      <c r="E1611" s="23"/>
      <c r="F1611" s="21"/>
      <c r="G1611" s="21"/>
      <c r="H1611" s="21"/>
      <c r="I1611" s="511"/>
    </row>
    <row r="1612" spans="1:9">
      <c r="A1612" s="509"/>
      <c r="B1612" s="510"/>
      <c r="C1612" s="23"/>
      <c r="D1612" s="23"/>
      <c r="E1612" s="23"/>
      <c r="F1612" s="21"/>
      <c r="G1612" s="21"/>
      <c r="H1612" s="21"/>
      <c r="I1612" s="511"/>
    </row>
    <row r="1613" spans="1:9">
      <c r="A1613" s="509"/>
      <c r="B1613" s="510"/>
      <c r="C1613" s="23"/>
      <c r="D1613" s="23"/>
      <c r="E1613" s="23"/>
      <c r="F1613" s="21"/>
      <c r="G1613" s="21"/>
      <c r="H1613" s="21"/>
      <c r="I1613" s="511"/>
    </row>
    <row r="1614" spans="1:9">
      <c r="A1614" s="509"/>
      <c r="B1614" s="510"/>
      <c r="C1614" s="23"/>
      <c r="D1614" s="23"/>
      <c r="E1614" s="23"/>
      <c r="F1614" s="21"/>
      <c r="G1614" s="21"/>
      <c r="H1614" s="21"/>
      <c r="I1614" s="511"/>
    </row>
    <row r="1615" spans="1:9">
      <c r="A1615" s="509"/>
      <c r="B1615" s="510"/>
      <c r="C1615" s="23"/>
      <c r="D1615" s="23"/>
      <c r="E1615" s="23"/>
      <c r="F1615" s="21"/>
      <c r="G1615" s="21"/>
      <c r="H1615" s="21"/>
      <c r="I1615" s="511"/>
    </row>
    <row r="1616" spans="1:9">
      <c r="A1616" s="509"/>
      <c r="B1616" s="510"/>
      <c r="C1616" s="23"/>
      <c r="D1616" s="23"/>
      <c r="E1616" s="23"/>
      <c r="F1616" s="21"/>
      <c r="G1616" s="21"/>
      <c r="H1616" s="21"/>
      <c r="I1616" s="511"/>
    </row>
    <row r="1617" spans="1:9">
      <c r="A1617" s="509"/>
      <c r="B1617" s="510"/>
      <c r="C1617" s="23"/>
      <c r="D1617" s="23"/>
      <c r="E1617" s="23"/>
      <c r="F1617" s="21"/>
      <c r="G1617" s="21"/>
      <c r="H1617" s="21"/>
      <c r="I1617" s="511"/>
    </row>
    <row r="1618" spans="1:9">
      <c r="A1618" s="509"/>
      <c r="B1618" s="510"/>
      <c r="C1618" s="23"/>
      <c r="D1618" s="23"/>
      <c r="E1618" s="23"/>
      <c r="F1618" s="21"/>
      <c r="G1618" s="21"/>
      <c r="H1618" s="21"/>
      <c r="I1618" s="511"/>
    </row>
    <row r="1619" spans="1:9">
      <c r="A1619" s="509"/>
      <c r="B1619" s="510"/>
      <c r="C1619" s="23"/>
      <c r="D1619" s="23"/>
      <c r="E1619" s="23"/>
      <c r="F1619" s="21"/>
      <c r="G1619" s="21"/>
      <c r="H1619" s="21"/>
      <c r="I1619" s="511"/>
    </row>
    <row r="1620" spans="1:9">
      <c r="A1620" s="509"/>
      <c r="B1620" s="510"/>
      <c r="C1620" s="23"/>
      <c r="D1620" s="23"/>
      <c r="E1620" s="23"/>
      <c r="F1620" s="21"/>
      <c r="G1620" s="21"/>
      <c r="H1620" s="21"/>
      <c r="I1620" s="511"/>
    </row>
    <row r="1621" spans="1:9">
      <c r="A1621" s="509"/>
      <c r="B1621" s="510"/>
      <c r="C1621" s="23"/>
      <c r="D1621" s="23"/>
      <c r="E1621" s="23"/>
      <c r="F1621" s="21"/>
      <c r="G1621" s="21"/>
      <c r="H1621" s="21"/>
      <c r="I1621" s="511"/>
    </row>
    <row r="1622" spans="1:9">
      <c r="A1622" s="509"/>
      <c r="B1622" s="510"/>
      <c r="C1622" s="23"/>
      <c r="D1622" s="23"/>
      <c r="E1622" s="23"/>
      <c r="F1622" s="21"/>
      <c r="G1622" s="21"/>
      <c r="H1622" s="21"/>
      <c r="I1622" s="511"/>
    </row>
    <row r="1623" spans="1:9">
      <c r="A1623" s="509"/>
      <c r="B1623" s="510"/>
      <c r="C1623" s="23"/>
      <c r="D1623" s="23"/>
      <c r="E1623" s="23"/>
      <c r="F1623" s="21"/>
      <c r="G1623" s="21"/>
      <c r="H1623" s="21"/>
      <c r="I1623" s="511"/>
    </row>
    <row r="1624" spans="1:9">
      <c r="A1624" s="509"/>
      <c r="B1624" s="510"/>
      <c r="C1624" s="23"/>
      <c r="D1624" s="23"/>
      <c r="E1624" s="23"/>
      <c r="F1624" s="21"/>
      <c r="G1624" s="21"/>
      <c r="H1624" s="21"/>
      <c r="I1624" s="511"/>
    </row>
    <row r="1625" spans="1:9">
      <c r="A1625" s="509"/>
      <c r="B1625" s="510"/>
      <c r="C1625" s="23"/>
      <c r="D1625" s="23"/>
      <c r="E1625" s="23"/>
      <c r="F1625" s="21"/>
      <c r="G1625" s="21"/>
      <c r="H1625" s="21"/>
      <c r="I1625" s="511"/>
    </row>
    <row r="1626" spans="1:9">
      <c r="A1626" s="509"/>
      <c r="B1626" s="510"/>
      <c r="C1626" s="23"/>
      <c r="D1626" s="23"/>
      <c r="E1626" s="23"/>
      <c r="F1626" s="21"/>
      <c r="G1626" s="21"/>
      <c r="H1626" s="21"/>
      <c r="I1626" s="511"/>
    </row>
    <row r="1627" spans="1:9">
      <c r="A1627" s="509"/>
      <c r="B1627" s="510"/>
      <c r="C1627" s="23"/>
      <c r="D1627" s="23"/>
      <c r="E1627" s="23"/>
      <c r="F1627" s="21"/>
      <c r="G1627" s="21"/>
      <c r="H1627" s="21"/>
      <c r="I1627" s="511"/>
    </row>
    <row r="1628" spans="1:9">
      <c r="A1628" s="509"/>
      <c r="B1628" s="510"/>
      <c r="C1628" s="23"/>
      <c r="D1628" s="23"/>
      <c r="E1628" s="23"/>
      <c r="F1628" s="21"/>
      <c r="G1628" s="21"/>
      <c r="H1628" s="21"/>
      <c r="I1628" s="511"/>
    </row>
    <row r="1629" spans="1:9">
      <c r="A1629" s="509"/>
      <c r="B1629" s="510"/>
      <c r="C1629" s="23"/>
      <c r="D1629" s="23"/>
      <c r="E1629" s="23"/>
      <c r="F1629" s="21"/>
      <c r="G1629" s="21"/>
      <c r="H1629" s="21"/>
      <c r="I1629" s="511"/>
    </row>
    <row r="1630" spans="1:9">
      <c r="A1630" s="509"/>
      <c r="B1630" s="510"/>
      <c r="C1630" s="23"/>
      <c r="D1630" s="23"/>
      <c r="E1630" s="23"/>
      <c r="F1630" s="21"/>
      <c r="G1630" s="21"/>
      <c r="H1630" s="21"/>
      <c r="I1630" s="511"/>
    </row>
    <row r="1631" spans="1:9">
      <c r="A1631" s="509"/>
      <c r="B1631" s="510"/>
      <c r="C1631" s="23"/>
      <c r="D1631" s="23"/>
      <c r="E1631" s="23"/>
      <c r="F1631" s="21"/>
      <c r="G1631" s="21"/>
      <c r="H1631" s="21"/>
      <c r="I1631" s="511"/>
    </row>
    <row r="1632" spans="1:9">
      <c r="A1632" s="509"/>
      <c r="B1632" s="510"/>
      <c r="C1632" s="23"/>
      <c r="D1632" s="23"/>
      <c r="E1632" s="23"/>
      <c r="F1632" s="21"/>
      <c r="G1632" s="21"/>
      <c r="H1632" s="21"/>
      <c r="I1632" s="511"/>
    </row>
    <row r="1633" spans="1:9">
      <c r="A1633" s="509"/>
      <c r="B1633" s="510"/>
      <c r="C1633" s="23"/>
      <c r="D1633" s="23"/>
      <c r="E1633" s="23"/>
      <c r="F1633" s="21"/>
      <c r="G1633" s="21"/>
      <c r="H1633" s="21"/>
      <c r="I1633" s="511"/>
    </row>
    <row r="1634" spans="1:9">
      <c r="A1634" s="509"/>
      <c r="B1634" s="510"/>
      <c r="C1634" s="23"/>
      <c r="D1634" s="23"/>
      <c r="E1634" s="23"/>
      <c r="F1634" s="21"/>
      <c r="G1634" s="21"/>
      <c r="H1634" s="21"/>
      <c r="I1634" s="511"/>
    </row>
    <row r="1635" spans="1:9">
      <c r="A1635" s="509"/>
      <c r="B1635" s="510"/>
      <c r="C1635" s="23"/>
      <c r="D1635" s="23"/>
      <c r="E1635" s="23"/>
      <c r="F1635" s="21"/>
      <c r="G1635" s="21"/>
      <c r="H1635" s="21"/>
      <c r="I1635" s="511"/>
    </row>
    <row r="1636" spans="1:9">
      <c r="A1636" s="509"/>
      <c r="B1636" s="510"/>
      <c r="C1636" s="23"/>
      <c r="D1636" s="23"/>
      <c r="E1636" s="23"/>
      <c r="F1636" s="21"/>
      <c r="G1636" s="21"/>
      <c r="H1636" s="21"/>
      <c r="I1636" s="511"/>
    </row>
    <row r="1637" spans="1:9">
      <c r="A1637" s="509"/>
      <c r="B1637" s="510"/>
      <c r="C1637" s="23"/>
      <c r="D1637" s="23"/>
      <c r="E1637" s="23"/>
      <c r="F1637" s="21"/>
      <c r="G1637" s="21"/>
      <c r="H1637" s="21"/>
      <c r="I1637" s="511"/>
    </row>
    <row r="1638" spans="1:9">
      <c r="A1638" s="509"/>
      <c r="B1638" s="510"/>
      <c r="C1638" s="23"/>
      <c r="D1638" s="23"/>
      <c r="E1638" s="23"/>
      <c r="F1638" s="21"/>
      <c r="G1638" s="21"/>
      <c r="H1638" s="21"/>
      <c r="I1638" s="511"/>
    </row>
    <row r="1639" spans="1:9">
      <c r="A1639" s="509"/>
      <c r="B1639" s="510"/>
      <c r="C1639" s="23"/>
      <c r="D1639" s="23"/>
      <c r="E1639" s="23"/>
      <c r="F1639" s="21"/>
      <c r="G1639" s="21"/>
      <c r="H1639" s="21"/>
      <c r="I1639" s="511"/>
    </row>
    <row r="1640" spans="1:9">
      <c r="A1640" s="509"/>
      <c r="B1640" s="510"/>
      <c r="C1640" s="23"/>
      <c r="D1640" s="23"/>
      <c r="E1640" s="23"/>
      <c r="F1640" s="21"/>
      <c r="G1640" s="21"/>
      <c r="H1640" s="21"/>
      <c r="I1640" s="511"/>
    </row>
    <row r="1641" spans="1:9">
      <c r="A1641" s="509"/>
      <c r="B1641" s="510"/>
      <c r="C1641" s="23"/>
      <c r="D1641" s="23"/>
      <c r="E1641" s="23"/>
      <c r="F1641" s="21"/>
      <c r="G1641" s="21"/>
      <c r="H1641" s="21"/>
      <c r="I1641" s="511"/>
    </row>
    <row r="1642" spans="1:9">
      <c r="A1642" s="509"/>
      <c r="B1642" s="510"/>
      <c r="C1642" s="23"/>
      <c r="D1642" s="23"/>
      <c r="E1642" s="23"/>
      <c r="F1642" s="21"/>
      <c r="G1642" s="21"/>
      <c r="H1642" s="21"/>
      <c r="I1642" s="511"/>
    </row>
    <row r="1643" spans="1:9">
      <c r="A1643" s="509"/>
      <c r="B1643" s="510"/>
      <c r="C1643" s="23"/>
      <c r="D1643" s="23"/>
      <c r="E1643" s="23"/>
      <c r="F1643" s="21"/>
      <c r="G1643" s="21"/>
      <c r="H1643" s="21"/>
      <c r="I1643" s="511"/>
    </row>
    <row r="1644" spans="1:9">
      <c r="A1644" s="509"/>
      <c r="B1644" s="510"/>
      <c r="C1644" s="23"/>
      <c r="D1644" s="23"/>
      <c r="E1644" s="23"/>
      <c r="F1644" s="21"/>
      <c r="G1644" s="21"/>
      <c r="H1644" s="21"/>
      <c r="I1644" s="511"/>
    </row>
    <row r="1645" spans="1:9">
      <c r="A1645" s="509"/>
      <c r="B1645" s="510"/>
      <c r="C1645" s="23"/>
      <c r="D1645" s="23"/>
      <c r="E1645" s="23"/>
      <c r="F1645" s="21"/>
      <c r="G1645" s="21"/>
      <c r="H1645" s="21"/>
      <c r="I1645" s="511"/>
    </row>
    <row r="1646" spans="1:9">
      <c r="A1646" s="509"/>
      <c r="B1646" s="510"/>
      <c r="C1646" s="23"/>
      <c r="D1646" s="23"/>
      <c r="E1646" s="23"/>
      <c r="F1646" s="21"/>
      <c r="G1646" s="21"/>
      <c r="H1646" s="21"/>
      <c r="I1646" s="511"/>
    </row>
    <row r="1647" spans="1:9">
      <c r="A1647" s="509"/>
      <c r="B1647" s="510"/>
      <c r="C1647" s="23"/>
      <c r="D1647" s="23"/>
      <c r="E1647" s="23"/>
      <c r="F1647" s="21"/>
      <c r="G1647" s="21"/>
      <c r="H1647" s="21"/>
      <c r="I1647" s="511"/>
    </row>
    <row r="1648" spans="1:9">
      <c r="A1648" s="509"/>
      <c r="B1648" s="510"/>
      <c r="C1648" s="23"/>
      <c r="D1648" s="23"/>
      <c r="E1648" s="23"/>
      <c r="F1648" s="21"/>
      <c r="G1648" s="21"/>
      <c r="H1648" s="21"/>
      <c r="I1648" s="511"/>
    </row>
    <row r="1649" spans="1:9">
      <c r="A1649" s="509"/>
      <c r="B1649" s="510"/>
      <c r="C1649" s="23"/>
      <c r="D1649" s="23"/>
      <c r="E1649" s="23"/>
      <c r="F1649" s="21"/>
      <c r="G1649" s="21"/>
      <c r="H1649" s="21"/>
      <c r="I1649" s="511"/>
    </row>
    <row r="1650" spans="1:9">
      <c r="A1650" s="509"/>
      <c r="B1650" s="510"/>
      <c r="C1650" s="23"/>
      <c r="D1650" s="23"/>
      <c r="E1650" s="23"/>
      <c r="F1650" s="21"/>
      <c r="G1650" s="21"/>
      <c r="H1650" s="21"/>
      <c r="I1650" s="511"/>
    </row>
    <row r="1651" spans="1:9">
      <c r="A1651" s="509"/>
      <c r="B1651" s="510"/>
      <c r="C1651" s="23"/>
      <c r="D1651" s="23"/>
      <c r="E1651" s="23"/>
      <c r="F1651" s="21"/>
      <c r="G1651" s="21"/>
      <c r="H1651" s="21"/>
      <c r="I1651" s="511"/>
    </row>
    <row r="1652" spans="1:9">
      <c r="A1652" s="509"/>
      <c r="B1652" s="510"/>
      <c r="C1652" s="23"/>
      <c r="D1652" s="23"/>
      <c r="E1652" s="23"/>
      <c r="F1652" s="21"/>
      <c r="G1652" s="21"/>
      <c r="H1652" s="21"/>
      <c r="I1652" s="511"/>
    </row>
    <row r="1653" spans="1:9">
      <c r="A1653" s="509"/>
      <c r="B1653" s="510"/>
      <c r="C1653" s="23"/>
      <c r="D1653" s="23"/>
      <c r="E1653" s="23"/>
      <c r="F1653" s="21"/>
      <c r="G1653" s="21"/>
      <c r="H1653" s="21"/>
      <c r="I1653" s="511"/>
    </row>
    <row r="1654" spans="1:9">
      <c r="A1654" s="509"/>
      <c r="B1654" s="510"/>
      <c r="C1654" s="23"/>
      <c r="D1654" s="23"/>
      <c r="E1654" s="23"/>
      <c r="F1654" s="21"/>
      <c r="G1654" s="21"/>
      <c r="H1654" s="21"/>
      <c r="I1654" s="511"/>
    </row>
    <row r="1655" spans="1:9">
      <c r="A1655" s="509"/>
      <c r="B1655" s="510"/>
      <c r="C1655" s="23"/>
      <c r="D1655" s="23"/>
      <c r="E1655" s="23"/>
      <c r="F1655" s="21"/>
      <c r="G1655" s="21"/>
      <c r="H1655" s="21"/>
      <c r="I1655" s="511"/>
    </row>
    <row r="1656" spans="1:9">
      <c r="A1656" s="509"/>
      <c r="B1656" s="510"/>
      <c r="C1656" s="23"/>
      <c r="D1656" s="23"/>
      <c r="E1656" s="23"/>
      <c r="F1656" s="21"/>
      <c r="G1656" s="21"/>
      <c r="H1656" s="21"/>
      <c r="I1656" s="511"/>
    </row>
    <row r="1657" spans="1:9">
      <c r="A1657" s="509"/>
      <c r="B1657" s="510"/>
      <c r="C1657" s="23"/>
      <c r="D1657" s="23"/>
      <c r="E1657" s="23"/>
      <c r="F1657" s="21"/>
      <c r="G1657" s="21"/>
      <c r="H1657" s="21"/>
      <c r="I1657" s="511"/>
    </row>
    <row r="1658" spans="1:9">
      <c r="A1658" s="509"/>
      <c r="B1658" s="510"/>
      <c r="C1658" s="23"/>
      <c r="D1658" s="23"/>
      <c r="E1658" s="23"/>
      <c r="F1658" s="21"/>
      <c r="G1658" s="21"/>
      <c r="H1658" s="21"/>
      <c r="I1658" s="511"/>
    </row>
    <row r="1659" spans="1:9">
      <c r="A1659" s="509"/>
      <c r="B1659" s="510"/>
      <c r="C1659" s="23"/>
      <c r="D1659" s="23"/>
      <c r="E1659" s="23"/>
      <c r="F1659" s="21"/>
      <c r="G1659" s="21"/>
      <c r="H1659" s="21"/>
      <c r="I1659" s="511"/>
    </row>
    <row r="1660" spans="1:9">
      <c r="A1660" s="509"/>
      <c r="B1660" s="510"/>
      <c r="C1660" s="23"/>
      <c r="D1660" s="23"/>
      <c r="E1660" s="23"/>
      <c r="F1660" s="21"/>
      <c r="G1660" s="21"/>
      <c r="H1660" s="21"/>
      <c r="I1660" s="511"/>
    </row>
    <row r="1661" spans="1:9">
      <c r="A1661" s="509"/>
      <c r="B1661" s="510"/>
      <c r="C1661" s="23"/>
      <c r="D1661" s="23"/>
      <c r="E1661" s="23"/>
      <c r="F1661" s="21"/>
      <c r="G1661" s="21"/>
      <c r="H1661" s="21"/>
      <c r="I1661" s="511"/>
    </row>
    <row r="1662" spans="1:9">
      <c r="A1662" s="509"/>
      <c r="B1662" s="510"/>
      <c r="C1662" s="23"/>
      <c r="D1662" s="23"/>
      <c r="E1662" s="23"/>
      <c r="F1662" s="21"/>
      <c r="G1662" s="21"/>
      <c r="H1662" s="21"/>
      <c r="I1662" s="511"/>
    </row>
    <row r="1663" spans="1:9">
      <c r="A1663" s="509"/>
      <c r="B1663" s="510"/>
      <c r="C1663" s="23"/>
      <c r="D1663" s="23"/>
      <c r="E1663" s="23"/>
      <c r="F1663" s="21"/>
      <c r="G1663" s="21"/>
      <c r="H1663" s="21"/>
      <c r="I1663" s="511"/>
    </row>
    <row r="1664" spans="1:9">
      <c r="A1664" s="509"/>
      <c r="B1664" s="510"/>
      <c r="C1664" s="23"/>
      <c r="D1664" s="23"/>
      <c r="E1664" s="23"/>
      <c r="F1664" s="21"/>
      <c r="G1664" s="21"/>
      <c r="H1664" s="21"/>
      <c r="I1664" s="511"/>
    </row>
    <row r="1665" spans="1:9">
      <c r="A1665" s="509"/>
      <c r="B1665" s="510"/>
      <c r="C1665" s="23"/>
      <c r="D1665" s="23"/>
      <c r="E1665" s="23"/>
      <c r="F1665" s="21"/>
      <c r="G1665" s="21"/>
      <c r="H1665" s="21"/>
      <c r="I1665" s="511"/>
    </row>
    <row r="1666" spans="1:9">
      <c r="A1666" s="509"/>
      <c r="B1666" s="510"/>
      <c r="C1666" s="23"/>
      <c r="D1666" s="23"/>
      <c r="E1666" s="23"/>
      <c r="F1666" s="21"/>
      <c r="G1666" s="21"/>
      <c r="H1666" s="21"/>
      <c r="I1666" s="511"/>
    </row>
    <row r="1667" spans="1:9">
      <c r="A1667" s="509"/>
      <c r="B1667" s="510"/>
      <c r="C1667" s="23"/>
      <c r="D1667" s="23"/>
      <c r="E1667" s="23"/>
      <c r="F1667" s="21"/>
      <c r="G1667" s="21"/>
      <c r="H1667" s="21"/>
      <c r="I1667" s="511"/>
    </row>
    <row r="1668" spans="1:9">
      <c r="A1668" s="509"/>
      <c r="B1668" s="510"/>
      <c r="C1668" s="23"/>
      <c r="D1668" s="23"/>
      <c r="E1668" s="23"/>
      <c r="F1668" s="21"/>
      <c r="G1668" s="21"/>
      <c r="H1668" s="21"/>
      <c r="I1668" s="511"/>
    </row>
    <row r="1669" spans="1:9">
      <c r="A1669" s="509"/>
      <c r="B1669" s="510"/>
      <c r="C1669" s="23"/>
      <c r="D1669" s="23"/>
      <c r="E1669" s="23"/>
      <c r="F1669" s="21"/>
      <c r="G1669" s="21"/>
      <c r="H1669" s="21"/>
      <c r="I1669" s="511"/>
    </row>
    <row r="1670" spans="1:9">
      <c r="A1670" s="509"/>
      <c r="B1670" s="510"/>
      <c r="C1670" s="23"/>
      <c r="D1670" s="23"/>
      <c r="E1670" s="23"/>
      <c r="F1670" s="21"/>
      <c r="G1670" s="21"/>
      <c r="H1670" s="21"/>
      <c r="I1670" s="511"/>
    </row>
    <row r="1671" spans="1:9">
      <c r="A1671" s="509"/>
      <c r="B1671" s="510"/>
      <c r="C1671" s="23"/>
      <c r="D1671" s="23"/>
      <c r="E1671" s="23"/>
      <c r="F1671" s="21"/>
      <c r="G1671" s="21"/>
      <c r="H1671" s="21"/>
      <c r="I1671" s="511"/>
    </row>
    <row r="1672" spans="1:9">
      <c r="A1672" s="509"/>
      <c r="B1672" s="510"/>
      <c r="C1672" s="23"/>
      <c r="D1672" s="23"/>
      <c r="E1672" s="23"/>
      <c r="F1672" s="21"/>
      <c r="G1672" s="21"/>
      <c r="H1672" s="21"/>
      <c r="I1672" s="511"/>
    </row>
    <row r="1673" spans="1:9">
      <c r="A1673" s="509"/>
      <c r="B1673" s="510"/>
      <c r="C1673" s="23"/>
      <c r="D1673" s="23"/>
      <c r="E1673" s="23"/>
      <c r="F1673" s="21"/>
      <c r="G1673" s="21"/>
      <c r="H1673" s="21"/>
      <c r="I1673" s="511"/>
    </row>
    <row r="1674" spans="1:9">
      <c r="A1674" s="509"/>
      <c r="B1674" s="510"/>
      <c r="C1674" s="23"/>
      <c r="D1674" s="23"/>
      <c r="E1674" s="23"/>
      <c r="F1674" s="21"/>
      <c r="G1674" s="21"/>
      <c r="H1674" s="21"/>
      <c r="I1674" s="511"/>
    </row>
    <row r="1675" spans="1:9">
      <c r="A1675" s="509"/>
      <c r="B1675" s="510"/>
      <c r="C1675" s="23"/>
      <c r="D1675" s="23"/>
      <c r="E1675" s="23"/>
      <c r="F1675" s="21"/>
      <c r="G1675" s="21"/>
      <c r="H1675" s="21"/>
      <c r="I1675" s="511"/>
    </row>
    <row r="1676" spans="1:9">
      <c r="A1676" s="509"/>
      <c r="B1676" s="510"/>
      <c r="C1676" s="23"/>
      <c r="D1676" s="23"/>
      <c r="E1676" s="23"/>
      <c r="F1676" s="21"/>
      <c r="G1676" s="21"/>
      <c r="H1676" s="21"/>
      <c r="I1676" s="511"/>
    </row>
    <row r="1677" spans="1:9">
      <c r="A1677" s="509"/>
      <c r="B1677" s="510"/>
      <c r="C1677" s="23"/>
      <c r="D1677" s="23"/>
      <c r="E1677" s="23"/>
      <c r="F1677" s="21"/>
      <c r="G1677" s="21"/>
      <c r="H1677" s="21"/>
      <c r="I1677" s="511"/>
    </row>
    <row r="1678" spans="1:9">
      <c r="A1678" s="509"/>
      <c r="B1678" s="510"/>
      <c r="C1678" s="23"/>
      <c r="D1678" s="23"/>
      <c r="E1678" s="23"/>
      <c r="F1678" s="21"/>
      <c r="G1678" s="21"/>
      <c r="H1678" s="21"/>
      <c r="I1678" s="511"/>
    </row>
    <row r="1679" spans="1:9">
      <c r="A1679" s="509"/>
      <c r="B1679" s="510"/>
      <c r="C1679" s="23"/>
      <c r="D1679" s="23"/>
      <c r="E1679" s="23"/>
      <c r="F1679" s="21"/>
      <c r="G1679" s="21"/>
      <c r="H1679" s="21"/>
      <c r="I1679" s="511"/>
    </row>
    <row r="1680" spans="1:9">
      <c r="A1680" s="509"/>
      <c r="B1680" s="510"/>
      <c r="C1680" s="23"/>
      <c r="D1680" s="23"/>
      <c r="E1680" s="23"/>
      <c r="F1680" s="21"/>
      <c r="G1680" s="21"/>
      <c r="H1680" s="21"/>
      <c r="I1680" s="511"/>
    </row>
    <row r="1681" spans="1:9">
      <c r="A1681" s="509"/>
      <c r="B1681" s="510"/>
      <c r="C1681" s="23"/>
      <c r="D1681" s="23"/>
      <c r="E1681" s="23"/>
      <c r="F1681" s="21"/>
      <c r="G1681" s="21"/>
      <c r="H1681" s="21"/>
      <c r="I1681" s="511"/>
    </row>
    <row r="1682" spans="1:9">
      <c r="A1682" s="509"/>
      <c r="B1682" s="510"/>
      <c r="C1682" s="23"/>
      <c r="D1682" s="23"/>
      <c r="E1682" s="23"/>
      <c r="F1682" s="21"/>
      <c r="G1682" s="21"/>
      <c r="H1682" s="21"/>
      <c r="I1682" s="511"/>
    </row>
    <row r="1683" spans="1:9">
      <c r="A1683" s="509"/>
      <c r="B1683" s="510"/>
      <c r="C1683" s="23"/>
      <c r="D1683" s="23"/>
      <c r="E1683" s="23"/>
      <c r="F1683" s="21"/>
      <c r="G1683" s="21"/>
      <c r="H1683" s="21"/>
      <c r="I1683" s="511"/>
    </row>
    <row r="1684" spans="1:9">
      <c r="A1684" s="509"/>
      <c r="B1684" s="510"/>
      <c r="C1684" s="23"/>
      <c r="D1684" s="23"/>
      <c r="E1684" s="23"/>
      <c r="F1684" s="21"/>
      <c r="G1684" s="21"/>
      <c r="H1684" s="21"/>
      <c r="I1684" s="511"/>
    </row>
    <row r="1685" spans="1:9">
      <c r="A1685" s="509"/>
      <c r="B1685" s="510"/>
      <c r="C1685" s="23"/>
      <c r="D1685" s="23"/>
      <c r="E1685" s="23"/>
      <c r="F1685" s="21"/>
      <c r="G1685" s="21"/>
      <c r="H1685" s="21"/>
      <c r="I1685" s="511"/>
    </row>
    <row r="1686" spans="1:9">
      <c r="A1686" s="509"/>
      <c r="B1686" s="510"/>
      <c r="C1686" s="23"/>
      <c r="D1686" s="23"/>
      <c r="E1686" s="23"/>
      <c r="F1686" s="21"/>
      <c r="G1686" s="21"/>
      <c r="H1686" s="21"/>
      <c r="I1686" s="511"/>
    </row>
    <row r="1687" spans="1:9">
      <c r="A1687" s="509"/>
      <c r="B1687" s="510"/>
      <c r="C1687" s="23"/>
      <c r="D1687" s="23"/>
      <c r="E1687" s="23"/>
      <c r="F1687" s="21"/>
      <c r="G1687" s="21"/>
      <c r="H1687" s="21"/>
      <c r="I1687" s="511"/>
    </row>
    <row r="1688" spans="1:9">
      <c r="A1688" s="509"/>
      <c r="B1688" s="510"/>
      <c r="C1688" s="23"/>
      <c r="D1688" s="23"/>
      <c r="E1688" s="23"/>
      <c r="F1688" s="21"/>
      <c r="G1688" s="21"/>
      <c r="H1688" s="21"/>
      <c r="I1688" s="511"/>
    </row>
    <row r="1689" spans="1:9">
      <c r="A1689" s="509"/>
      <c r="B1689" s="510"/>
      <c r="C1689" s="23"/>
      <c r="D1689" s="23"/>
      <c r="E1689" s="23"/>
      <c r="F1689" s="21"/>
      <c r="G1689" s="21"/>
      <c r="H1689" s="21"/>
      <c r="I1689" s="511"/>
    </row>
    <row r="1690" spans="1:9">
      <c r="A1690" s="509"/>
      <c r="B1690" s="510"/>
      <c r="C1690" s="23"/>
      <c r="D1690" s="23"/>
      <c r="E1690" s="23"/>
      <c r="F1690" s="21"/>
      <c r="G1690" s="21"/>
      <c r="H1690" s="21"/>
      <c r="I1690" s="511"/>
    </row>
    <row r="1691" spans="1:9">
      <c r="A1691" s="509"/>
      <c r="B1691" s="510"/>
      <c r="C1691" s="23"/>
      <c r="D1691" s="23"/>
      <c r="E1691" s="23"/>
      <c r="F1691" s="21"/>
      <c r="G1691" s="21"/>
      <c r="H1691" s="21"/>
      <c r="I1691" s="511"/>
    </row>
    <row r="1692" spans="1:9">
      <c r="A1692" s="509"/>
      <c r="B1692" s="510"/>
      <c r="C1692" s="23"/>
      <c r="D1692" s="23"/>
      <c r="E1692" s="23"/>
      <c r="F1692" s="21"/>
      <c r="G1692" s="21"/>
      <c r="H1692" s="21"/>
      <c r="I1692" s="511"/>
    </row>
    <row r="1693" spans="1:9">
      <c r="A1693" s="509"/>
      <c r="B1693" s="510"/>
      <c r="C1693" s="23"/>
      <c r="D1693" s="23"/>
      <c r="E1693" s="23"/>
      <c r="F1693" s="21"/>
      <c r="G1693" s="21"/>
      <c r="H1693" s="21"/>
      <c r="I1693" s="511"/>
    </row>
    <row r="1694" spans="1:9">
      <c r="A1694" s="509"/>
      <c r="B1694" s="510"/>
      <c r="C1694" s="23"/>
      <c r="D1694" s="23"/>
      <c r="E1694" s="23"/>
      <c r="F1694" s="21"/>
      <c r="G1694" s="21"/>
      <c r="H1694" s="21"/>
      <c r="I1694" s="511"/>
    </row>
    <row r="1695" spans="1:9">
      <c r="A1695" s="509"/>
      <c r="B1695" s="510"/>
      <c r="C1695" s="23"/>
      <c r="D1695" s="23"/>
      <c r="E1695" s="23"/>
      <c r="F1695" s="21"/>
      <c r="G1695" s="21"/>
      <c r="H1695" s="21"/>
      <c r="I1695" s="511"/>
    </row>
    <row r="1696" spans="1:9">
      <c r="A1696" s="509"/>
      <c r="B1696" s="510"/>
      <c r="C1696" s="23"/>
      <c r="D1696" s="23"/>
      <c r="E1696" s="23"/>
      <c r="F1696" s="21"/>
      <c r="G1696" s="21"/>
      <c r="H1696" s="21"/>
      <c r="I1696" s="511"/>
    </row>
    <row r="1697" spans="1:9">
      <c r="A1697" s="509"/>
      <c r="B1697" s="510"/>
      <c r="C1697" s="23"/>
      <c r="D1697" s="23"/>
      <c r="E1697" s="23"/>
      <c r="F1697" s="21"/>
      <c r="G1697" s="21"/>
      <c r="H1697" s="21"/>
      <c r="I1697" s="511"/>
    </row>
    <row r="1698" spans="1:9">
      <c r="A1698" s="509"/>
      <c r="B1698" s="510"/>
      <c r="C1698" s="23"/>
      <c r="D1698" s="23"/>
      <c r="E1698" s="23"/>
      <c r="F1698" s="21"/>
      <c r="G1698" s="21"/>
      <c r="H1698" s="21"/>
      <c r="I1698" s="511"/>
    </row>
    <row r="1699" spans="1:9">
      <c r="A1699" s="509"/>
      <c r="B1699" s="510"/>
      <c r="C1699" s="23"/>
      <c r="D1699" s="23"/>
      <c r="E1699" s="23"/>
      <c r="F1699" s="21"/>
      <c r="G1699" s="21"/>
      <c r="H1699" s="21"/>
      <c r="I1699" s="511"/>
    </row>
    <row r="1700" spans="1:9">
      <c r="A1700" s="509"/>
      <c r="B1700" s="510"/>
      <c r="C1700" s="23"/>
      <c r="D1700" s="23"/>
      <c r="E1700" s="23"/>
      <c r="F1700" s="21"/>
      <c r="G1700" s="21"/>
      <c r="H1700" s="21"/>
      <c r="I1700" s="511"/>
    </row>
    <row r="1701" spans="1:9">
      <c r="A1701" s="509"/>
      <c r="B1701" s="510"/>
      <c r="C1701" s="23"/>
      <c r="D1701" s="23"/>
      <c r="E1701" s="23"/>
      <c r="F1701" s="21"/>
      <c r="G1701" s="21"/>
      <c r="H1701" s="21"/>
      <c r="I1701" s="511"/>
    </row>
    <row r="1702" spans="1:9">
      <c r="A1702" s="509"/>
      <c r="B1702" s="510"/>
      <c r="C1702" s="23"/>
      <c r="D1702" s="23"/>
      <c r="E1702" s="23"/>
      <c r="F1702" s="21"/>
      <c r="G1702" s="21"/>
      <c r="H1702" s="21"/>
      <c r="I1702" s="511"/>
    </row>
    <row r="1703" spans="1:9">
      <c r="A1703" s="509"/>
      <c r="B1703" s="510"/>
      <c r="C1703" s="23"/>
      <c r="D1703" s="23"/>
      <c r="E1703" s="23"/>
      <c r="F1703" s="21"/>
      <c r="G1703" s="21"/>
      <c r="H1703" s="21"/>
      <c r="I1703" s="511"/>
    </row>
    <row r="1704" spans="1:9">
      <c r="A1704" s="509"/>
      <c r="B1704" s="510"/>
      <c r="C1704" s="23"/>
      <c r="D1704" s="23"/>
      <c r="E1704" s="23"/>
      <c r="F1704" s="21"/>
      <c r="G1704" s="21"/>
      <c r="H1704" s="21"/>
      <c r="I1704" s="511"/>
    </row>
    <row r="1705" spans="1:9">
      <c r="A1705" s="509"/>
      <c r="B1705" s="510"/>
      <c r="C1705" s="23"/>
      <c r="D1705" s="23"/>
      <c r="E1705" s="23"/>
      <c r="F1705" s="21"/>
      <c r="G1705" s="21"/>
      <c r="H1705" s="21"/>
      <c r="I1705" s="511"/>
    </row>
    <row r="1706" spans="1:9">
      <c r="A1706" s="509"/>
      <c r="B1706" s="510"/>
      <c r="C1706" s="23"/>
      <c r="D1706" s="23"/>
      <c r="E1706" s="23"/>
      <c r="F1706" s="21"/>
      <c r="G1706" s="21"/>
      <c r="H1706" s="21"/>
      <c r="I1706" s="511"/>
    </row>
    <row r="1707" spans="1:9">
      <c r="A1707" s="509"/>
      <c r="B1707" s="510"/>
      <c r="C1707" s="23"/>
      <c r="D1707" s="23"/>
      <c r="E1707" s="23"/>
      <c r="F1707" s="21"/>
      <c r="G1707" s="21"/>
      <c r="H1707" s="21"/>
      <c r="I1707" s="511"/>
    </row>
    <row r="1708" spans="1:9">
      <c r="A1708" s="509"/>
      <c r="B1708" s="510"/>
      <c r="C1708" s="23"/>
      <c r="D1708" s="23"/>
      <c r="E1708" s="23"/>
      <c r="F1708" s="21"/>
      <c r="G1708" s="21"/>
      <c r="H1708" s="21"/>
      <c r="I1708" s="511"/>
    </row>
    <row r="1709" spans="1:9">
      <c r="A1709" s="509"/>
      <c r="B1709" s="510"/>
      <c r="C1709" s="23"/>
      <c r="D1709" s="23"/>
      <c r="E1709" s="23"/>
      <c r="F1709" s="21"/>
      <c r="G1709" s="21"/>
      <c r="H1709" s="21"/>
      <c r="I1709" s="511"/>
    </row>
    <row r="1710" spans="1:9">
      <c r="A1710" s="509"/>
      <c r="B1710" s="510"/>
      <c r="C1710" s="23"/>
      <c r="D1710" s="23"/>
      <c r="E1710" s="23"/>
      <c r="F1710" s="21"/>
      <c r="G1710" s="21"/>
      <c r="H1710" s="21"/>
      <c r="I1710" s="511"/>
    </row>
    <row r="1711" spans="1:9">
      <c r="A1711" s="509"/>
      <c r="B1711" s="510"/>
      <c r="C1711" s="23"/>
      <c r="D1711" s="23"/>
      <c r="E1711" s="23"/>
      <c r="F1711" s="21"/>
      <c r="G1711" s="21"/>
      <c r="H1711" s="21"/>
      <c r="I1711" s="511"/>
    </row>
    <row r="1712" spans="1:9">
      <c r="A1712" s="509"/>
      <c r="B1712" s="510"/>
      <c r="C1712" s="23"/>
      <c r="D1712" s="23"/>
      <c r="E1712" s="23"/>
      <c r="F1712" s="21"/>
      <c r="G1712" s="21"/>
      <c r="H1712" s="21"/>
      <c r="I1712" s="511"/>
    </row>
    <row r="1713" spans="1:9">
      <c r="A1713" s="509"/>
      <c r="B1713" s="510"/>
      <c r="C1713" s="23"/>
      <c r="D1713" s="23"/>
      <c r="E1713" s="23"/>
      <c r="F1713" s="21"/>
      <c r="G1713" s="21"/>
      <c r="H1713" s="21"/>
      <c r="I1713" s="511"/>
    </row>
    <row r="1714" spans="1:9">
      <c r="A1714" s="509"/>
      <c r="B1714" s="510"/>
      <c r="C1714" s="23"/>
      <c r="D1714" s="23"/>
      <c r="E1714" s="23"/>
      <c r="F1714" s="21"/>
      <c r="G1714" s="21"/>
      <c r="H1714" s="21"/>
      <c r="I1714" s="511"/>
    </row>
    <row r="1715" spans="1:9">
      <c r="A1715" s="509"/>
      <c r="B1715" s="510"/>
      <c r="C1715" s="23"/>
      <c r="D1715" s="23"/>
      <c r="E1715" s="23"/>
      <c r="F1715" s="21"/>
      <c r="G1715" s="21"/>
      <c r="H1715" s="21"/>
      <c r="I1715" s="511"/>
    </row>
    <row r="1716" spans="1:9">
      <c r="A1716" s="509"/>
      <c r="B1716" s="510"/>
      <c r="C1716" s="23"/>
      <c r="D1716" s="23"/>
      <c r="E1716" s="23"/>
      <c r="F1716" s="21"/>
      <c r="G1716" s="21"/>
      <c r="H1716" s="21"/>
      <c r="I1716" s="511"/>
    </row>
    <row r="1717" spans="1:9">
      <c r="A1717" s="509"/>
      <c r="B1717" s="510"/>
      <c r="C1717" s="23"/>
      <c r="D1717" s="23"/>
      <c r="E1717" s="23"/>
      <c r="F1717" s="21"/>
      <c r="G1717" s="21"/>
      <c r="H1717" s="21"/>
      <c r="I1717" s="511"/>
    </row>
    <row r="1718" spans="1:9">
      <c r="A1718" s="509"/>
      <c r="B1718" s="510"/>
      <c r="C1718" s="23"/>
      <c r="D1718" s="23"/>
      <c r="E1718" s="23"/>
      <c r="F1718" s="21"/>
      <c r="G1718" s="21"/>
      <c r="H1718" s="21"/>
      <c r="I1718" s="511"/>
    </row>
    <row r="1719" spans="1:9">
      <c r="A1719" s="509"/>
      <c r="B1719" s="510"/>
      <c r="C1719" s="23"/>
      <c r="D1719" s="23"/>
      <c r="E1719" s="23"/>
      <c r="F1719" s="21"/>
      <c r="G1719" s="21"/>
      <c r="H1719" s="21"/>
      <c r="I1719" s="511"/>
    </row>
    <row r="1720" spans="1:9">
      <c r="A1720" s="509"/>
      <c r="B1720" s="510"/>
      <c r="C1720" s="23"/>
      <c r="D1720" s="23"/>
      <c r="E1720" s="23"/>
      <c r="F1720" s="21"/>
      <c r="G1720" s="21"/>
      <c r="H1720" s="21"/>
      <c r="I1720" s="511"/>
    </row>
    <row r="1721" spans="1:9">
      <c r="A1721" s="509"/>
      <c r="B1721" s="510"/>
      <c r="C1721" s="23"/>
      <c r="D1721" s="23"/>
      <c r="E1721" s="23"/>
      <c r="F1721" s="21"/>
      <c r="G1721" s="21"/>
      <c r="H1721" s="21"/>
      <c r="I1721" s="511"/>
    </row>
    <row r="1722" spans="1:9">
      <c r="A1722" s="509"/>
      <c r="B1722" s="510"/>
      <c r="C1722" s="23"/>
      <c r="D1722" s="23"/>
      <c r="E1722" s="23"/>
      <c r="F1722" s="21"/>
      <c r="G1722" s="21"/>
      <c r="H1722" s="21"/>
      <c r="I1722" s="511"/>
    </row>
    <row r="1723" spans="1:9">
      <c r="A1723" s="509"/>
      <c r="B1723" s="510"/>
      <c r="C1723" s="23"/>
      <c r="D1723" s="23"/>
      <c r="E1723" s="23"/>
      <c r="F1723" s="21"/>
      <c r="G1723" s="21"/>
      <c r="H1723" s="21"/>
      <c r="I1723" s="511"/>
    </row>
    <row r="1724" spans="1:9">
      <c r="A1724" s="509"/>
      <c r="B1724" s="510"/>
      <c r="C1724" s="23"/>
      <c r="D1724" s="23"/>
      <c r="E1724" s="23"/>
      <c r="F1724" s="21"/>
      <c r="G1724" s="21"/>
      <c r="H1724" s="21"/>
      <c r="I1724" s="511"/>
    </row>
    <row r="1725" spans="1:9">
      <c r="A1725" s="509"/>
      <c r="B1725" s="510"/>
      <c r="C1725" s="23"/>
      <c r="D1725" s="23"/>
      <c r="E1725" s="23"/>
      <c r="F1725" s="21"/>
      <c r="G1725" s="21"/>
      <c r="H1725" s="21"/>
      <c r="I1725" s="511"/>
    </row>
    <row r="1726" spans="1:9">
      <c r="A1726" s="509"/>
      <c r="B1726" s="510"/>
      <c r="C1726" s="23"/>
      <c r="D1726" s="23"/>
      <c r="E1726" s="23"/>
      <c r="F1726" s="21"/>
      <c r="G1726" s="21"/>
      <c r="H1726" s="21"/>
      <c r="I1726" s="511"/>
    </row>
    <row r="1727" spans="1:9">
      <c r="A1727" s="509"/>
      <c r="B1727" s="510"/>
      <c r="C1727" s="23"/>
      <c r="D1727" s="23"/>
      <c r="E1727" s="23"/>
      <c r="F1727" s="21"/>
      <c r="G1727" s="21"/>
      <c r="H1727" s="21"/>
      <c r="I1727" s="511"/>
    </row>
    <row r="1728" spans="1:9">
      <c r="A1728" s="509"/>
      <c r="B1728" s="510"/>
      <c r="C1728" s="23"/>
      <c r="D1728" s="23"/>
      <c r="E1728" s="23"/>
      <c r="F1728" s="21"/>
      <c r="G1728" s="21"/>
      <c r="H1728" s="21"/>
      <c r="I1728" s="511"/>
    </row>
    <row r="1729" spans="1:9">
      <c r="A1729" s="509"/>
      <c r="B1729" s="510"/>
      <c r="C1729" s="23"/>
      <c r="D1729" s="23"/>
      <c r="E1729" s="23"/>
      <c r="F1729" s="21"/>
      <c r="G1729" s="21"/>
      <c r="H1729" s="21"/>
      <c r="I1729" s="511"/>
    </row>
    <row r="1730" spans="1:9">
      <c r="A1730" s="509"/>
      <c r="B1730" s="510"/>
      <c r="C1730" s="23"/>
      <c r="D1730" s="23"/>
      <c r="E1730" s="23"/>
      <c r="F1730" s="21"/>
      <c r="G1730" s="21"/>
      <c r="H1730" s="21"/>
      <c r="I1730" s="511"/>
    </row>
    <row r="1731" spans="1:9">
      <c r="A1731" s="509"/>
      <c r="B1731" s="510"/>
      <c r="C1731" s="23"/>
      <c r="D1731" s="23"/>
      <c r="E1731" s="23"/>
      <c r="F1731" s="21"/>
      <c r="G1731" s="21"/>
      <c r="H1731" s="21"/>
      <c r="I1731" s="511"/>
    </row>
    <row r="1732" spans="1:9">
      <c r="A1732" s="509"/>
      <c r="B1732" s="510"/>
      <c r="C1732" s="23"/>
      <c r="D1732" s="23"/>
      <c r="E1732" s="23"/>
      <c r="F1732" s="21"/>
      <c r="G1732" s="21"/>
      <c r="H1732" s="21"/>
      <c r="I1732" s="511"/>
    </row>
    <row r="1733" spans="1:9">
      <c r="A1733" s="509"/>
      <c r="B1733" s="510"/>
      <c r="C1733" s="23"/>
      <c r="D1733" s="23"/>
      <c r="E1733" s="23"/>
      <c r="F1733" s="21"/>
      <c r="G1733" s="21"/>
      <c r="H1733" s="21"/>
      <c r="I1733" s="511"/>
    </row>
    <row r="1734" spans="1:9">
      <c r="A1734" s="509"/>
      <c r="B1734" s="510"/>
      <c r="C1734" s="23"/>
      <c r="D1734" s="23"/>
      <c r="E1734" s="23"/>
      <c r="F1734" s="21"/>
      <c r="G1734" s="21"/>
      <c r="H1734" s="21"/>
      <c r="I1734" s="511"/>
    </row>
    <row r="1735" spans="1:9">
      <c r="A1735" s="509"/>
      <c r="B1735" s="510"/>
      <c r="C1735" s="23"/>
      <c r="D1735" s="23"/>
      <c r="E1735" s="23"/>
      <c r="F1735" s="21"/>
      <c r="G1735" s="21"/>
      <c r="H1735" s="21"/>
      <c r="I1735" s="511"/>
    </row>
    <row r="1736" spans="1:9">
      <c r="A1736" s="509"/>
      <c r="B1736" s="510"/>
      <c r="C1736" s="23"/>
      <c r="D1736" s="23"/>
      <c r="E1736" s="23"/>
      <c r="F1736" s="21"/>
      <c r="G1736" s="21"/>
      <c r="H1736" s="21"/>
      <c r="I1736" s="511"/>
    </row>
    <row r="1737" spans="1:9">
      <c r="A1737" s="509"/>
      <c r="B1737" s="510"/>
      <c r="C1737" s="23"/>
      <c r="D1737" s="23"/>
      <c r="E1737" s="23"/>
      <c r="F1737" s="21"/>
      <c r="G1737" s="21"/>
      <c r="H1737" s="21"/>
      <c r="I1737" s="511"/>
    </row>
    <row r="1738" spans="1:9">
      <c r="A1738" s="509"/>
      <c r="B1738" s="510"/>
      <c r="C1738" s="23"/>
      <c r="D1738" s="23"/>
      <c r="E1738" s="23"/>
      <c r="F1738" s="21"/>
      <c r="G1738" s="21"/>
      <c r="H1738" s="21"/>
      <c r="I1738" s="511"/>
    </row>
    <row r="1739" spans="1:9">
      <c r="A1739" s="509"/>
      <c r="B1739" s="510"/>
      <c r="C1739" s="23"/>
      <c r="D1739" s="23"/>
      <c r="E1739" s="23"/>
      <c r="F1739" s="21"/>
      <c r="G1739" s="21"/>
      <c r="H1739" s="21"/>
      <c r="I1739" s="511"/>
    </row>
    <row r="1740" spans="1:9">
      <c r="A1740" s="509"/>
      <c r="B1740" s="510"/>
      <c r="C1740" s="23"/>
      <c r="D1740" s="23"/>
      <c r="E1740" s="23"/>
      <c r="F1740" s="21"/>
      <c r="G1740" s="21"/>
      <c r="H1740" s="21"/>
      <c r="I1740" s="511"/>
    </row>
    <row r="1741" spans="1:9">
      <c r="A1741" s="509"/>
      <c r="B1741" s="510"/>
      <c r="C1741" s="23"/>
      <c r="D1741" s="23"/>
      <c r="E1741" s="23"/>
      <c r="F1741" s="21"/>
      <c r="G1741" s="21"/>
      <c r="H1741" s="21"/>
      <c r="I1741" s="511"/>
    </row>
    <row r="1742" spans="1:9">
      <c r="A1742" s="509"/>
      <c r="B1742" s="510"/>
      <c r="C1742" s="23"/>
      <c r="D1742" s="23"/>
      <c r="E1742" s="23"/>
      <c r="F1742" s="21"/>
      <c r="G1742" s="21"/>
      <c r="H1742" s="21"/>
      <c r="I1742" s="511"/>
    </row>
    <row r="1743" spans="1:9">
      <c r="A1743" s="509"/>
      <c r="B1743" s="510"/>
      <c r="C1743" s="23"/>
      <c r="D1743" s="23"/>
      <c r="E1743" s="23"/>
      <c r="F1743" s="21"/>
      <c r="G1743" s="21"/>
      <c r="H1743" s="21"/>
      <c r="I1743" s="511"/>
    </row>
    <row r="1744" spans="1:9">
      <c r="A1744" s="509"/>
      <c r="B1744" s="510"/>
      <c r="C1744" s="23"/>
      <c r="D1744" s="23"/>
      <c r="E1744" s="23"/>
      <c r="F1744" s="21"/>
      <c r="G1744" s="21"/>
      <c r="H1744" s="21"/>
      <c r="I1744" s="511"/>
    </row>
    <row r="1745" spans="1:9">
      <c r="A1745" s="509"/>
      <c r="B1745" s="510"/>
      <c r="C1745" s="23"/>
      <c r="D1745" s="23"/>
      <c r="E1745" s="23"/>
      <c r="F1745" s="21"/>
      <c r="G1745" s="21"/>
      <c r="H1745" s="21"/>
      <c r="I1745" s="511"/>
    </row>
    <row r="1746" spans="1:9">
      <c r="A1746" s="509"/>
      <c r="B1746" s="510"/>
      <c r="C1746" s="23"/>
      <c r="D1746" s="23"/>
      <c r="E1746" s="23"/>
      <c r="F1746" s="21"/>
      <c r="G1746" s="21"/>
      <c r="H1746" s="21"/>
      <c r="I1746" s="511"/>
    </row>
    <row r="1747" spans="1:9">
      <c r="A1747" s="509"/>
      <c r="B1747" s="510"/>
      <c r="C1747" s="23"/>
      <c r="D1747" s="23"/>
      <c r="E1747" s="23"/>
      <c r="F1747" s="21"/>
      <c r="G1747" s="21"/>
      <c r="H1747" s="21"/>
      <c r="I1747" s="511"/>
    </row>
    <row r="1748" spans="1:9">
      <c r="A1748" s="509"/>
      <c r="B1748" s="510"/>
      <c r="C1748" s="23"/>
      <c r="D1748" s="23"/>
      <c r="E1748" s="23"/>
      <c r="F1748" s="21"/>
      <c r="G1748" s="21"/>
      <c r="H1748" s="21"/>
      <c r="I1748" s="511"/>
    </row>
    <row r="1749" spans="1:9">
      <c r="A1749" s="509"/>
      <c r="B1749" s="510"/>
      <c r="C1749" s="23"/>
      <c r="D1749" s="23"/>
      <c r="E1749" s="23"/>
      <c r="F1749" s="21"/>
      <c r="G1749" s="21"/>
      <c r="H1749" s="21"/>
      <c r="I1749" s="511"/>
    </row>
    <row r="1750" spans="1:9">
      <c r="A1750" s="509"/>
      <c r="B1750" s="510"/>
      <c r="C1750" s="23"/>
      <c r="D1750" s="23"/>
      <c r="E1750" s="23"/>
      <c r="F1750" s="21"/>
      <c r="G1750" s="21"/>
      <c r="H1750" s="21"/>
      <c r="I1750" s="511"/>
    </row>
    <row r="1751" spans="1:9">
      <c r="A1751" s="509"/>
      <c r="B1751" s="510"/>
      <c r="C1751" s="23"/>
      <c r="D1751" s="23"/>
      <c r="E1751" s="23"/>
      <c r="F1751" s="21"/>
      <c r="G1751" s="21"/>
      <c r="H1751" s="21"/>
      <c r="I1751" s="511"/>
    </row>
    <row r="1752" spans="1:9">
      <c r="A1752" s="509"/>
      <c r="B1752" s="510"/>
      <c r="C1752" s="23"/>
      <c r="D1752" s="23"/>
      <c r="E1752" s="23"/>
      <c r="F1752" s="21"/>
      <c r="G1752" s="21"/>
      <c r="H1752" s="21"/>
      <c r="I1752" s="511"/>
    </row>
    <row r="1753" spans="1:9">
      <c r="A1753" s="509"/>
      <c r="B1753" s="510"/>
      <c r="C1753" s="23"/>
      <c r="D1753" s="23"/>
      <c r="E1753" s="23"/>
      <c r="F1753" s="21"/>
      <c r="G1753" s="21"/>
      <c r="H1753" s="21"/>
      <c r="I1753" s="511"/>
    </row>
    <row r="1754" spans="1:9">
      <c r="A1754" s="509"/>
      <c r="B1754" s="510"/>
      <c r="C1754" s="23"/>
      <c r="D1754" s="23"/>
      <c r="E1754" s="23"/>
      <c r="F1754" s="21"/>
      <c r="G1754" s="21"/>
      <c r="H1754" s="21"/>
      <c r="I1754" s="511"/>
    </row>
    <row r="1755" spans="1:9">
      <c r="A1755" s="509"/>
      <c r="B1755" s="510"/>
      <c r="C1755" s="23"/>
      <c r="D1755" s="23"/>
      <c r="E1755" s="23"/>
      <c r="F1755" s="21"/>
      <c r="G1755" s="21"/>
      <c r="H1755" s="21"/>
      <c r="I1755" s="511"/>
    </row>
    <row r="1756" spans="1:9">
      <c r="A1756" s="509"/>
      <c r="B1756" s="510"/>
      <c r="C1756" s="23"/>
      <c r="D1756" s="23"/>
      <c r="E1756" s="23"/>
      <c r="F1756" s="21"/>
      <c r="G1756" s="21"/>
      <c r="H1756" s="21"/>
      <c r="I1756" s="511"/>
    </row>
    <row r="1757" spans="1:9">
      <c r="A1757" s="509"/>
      <c r="B1757" s="510"/>
      <c r="C1757" s="23"/>
      <c r="D1757" s="23"/>
      <c r="E1757" s="23"/>
      <c r="F1757" s="21"/>
      <c r="G1757" s="21"/>
      <c r="H1757" s="21"/>
      <c r="I1757" s="511"/>
    </row>
    <row r="1758" spans="1:9">
      <c r="A1758" s="509"/>
      <c r="B1758" s="510"/>
      <c r="C1758" s="23"/>
      <c r="D1758" s="23"/>
      <c r="E1758" s="23"/>
      <c r="F1758" s="21"/>
      <c r="G1758" s="21"/>
      <c r="H1758" s="21"/>
      <c r="I1758" s="511"/>
    </row>
    <row r="1759" spans="1:9">
      <c r="A1759" s="509"/>
      <c r="B1759" s="510"/>
      <c r="C1759" s="23"/>
      <c r="D1759" s="23"/>
      <c r="E1759" s="23"/>
      <c r="F1759" s="21"/>
      <c r="G1759" s="21"/>
      <c r="H1759" s="21"/>
      <c r="I1759" s="511"/>
    </row>
    <row r="1760" spans="1:9">
      <c r="A1760" s="509"/>
      <c r="B1760" s="510"/>
      <c r="C1760" s="23"/>
      <c r="D1760" s="23"/>
      <c r="E1760" s="23"/>
      <c r="F1760" s="21"/>
      <c r="G1760" s="21"/>
      <c r="H1760" s="21"/>
      <c r="I1760" s="511"/>
    </row>
    <row r="1761" spans="1:9">
      <c r="A1761" s="509"/>
      <c r="B1761" s="510"/>
      <c r="C1761" s="23"/>
      <c r="D1761" s="23"/>
      <c r="E1761" s="23"/>
      <c r="F1761" s="21"/>
      <c r="G1761" s="21"/>
      <c r="H1761" s="21"/>
      <c r="I1761" s="511"/>
    </row>
    <row r="1762" spans="1:9">
      <c r="A1762" s="509"/>
      <c r="B1762" s="510"/>
      <c r="C1762" s="23"/>
      <c r="D1762" s="23"/>
      <c r="E1762" s="23"/>
      <c r="F1762" s="21"/>
      <c r="G1762" s="21"/>
      <c r="H1762" s="21"/>
      <c r="I1762" s="511"/>
    </row>
    <row r="1763" spans="1:9">
      <c r="A1763" s="509"/>
      <c r="B1763" s="510"/>
      <c r="C1763" s="23"/>
      <c r="D1763" s="23"/>
      <c r="E1763" s="23"/>
      <c r="F1763" s="21"/>
      <c r="G1763" s="21"/>
      <c r="H1763" s="21"/>
      <c r="I1763" s="511"/>
    </row>
    <row r="1764" spans="1:9">
      <c r="A1764" s="509"/>
      <c r="B1764" s="510"/>
      <c r="C1764" s="23"/>
      <c r="D1764" s="23"/>
      <c r="E1764" s="23"/>
      <c r="F1764" s="21"/>
      <c r="G1764" s="21"/>
      <c r="H1764" s="21"/>
      <c r="I1764" s="511"/>
    </row>
    <row r="1765" spans="1:9">
      <c r="A1765" s="509"/>
      <c r="B1765" s="510"/>
      <c r="C1765" s="23"/>
      <c r="D1765" s="23"/>
      <c r="E1765" s="23"/>
      <c r="F1765" s="21"/>
      <c r="G1765" s="21"/>
      <c r="H1765" s="21"/>
      <c r="I1765" s="511"/>
    </row>
    <row r="1766" spans="1:9">
      <c r="A1766" s="509"/>
      <c r="B1766" s="510"/>
      <c r="C1766" s="23"/>
      <c r="D1766" s="23"/>
      <c r="E1766" s="23"/>
      <c r="F1766" s="21"/>
      <c r="G1766" s="21"/>
      <c r="H1766" s="21"/>
      <c r="I1766" s="511"/>
    </row>
    <row r="1767" spans="1:9">
      <c r="A1767" s="509"/>
      <c r="B1767" s="510"/>
      <c r="C1767" s="23"/>
      <c r="D1767" s="23"/>
      <c r="E1767" s="23"/>
      <c r="F1767" s="21"/>
      <c r="G1767" s="21"/>
      <c r="H1767" s="21"/>
      <c r="I1767" s="511"/>
    </row>
    <row r="1768" spans="1:9">
      <c r="A1768" s="509"/>
      <c r="B1768" s="510"/>
      <c r="C1768" s="23"/>
      <c r="D1768" s="23"/>
      <c r="E1768" s="23"/>
      <c r="F1768" s="21"/>
      <c r="G1768" s="21"/>
      <c r="H1768" s="21"/>
      <c r="I1768" s="511"/>
    </row>
    <row r="1769" spans="1:9">
      <c r="A1769" s="509"/>
      <c r="B1769" s="510"/>
      <c r="C1769" s="23"/>
      <c r="D1769" s="23"/>
      <c r="E1769" s="23"/>
      <c r="F1769" s="21"/>
      <c r="G1769" s="21"/>
      <c r="H1769" s="21"/>
      <c r="I1769" s="511"/>
    </row>
    <row r="1770" spans="1:9">
      <c r="A1770" s="509"/>
      <c r="B1770" s="510"/>
      <c r="C1770" s="23"/>
      <c r="D1770" s="23"/>
      <c r="E1770" s="23"/>
      <c r="F1770" s="21"/>
      <c r="G1770" s="21"/>
      <c r="H1770" s="21"/>
      <c r="I1770" s="511"/>
    </row>
    <row r="1771" spans="1:9">
      <c r="A1771" s="509"/>
      <c r="B1771" s="510"/>
      <c r="C1771" s="23"/>
      <c r="D1771" s="23"/>
      <c r="E1771" s="23"/>
      <c r="F1771" s="21"/>
      <c r="G1771" s="21"/>
      <c r="H1771" s="21"/>
      <c r="I1771" s="511"/>
    </row>
    <row r="1772" spans="1:9">
      <c r="A1772" s="509"/>
      <c r="B1772" s="510"/>
      <c r="C1772" s="23"/>
      <c r="D1772" s="23"/>
      <c r="E1772" s="23"/>
      <c r="F1772" s="21"/>
      <c r="G1772" s="21"/>
      <c r="H1772" s="21"/>
      <c r="I1772" s="511"/>
    </row>
    <row r="1773" spans="1:9">
      <c r="A1773" s="509"/>
      <c r="B1773" s="510"/>
      <c r="C1773" s="23"/>
      <c r="D1773" s="23"/>
      <c r="E1773" s="23"/>
      <c r="F1773" s="21"/>
      <c r="G1773" s="21"/>
      <c r="H1773" s="21"/>
      <c r="I1773" s="511"/>
    </row>
    <row r="1774" spans="1:9">
      <c r="A1774" s="509"/>
      <c r="B1774" s="510"/>
      <c r="C1774" s="23"/>
      <c r="D1774" s="23"/>
      <c r="E1774" s="23"/>
      <c r="F1774" s="21"/>
      <c r="G1774" s="21"/>
      <c r="H1774" s="21"/>
      <c r="I1774" s="511"/>
    </row>
    <row r="1775" spans="1:9">
      <c r="A1775" s="509"/>
      <c r="B1775" s="510"/>
      <c r="C1775" s="23"/>
      <c r="D1775" s="23"/>
      <c r="E1775" s="23"/>
      <c r="F1775" s="21"/>
      <c r="G1775" s="21"/>
      <c r="H1775" s="21"/>
      <c r="I1775" s="511"/>
    </row>
    <row r="1776" spans="1:9">
      <c r="A1776" s="509"/>
      <c r="B1776" s="510"/>
      <c r="C1776" s="23"/>
      <c r="D1776" s="23"/>
      <c r="E1776" s="23"/>
      <c r="F1776" s="21"/>
      <c r="G1776" s="21"/>
      <c r="H1776" s="21"/>
      <c r="I1776" s="511"/>
    </row>
    <row r="1777" spans="1:9">
      <c r="A1777" s="509"/>
      <c r="B1777" s="510"/>
      <c r="C1777" s="23"/>
      <c r="D1777" s="23"/>
      <c r="E1777" s="23"/>
      <c r="F1777" s="21"/>
      <c r="G1777" s="21"/>
      <c r="H1777" s="21"/>
      <c r="I1777" s="511"/>
    </row>
    <row r="1778" spans="1:9">
      <c r="A1778" s="509"/>
      <c r="B1778" s="510"/>
      <c r="C1778" s="23"/>
      <c r="D1778" s="23"/>
      <c r="E1778" s="23"/>
      <c r="F1778" s="21"/>
      <c r="G1778" s="21"/>
      <c r="H1778" s="21"/>
      <c r="I1778" s="511"/>
    </row>
    <row r="1779" spans="1:9">
      <c r="A1779" s="509"/>
      <c r="B1779" s="510"/>
      <c r="C1779" s="23"/>
      <c r="D1779" s="23"/>
      <c r="E1779" s="23"/>
      <c r="F1779" s="21"/>
      <c r="G1779" s="21"/>
      <c r="H1779" s="21"/>
      <c r="I1779" s="511"/>
    </row>
    <row r="1780" spans="1:9">
      <c r="A1780" s="509"/>
      <c r="B1780" s="510"/>
      <c r="C1780" s="23"/>
      <c r="D1780" s="23"/>
      <c r="E1780" s="23"/>
      <c r="F1780" s="21"/>
      <c r="G1780" s="21"/>
      <c r="H1780" s="21"/>
      <c r="I1780" s="511"/>
    </row>
    <row r="1781" spans="1:9">
      <c r="A1781" s="509"/>
      <c r="B1781" s="510"/>
      <c r="C1781" s="23"/>
      <c r="D1781" s="23"/>
      <c r="E1781" s="23"/>
      <c r="F1781" s="21"/>
      <c r="G1781" s="21"/>
      <c r="H1781" s="21"/>
      <c r="I1781" s="511"/>
    </row>
    <row r="1782" spans="1:9">
      <c r="A1782" s="509"/>
      <c r="B1782" s="510"/>
      <c r="C1782" s="23"/>
      <c r="D1782" s="23"/>
      <c r="E1782" s="23"/>
      <c r="F1782" s="21"/>
      <c r="G1782" s="21"/>
      <c r="H1782" s="21"/>
      <c r="I1782" s="511"/>
    </row>
    <row r="1783" spans="1:9">
      <c r="A1783" s="509"/>
      <c r="B1783" s="510"/>
      <c r="C1783" s="23"/>
      <c r="D1783" s="23"/>
      <c r="E1783" s="23"/>
      <c r="F1783" s="21"/>
      <c r="G1783" s="21"/>
      <c r="H1783" s="21"/>
      <c r="I1783" s="511"/>
    </row>
    <row r="1784" spans="1:9">
      <c r="A1784" s="509"/>
      <c r="B1784" s="510"/>
      <c r="C1784" s="23"/>
      <c r="D1784" s="23"/>
      <c r="E1784" s="23"/>
      <c r="F1784" s="21"/>
      <c r="G1784" s="21"/>
      <c r="H1784" s="21"/>
      <c r="I1784" s="511"/>
    </row>
    <row r="1785" spans="1:9">
      <c r="A1785" s="509"/>
      <c r="B1785" s="510"/>
      <c r="C1785" s="23"/>
      <c r="D1785" s="23"/>
      <c r="E1785" s="23"/>
      <c r="F1785" s="21"/>
      <c r="G1785" s="21"/>
      <c r="H1785" s="21"/>
      <c r="I1785" s="511"/>
    </row>
    <row r="1786" spans="1:9">
      <c r="A1786" s="509"/>
      <c r="B1786" s="510"/>
      <c r="C1786" s="23"/>
      <c r="D1786" s="23"/>
      <c r="E1786" s="23"/>
      <c r="F1786" s="21"/>
      <c r="G1786" s="21"/>
      <c r="H1786" s="21"/>
      <c r="I1786" s="511"/>
    </row>
    <row r="1787" spans="1:9">
      <c r="A1787" s="509"/>
      <c r="B1787" s="510"/>
      <c r="C1787" s="23"/>
      <c r="D1787" s="23"/>
      <c r="E1787" s="23"/>
      <c r="F1787" s="21"/>
      <c r="G1787" s="21"/>
      <c r="H1787" s="21"/>
      <c r="I1787" s="511"/>
    </row>
    <row r="1788" spans="1:9">
      <c r="A1788" s="509"/>
      <c r="B1788" s="510"/>
      <c r="C1788" s="23"/>
      <c r="D1788" s="23"/>
      <c r="E1788" s="23"/>
      <c r="F1788" s="21"/>
      <c r="G1788" s="21"/>
      <c r="H1788" s="21"/>
      <c r="I1788" s="511"/>
    </row>
    <row r="1789" spans="1:9">
      <c r="A1789" s="509"/>
      <c r="B1789" s="510"/>
      <c r="C1789" s="23"/>
      <c r="D1789" s="23"/>
      <c r="E1789" s="23"/>
      <c r="F1789" s="21"/>
      <c r="G1789" s="21"/>
      <c r="H1789" s="21"/>
      <c r="I1789" s="511"/>
    </row>
    <row r="1790" spans="1:9">
      <c r="A1790" s="509"/>
      <c r="B1790" s="510"/>
      <c r="C1790" s="23"/>
      <c r="D1790" s="23"/>
      <c r="E1790" s="23"/>
      <c r="F1790" s="21"/>
      <c r="G1790" s="21"/>
      <c r="H1790" s="21"/>
      <c r="I1790" s="511"/>
    </row>
    <row r="1791" spans="1:9">
      <c r="A1791" s="509"/>
      <c r="B1791" s="510"/>
      <c r="C1791" s="23"/>
      <c r="D1791" s="23"/>
      <c r="E1791" s="23"/>
      <c r="F1791" s="21"/>
      <c r="G1791" s="21"/>
      <c r="H1791" s="21"/>
      <c r="I1791" s="511"/>
    </row>
    <row r="1792" spans="1:9">
      <c r="A1792" s="509"/>
      <c r="B1792" s="510"/>
      <c r="C1792" s="23"/>
      <c r="D1792" s="23"/>
      <c r="E1792" s="23"/>
      <c r="F1792" s="21"/>
      <c r="G1792" s="21"/>
      <c r="H1792" s="21"/>
      <c r="I1792" s="511"/>
    </row>
    <row r="1793" spans="1:9">
      <c r="A1793" s="509"/>
      <c r="B1793" s="510"/>
      <c r="C1793" s="23"/>
      <c r="D1793" s="23"/>
      <c r="E1793" s="23"/>
      <c r="F1793" s="21"/>
      <c r="G1793" s="21"/>
      <c r="H1793" s="21"/>
      <c r="I1793" s="511"/>
    </row>
    <row r="1794" spans="1:9">
      <c r="A1794" s="509"/>
      <c r="B1794" s="510"/>
      <c r="C1794" s="23"/>
      <c r="D1794" s="23"/>
      <c r="E1794" s="23"/>
      <c r="F1794" s="21"/>
      <c r="G1794" s="21"/>
      <c r="H1794" s="21"/>
      <c r="I1794" s="511"/>
    </row>
    <row r="1795" spans="1:9">
      <c r="A1795" s="509"/>
      <c r="B1795" s="510"/>
      <c r="C1795" s="23"/>
      <c r="D1795" s="23"/>
      <c r="E1795" s="23"/>
      <c r="F1795" s="21"/>
      <c r="G1795" s="21"/>
      <c r="H1795" s="21"/>
      <c r="I1795" s="511"/>
    </row>
    <row r="1796" spans="1:9">
      <c r="A1796" s="509"/>
      <c r="B1796" s="510"/>
      <c r="C1796" s="23"/>
      <c r="D1796" s="23"/>
      <c r="E1796" s="23"/>
      <c r="F1796" s="21"/>
      <c r="G1796" s="21"/>
      <c r="H1796" s="21"/>
      <c r="I1796" s="511"/>
    </row>
    <row r="1797" spans="1:9">
      <c r="A1797" s="509"/>
      <c r="B1797" s="510"/>
      <c r="C1797" s="23"/>
      <c r="D1797" s="23"/>
      <c r="E1797" s="23"/>
      <c r="F1797" s="21"/>
      <c r="G1797" s="21"/>
      <c r="H1797" s="21"/>
      <c r="I1797" s="511"/>
    </row>
    <row r="1798" spans="1:9">
      <c r="A1798" s="509"/>
      <c r="B1798" s="510"/>
      <c r="C1798" s="23"/>
      <c r="D1798" s="23"/>
      <c r="E1798" s="23"/>
      <c r="F1798" s="21"/>
      <c r="G1798" s="21"/>
      <c r="H1798" s="21"/>
      <c r="I1798" s="511"/>
    </row>
    <row r="1799" spans="1:9">
      <c r="A1799" s="509"/>
      <c r="B1799" s="510"/>
      <c r="C1799" s="23"/>
      <c r="D1799" s="23"/>
      <c r="E1799" s="23"/>
      <c r="F1799" s="21"/>
      <c r="G1799" s="21"/>
      <c r="H1799" s="21"/>
      <c r="I1799" s="511"/>
    </row>
    <row r="1800" spans="1:9">
      <c r="A1800" s="509"/>
      <c r="B1800" s="510"/>
      <c r="C1800" s="23"/>
      <c r="D1800" s="23"/>
      <c r="E1800" s="23"/>
      <c r="F1800" s="21"/>
      <c r="G1800" s="21"/>
      <c r="H1800" s="21"/>
      <c r="I1800" s="511"/>
    </row>
    <row r="1801" spans="1:9">
      <c r="A1801" s="509"/>
      <c r="B1801" s="510"/>
      <c r="C1801" s="23"/>
      <c r="D1801" s="23"/>
      <c r="E1801" s="23"/>
      <c r="F1801" s="21"/>
      <c r="G1801" s="21"/>
      <c r="H1801" s="21"/>
      <c r="I1801" s="511"/>
    </row>
    <row r="1802" spans="1:9">
      <c r="A1802" s="509"/>
      <c r="B1802" s="510"/>
      <c r="C1802" s="23"/>
      <c r="D1802" s="23"/>
      <c r="E1802" s="23"/>
      <c r="F1802" s="21"/>
      <c r="G1802" s="21"/>
      <c r="H1802" s="21"/>
      <c r="I1802" s="511"/>
    </row>
    <row r="1803" spans="1:9">
      <c r="A1803" s="509"/>
      <c r="B1803" s="510"/>
      <c r="C1803" s="23"/>
      <c r="D1803" s="23"/>
      <c r="E1803" s="23"/>
      <c r="F1803" s="21"/>
      <c r="G1803" s="21"/>
      <c r="H1803" s="21"/>
      <c r="I1803" s="511"/>
    </row>
    <row r="1804" spans="1:9">
      <c r="A1804" s="509"/>
      <c r="B1804" s="510"/>
      <c r="C1804" s="23"/>
      <c r="D1804" s="23"/>
      <c r="E1804" s="23"/>
      <c r="F1804" s="21"/>
      <c r="G1804" s="21"/>
      <c r="H1804" s="21"/>
      <c r="I1804" s="511"/>
    </row>
    <row r="1805" spans="1:9">
      <c r="A1805" s="509"/>
      <c r="B1805" s="510"/>
      <c r="C1805" s="23"/>
      <c r="D1805" s="23"/>
      <c r="E1805" s="23"/>
      <c r="F1805" s="21"/>
      <c r="G1805" s="21"/>
      <c r="H1805" s="21"/>
      <c r="I1805" s="511"/>
    </row>
    <row r="1806" spans="1:9">
      <c r="A1806" s="509"/>
      <c r="B1806" s="510"/>
      <c r="C1806" s="23"/>
      <c r="D1806" s="23"/>
      <c r="E1806" s="23"/>
      <c r="F1806" s="21"/>
      <c r="G1806" s="21"/>
      <c r="H1806" s="21"/>
      <c r="I1806" s="511"/>
    </row>
    <row r="1807" spans="1:9">
      <c r="A1807" s="509"/>
      <c r="B1807" s="510"/>
      <c r="C1807" s="23"/>
      <c r="D1807" s="23"/>
      <c r="E1807" s="23"/>
      <c r="F1807" s="21"/>
      <c r="G1807" s="21"/>
      <c r="H1807" s="21"/>
      <c r="I1807" s="511"/>
    </row>
    <row r="1808" spans="1:9">
      <c r="A1808" s="509"/>
      <c r="B1808" s="510"/>
      <c r="C1808" s="23"/>
      <c r="D1808" s="23"/>
      <c r="E1808" s="23"/>
      <c r="F1808" s="21"/>
      <c r="G1808" s="21"/>
      <c r="H1808" s="21"/>
      <c r="I1808" s="511"/>
    </row>
    <row r="1809" spans="1:9">
      <c r="A1809" s="509"/>
      <c r="B1809" s="510"/>
      <c r="C1809" s="23"/>
      <c r="D1809" s="23"/>
      <c r="E1809" s="23"/>
      <c r="F1809" s="21"/>
      <c r="G1809" s="21"/>
      <c r="H1809" s="21"/>
      <c r="I1809" s="511"/>
    </row>
    <row r="1810" spans="1:9">
      <c r="A1810" s="509"/>
      <c r="B1810" s="510"/>
      <c r="C1810" s="23"/>
      <c r="D1810" s="23"/>
      <c r="E1810" s="23"/>
      <c r="F1810" s="21"/>
      <c r="G1810" s="21"/>
      <c r="H1810" s="21"/>
      <c r="I1810" s="511"/>
    </row>
    <row r="1811" spans="1:9">
      <c r="A1811" s="509"/>
      <c r="B1811" s="510"/>
      <c r="C1811" s="23"/>
      <c r="D1811" s="23"/>
      <c r="E1811" s="23"/>
      <c r="F1811" s="21"/>
      <c r="G1811" s="21"/>
      <c r="H1811" s="21"/>
      <c r="I1811" s="511"/>
    </row>
    <row r="1812" spans="1:9">
      <c r="A1812" s="509"/>
      <c r="B1812" s="510"/>
      <c r="C1812" s="23"/>
      <c r="D1812" s="23"/>
      <c r="E1812" s="23"/>
      <c r="F1812" s="21"/>
      <c r="G1812" s="21"/>
      <c r="H1812" s="21"/>
      <c r="I1812" s="511"/>
    </row>
    <row r="1813" spans="1:9">
      <c r="A1813" s="509"/>
      <c r="B1813" s="510"/>
      <c r="C1813" s="23"/>
      <c r="D1813" s="23"/>
      <c r="E1813" s="23"/>
      <c r="F1813" s="21"/>
      <c r="G1813" s="21"/>
      <c r="H1813" s="21"/>
      <c r="I1813" s="511"/>
    </row>
    <row r="1814" spans="1:9">
      <c r="A1814" s="509"/>
      <c r="B1814" s="510"/>
      <c r="C1814" s="23"/>
      <c r="D1814" s="23"/>
      <c r="E1814" s="23"/>
      <c r="F1814" s="21"/>
      <c r="G1814" s="21"/>
      <c r="H1814" s="21"/>
      <c r="I1814" s="511"/>
    </row>
    <row r="1815" spans="1:9">
      <c r="A1815" s="509"/>
      <c r="B1815" s="510"/>
      <c r="C1815" s="23"/>
      <c r="D1815" s="23"/>
      <c r="E1815" s="23"/>
      <c r="F1815" s="21"/>
      <c r="G1815" s="21"/>
      <c r="H1815" s="21"/>
      <c r="I1815" s="511"/>
    </row>
    <row r="1816" spans="1:9">
      <c r="A1816" s="509"/>
      <c r="B1816" s="510"/>
      <c r="C1816" s="23"/>
      <c r="D1816" s="23"/>
      <c r="E1816" s="23"/>
      <c r="F1816" s="21"/>
      <c r="G1816" s="21"/>
      <c r="H1816" s="21"/>
      <c r="I1816" s="511"/>
    </row>
    <row r="1817" spans="1:9">
      <c r="A1817" s="509"/>
      <c r="B1817" s="510"/>
      <c r="C1817" s="23"/>
      <c r="D1817" s="23"/>
      <c r="E1817" s="23"/>
      <c r="F1817" s="21"/>
      <c r="G1817" s="21"/>
      <c r="H1817" s="21"/>
      <c r="I1817" s="511"/>
    </row>
    <row r="1818" spans="1:9">
      <c r="A1818" s="509"/>
      <c r="B1818" s="510"/>
      <c r="C1818" s="23"/>
      <c r="D1818" s="23"/>
      <c r="E1818" s="23"/>
      <c r="F1818" s="21"/>
      <c r="G1818" s="21"/>
      <c r="H1818" s="21"/>
      <c r="I1818" s="511"/>
    </row>
  </sheetData>
  <sheetProtection algorithmName="SHA-512" hashValue="RcdoXutBzOsfwk+iS3hMqYWmsh3AfcccxizfSongLIBYqYlDXJdxvi9Ysq+i+DK+soIFkjV5vJsk9zjeawuxbQ==" saltValue="elaCcdZOUIlMU01VI3cT2w==" spinCount="100000" sheet="1"/>
  <mergeCells count="18">
    <mergeCell ref="A57:I57"/>
    <mergeCell ref="A7:I7"/>
    <mergeCell ref="A8:I8"/>
    <mergeCell ref="A9:I9"/>
    <mergeCell ref="A12:I12"/>
    <mergeCell ref="A45:I45"/>
    <mergeCell ref="A47:I47"/>
    <mergeCell ref="A48:I48"/>
    <mergeCell ref="A49:I49"/>
    <mergeCell ref="A51:I51"/>
    <mergeCell ref="A53:I53"/>
    <mergeCell ref="A55:I55"/>
    <mergeCell ref="B6:I6"/>
    <mergeCell ref="B1:I1"/>
    <mergeCell ref="A2:I2"/>
    <mergeCell ref="A4:I4"/>
    <mergeCell ref="A5:I5"/>
    <mergeCell ref="F3:I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7" fitToHeight="0" orientation="portrait" r:id="rId1"/>
  <headerFooter>
    <oddHeader>&amp;LBD Hübnerové&amp;ROdhad stavebních nákladů</oddHeader>
    <oddFooter>Stránka &amp;P z &amp;N</oddFooter>
  </headerFooter>
  <rowBreaks count="2" manualBreakCount="2">
    <brk id="57" max="5" man="1"/>
    <brk id="58" max="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R387"/>
  <sheetViews>
    <sheetView view="pageBreakPreview" zoomScale="85" zoomScaleNormal="100" zoomScaleSheetLayoutView="85" workbookViewId="0">
      <selection activeCell="A5" sqref="A5"/>
    </sheetView>
  </sheetViews>
  <sheetFormatPr defaultRowHeight="12.75"/>
  <cols>
    <col min="1" max="1" width="12.83203125" style="528" customWidth="1"/>
    <col min="2" max="2" width="14.83203125" style="529" customWidth="1"/>
    <col min="3" max="3" width="69.6640625" style="529" customWidth="1"/>
    <col min="4" max="6" width="14.5" style="12" customWidth="1"/>
    <col min="7" max="7" width="18" style="13" customWidth="1"/>
    <col min="8" max="9" width="22.6640625" style="148" customWidth="1"/>
    <col min="10" max="10" width="25.33203125" style="526" customWidth="1"/>
    <col min="11" max="16" width="19.1640625" style="148" customWidth="1"/>
    <col min="17" max="261" width="9.33203125" style="527"/>
    <col min="262" max="262" width="12.83203125" style="527" customWidth="1"/>
    <col min="263" max="263" width="82.83203125" style="527" customWidth="1"/>
    <col min="264" max="264" width="13" style="527" customWidth="1"/>
    <col min="265" max="265" width="10.1640625" style="527" customWidth="1"/>
    <col min="266" max="266" width="11.83203125" style="527" customWidth="1"/>
    <col min="267" max="267" width="15.6640625" style="527" customWidth="1"/>
    <col min="268" max="517" width="9.33203125" style="527"/>
    <col min="518" max="518" width="12.83203125" style="527" customWidth="1"/>
    <col min="519" max="519" width="82.83203125" style="527" customWidth="1"/>
    <col min="520" max="520" width="13" style="527" customWidth="1"/>
    <col min="521" max="521" width="10.1640625" style="527" customWidth="1"/>
    <col min="522" max="522" width="11.83203125" style="527" customWidth="1"/>
    <col min="523" max="523" width="15.6640625" style="527" customWidth="1"/>
    <col min="524" max="773" width="9.33203125" style="527"/>
    <col min="774" max="774" width="12.83203125" style="527" customWidth="1"/>
    <col min="775" max="775" width="82.83203125" style="527" customWidth="1"/>
    <col min="776" max="776" width="13" style="527" customWidth="1"/>
    <col min="777" max="777" width="10.1640625" style="527" customWidth="1"/>
    <col min="778" max="778" width="11.83203125" style="527" customWidth="1"/>
    <col min="779" max="779" width="15.6640625" style="527" customWidth="1"/>
    <col min="780" max="1029" width="9.33203125" style="527"/>
    <col min="1030" max="1030" width="12.83203125" style="527" customWidth="1"/>
    <col min="1031" max="1031" width="82.83203125" style="527" customWidth="1"/>
    <col min="1032" max="1032" width="13" style="527" customWidth="1"/>
    <col min="1033" max="1033" width="10.1640625" style="527" customWidth="1"/>
    <col min="1034" max="1034" width="11.83203125" style="527" customWidth="1"/>
    <col min="1035" max="1035" width="15.6640625" style="527" customWidth="1"/>
    <col min="1036" max="1285" width="9.33203125" style="527"/>
    <col min="1286" max="1286" width="12.83203125" style="527" customWidth="1"/>
    <col min="1287" max="1287" width="82.83203125" style="527" customWidth="1"/>
    <col min="1288" max="1288" width="13" style="527" customWidth="1"/>
    <col min="1289" max="1289" width="10.1640625" style="527" customWidth="1"/>
    <col min="1290" max="1290" width="11.83203125" style="527" customWidth="1"/>
    <col min="1291" max="1291" width="15.6640625" style="527" customWidth="1"/>
    <col min="1292" max="1541" width="9.33203125" style="527"/>
    <col min="1542" max="1542" width="12.83203125" style="527" customWidth="1"/>
    <col min="1543" max="1543" width="82.83203125" style="527" customWidth="1"/>
    <col min="1544" max="1544" width="13" style="527" customWidth="1"/>
    <col min="1545" max="1545" width="10.1640625" style="527" customWidth="1"/>
    <col min="1546" max="1546" width="11.83203125" style="527" customWidth="1"/>
    <col min="1547" max="1547" width="15.6640625" style="527" customWidth="1"/>
    <col min="1548" max="1797" width="9.33203125" style="527"/>
    <col min="1798" max="1798" width="12.83203125" style="527" customWidth="1"/>
    <col min="1799" max="1799" width="82.83203125" style="527" customWidth="1"/>
    <col min="1800" max="1800" width="13" style="527" customWidth="1"/>
    <col min="1801" max="1801" width="10.1640625" style="527" customWidth="1"/>
    <col min="1802" max="1802" width="11.83203125" style="527" customWidth="1"/>
    <col min="1803" max="1803" width="15.6640625" style="527" customWidth="1"/>
    <col min="1804" max="2053" width="9.33203125" style="527"/>
    <col min="2054" max="2054" width="12.83203125" style="527" customWidth="1"/>
    <col min="2055" max="2055" width="82.83203125" style="527" customWidth="1"/>
    <col min="2056" max="2056" width="13" style="527" customWidth="1"/>
    <col min="2057" max="2057" width="10.1640625" style="527" customWidth="1"/>
    <col min="2058" max="2058" width="11.83203125" style="527" customWidth="1"/>
    <col min="2059" max="2059" width="15.6640625" style="527" customWidth="1"/>
    <col min="2060" max="2309" width="9.33203125" style="527"/>
    <col min="2310" max="2310" width="12.83203125" style="527" customWidth="1"/>
    <col min="2311" max="2311" width="82.83203125" style="527" customWidth="1"/>
    <col min="2312" max="2312" width="13" style="527" customWidth="1"/>
    <col min="2313" max="2313" width="10.1640625" style="527" customWidth="1"/>
    <col min="2314" max="2314" width="11.83203125" style="527" customWidth="1"/>
    <col min="2315" max="2315" width="15.6640625" style="527" customWidth="1"/>
    <col min="2316" max="2565" width="9.33203125" style="527"/>
    <col min="2566" max="2566" width="12.83203125" style="527" customWidth="1"/>
    <col min="2567" max="2567" width="82.83203125" style="527" customWidth="1"/>
    <col min="2568" max="2568" width="13" style="527" customWidth="1"/>
    <col min="2569" max="2569" width="10.1640625" style="527" customWidth="1"/>
    <col min="2570" max="2570" width="11.83203125" style="527" customWidth="1"/>
    <col min="2571" max="2571" width="15.6640625" style="527" customWidth="1"/>
    <col min="2572" max="2821" width="9.33203125" style="527"/>
    <col min="2822" max="2822" width="12.83203125" style="527" customWidth="1"/>
    <col min="2823" max="2823" width="82.83203125" style="527" customWidth="1"/>
    <col min="2824" max="2824" width="13" style="527" customWidth="1"/>
    <col min="2825" max="2825" width="10.1640625" style="527" customWidth="1"/>
    <col min="2826" max="2826" width="11.83203125" style="527" customWidth="1"/>
    <col min="2827" max="2827" width="15.6640625" style="527" customWidth="1"/>
    <col min="2828" max="3077" width="9.33203125" style="527"/>
    <col min="3078" max="3078" width="12.83203125" style="527" customWidth="1"/>
    <col min="3079" max="3079" width="82.83203125" style="527" customWidth="1"/>
    <col min="3080" max="3080" width="13" style="527" customWidth="1"/>
    <col min="3081" max="3081" width="10.1640625" style="527" customWidth="1"/>
    <col min="3082" max="3082" width="11.83203125" style="527" customWidth="1"/>
    <col min="3083" max="3083" width="15.6640625" style="527" customWidth="1"/>
    <col min="3084" max="3333" width="9.33203125" style="527"/>
    <col min="3334" max="3334" width="12.83203125" style="527" customWidth="1"/>
    <col min="3335" max="3335" width="82.83203125" style="527" customWidth="1"/>
    <col min="3336" max="3336" width="13" style="527" customWidth="1"/>
    <col min="3337" max="3337" width="10.1640625" style="527" customWidth="1"/>
    <col min="3338" max="3338" width="11.83203125" style="527" customWidth="1"/>
    <col min="3339" max="3339" width="15.6640625" style="527" customWidth="1"/>
    <col min="3340" max="3589" width="9.33203125" style="527"/>
    <col min="3590" max="3590" width="12.83203125" style="527" customWidth="1"/>
    <col min="3591" max="3591" width="82.83203125" style="527" customWidth="1"/>
    <col min="3592" max="3592" width="13" style="527" customWidth="1"/>
    <col min="3593" max="3593" width="10.1640625" style="527" customWidth="1"/>
    <col min="3594" max="3594" width="11.83203125" style="527" customWidth="1"/>
    <col min="3595" max="3595" width="15.6640625" style="527" customWidth="1"/>
    <col min="3596" max="3845" width="9.33203125" style="527"/>
    <col min="3846" max="3846" width="12.83203125" style="527" customWidth="1"/>
    <col min="3847" max="3847" width="82.83203125" style="527" customWidth="1"/>
    <col min="3848" max="3848" width="13" style="527" customWidth="1"/>
    <col min="3849" max="3849" width="10.1640625" style="527" customWidth="1"/>
    <col min="3850" max="3850" width="11.83203125" style="527" customWidth="1"/>
    <col min="3851" max="3851" width="15.6640625" style="527" customWidth="1"/>
    <col min="3852" max="4101" width="9.33203125" style="527"/>
    <col min="4102" max="4102" width="12.83203125" style="527" customWidth="1"/>
    <col min="4103" max="4103" width="82.83203125" style="527" customWidth="1"/>
    <col min="4104" max="4104" width="13" style="527" customWidth="1"/>
    <col min="4105" max="4105" width="10.1640625" style="527" customWidth="1"/>
    <col min="4106" max="4106" width="11.83203125" style="527" customWidth="1"/>
    <col min="4107" max="4107" width="15.6640625" style="527" customWidth="1"/>
    <col min="4108" max="4357" width="9.33203125" style="527"/>
    <col min="4358" max="4358" width="12.83203125" style="527" customWidth="1"/>
    <col min="4359" max="4359" width="82.83203125" style="527" customWidth="1"/>
    <col min="4360" max="4360" width="13" style="527" customWidth="1"/>
    <col min="4361" max="4361" width="10.1640625" style="527" customWidth="1"/>
    <col min="4362" max="4362" width="11.83203125" style="527" customWidth="1"/>
    <col min="4363" max="4363" width="15.6640625" style="527" customWidth="1"/>
    <col min="4364" max="4613" width="9.33203125" style="527"/>
    <col min="4614" max="4614" width="12.83203125" style="527" customWidth="1"/>
    <col min="4615" max="4615" width="82.83203125" style="527" customWidth="1"/>
    <col min="4616" max="4616" width="13" style="527" customWidth="1"/>
    <col min="4617" max="4617" width="10.1640625" style="527" customWidth="1"/>
    <col min="4618" max="4618" width="11.83203125" style="527" customWidth="1"/>
    <col min="4619" max="4619" width="15.6640625" style="527" customWidth="1"/>
    <col min="4620" max="4869" width="9.33203125" style="527"/>
    <col min="4870" max="4870" width="12.83203125" style="527" customWidth="1"/>
    <col min="4871" max="4871" width="82.83203125" style="527" customWidth="1"/>
    <col min="4872" max="4872" width="13" style="527" customWidth="1"/>
    <col min="4873" max="4873" width="10.1640625" style="527" customWidth="1"/>
    <col min="4874" max="4874" width="11.83203125" style="527" customWidth="1"/>
    <col min="4875" max="4875" width="15.6640625" style="527" customWidth="1"/>
    <col min="4876" max="5125" width="9.33203125" style="527"/>
    <col min="5126" max="5126" width="12.83203125" style="527" customWidth="1"/>
    <col min="5127" max="5127" width="82.83203125" style="527" customWidth="1"/>
    <col min="5128" max="5128" width="13" style="527" customWidth="1"/>
    <col min="5129" max="5129" width="10.1640625" style="527" customWidth="1"/>
    <col min="5130" max="5130" width="11.83203125" style="527" customWidth="1"/>
    <col min="5131" max="5131" width="15.6640625" style="527" customWidth="1"/>
    <col min="5132" max="5381" width="9.33203125" style="527"/>
    <col min="5382" max="5382" width="12.83203125" style="527" customWidth="1"/>
    <col min="5383" max="5383" width="82.83203125" style="527" customWidth="1"/>
    <col min="5384" max="5384" width="13" style="527" customWidth="1"/>
    <col min="5385" max="5385" width="10.1640625" style="527" customWidth="1"/>
    <col min="5386" max="5386" width="11.83203125" style="527" customWidth="1"/>
    <col min="5387" max="5387" width="15.6640625" style="527" customWidth="1"/>
    <col min="5388" max="5637" width="9.33203125" style="527"/>
    <col min="5638" max="5638" width="12.83203125" style="527" customWidth="1"/>
    <col min="5639" max="5639" width="82.83203125" style="527" customWidth="1"/>
    <col min="5640" max="5640" width="13" style="527" customWidth="1"/>
    <col min="5641" max="5641" width="10.1640625" style="527" customWidth="1"/>
    <col min="5642" max="5642" width="11.83203125" style="527" customWidth="1"/>
    <col min="5643" max="5643" width="15.6640625" style="527" customWidth="1"/>
    <col min="5644" max="5893" width="9.33203125" style="527"/>
    <col min="5894" max="5894" width="12.83203125" style="527" customWidth="1"/>
    <col min="5895" max="5895" width="82.83203125" style="527" customWidth="1"/>
    <col min="5896" max="5896" width="13" style="527" customWidth="1"/>
    <col min="5897" max="5897" width="10.1640625" style="527" customWidth="1"/>
    <col min="5898" max="5898" width="11.83203125" style="527" customWidth="1"/>
    <col min="5899" max="5899" width="15.6640625" style="527" customWidth="1"/>
    <col min="5900" max="6149" width="9.33203125" style="527"/>
    <col min="6150" max="6150" width="12.83203125" style="527" customWidth="1"/>
    <col min="6151" max="6151" width="82.83203125" style="527" customWidth="1"/>
    <col min="6152" max="6152" width="13" style="527" customWidth="1"/>
    <col min="6153" max="6153" width="10.1640625" style="527" customWidth="1"/>
    <col min="6154" max="6154" width="11.83203125" style="527" customWidth="1"/>
    <col min="6155" max="6155" width="15.6640625" style="527" customWidth="1"/>
    <col min="6156" max="6405" width="9.33203125" style="527"/>
    <col min="6406" max="6406" width="12.83203125" style="527" customWidth="1"/>
    <col min="6407" max="6407" width="82.83203125" style="527" customWidth="1"/>
    <col min="6408" max="6408" width="13" style="527" customWidth="1"/>
    <col min="6409" max="6409" width="10.1640625" style="527" customWidth="1"/>
    <col min="6410" max="6410" width="11.83203125" style="527" customWidth="1"/>
    <col min="6411" max="6411" width="15.6640625" style="527" customWidth="1"/>
    <col min="6412" max="6661" width="9.33203125" style="527"/>
    <col min="6662" max="6662" width="12.83203125" style="527" customWidth="1"/>
    <col min="6663" max="6663" width="82.83203125" style="527" customWidth="1"/>
    <col min="6664" max="6664" width="13" style="527" customWidth="1"/>
    <col min="6665" max="6665" width="10.1640625" style="527" customWidth="1"/>
    <col min="6666" max="6666" width="11.83203125" style="527" customWidth="1"/>
    <col min="6667" max="6667" width="15.6640625" style="527" customWidth="1"/>
    <col min="6668" max="6917" width="9.33203125" style="527"/>
    <col min="6918" max="6918" width="12.83203125" style="527" customWidth="1"/>
    <col min="6919" max="6919" width="82.83203125" style="527" customWidth="1"/>
    <col min="6920" max="6920" width="13" style="527" customWidth="1"/>
    <col min="6921" max="6921" width="10.1640625" style="527" customWidth="1"/>
    <col min="6922" max="6922" width="11.83203125" style="527" customWidth="1"/>
    <col min="6923" max="6923" width="15.6640625" style="527" customWidth="1"/>
    <col min="6924" max="7173" width="9.33203125" style="527"/>
    <col min="7174" max="7174" width="12.83203125" style="527" customWidth="1"/>
    <col min="7175" max="7175" width="82.83203125" style="527" customWidth="1"/>
    <col min="7176" max="7176" width="13" style="527" customWidth="1"/>
    <col min="7177" max="7177" width="10.1640625" style="527" customWidth="1"/>
    <col min="7178" max="7178" width="11.83203125" style="527" customWidth="1"/>
    <col min="7179" max="7179" width="15.6640625" style="527" customWidth="1"/>
    <col min="7180" max="7429" width="9.33203125" style="527"/>
    <col min="7430" max="7430" width="12.83203125" style="527" customWidth="1"/>
    <col min="7431" max="7431" width="82.83203125" style="527" customWidth="1"/>
    <col min="7432" max="7432" width="13" style="527" customWidth="1"/>
    <col min="7433" max="7433" width="10.1640625" style="527" customWidth="1"/>
    <col min="7434" max="7434" width="11.83203125" style="527" customWidth="1"/>
    <col min="7435" max="7435" width="15.6640625" style="527" customWidth="1"/>
    <col min="7436" max="7685" width="9.33203125" style="527"/>
    <col min="7686" max="7686" width="12.83203125" style="527" customWidth="1"/>
    <col min="7687" max="7687" width="82.83203125" style="527" customWidth="1"/>
    <col min="7688" max="7688" width="13" style="527" customWidth="1"/>
    <col min="7689" max="7689" width="10.1640625" style="527" customWidth="1"/>
    <col min="7690" max="7690" width="11.83203125" style="527" customWidth="1"/>
    <col min="7691" max="7691" width="15.6640625" style="527" customWidth="1"/>
    <col min="7692" max="7941" width="9.33203125" style="527"/>
    <col min="7942" max="7942" width="12.83203125" style="527" customWidth="1"/>
    <col min="7943" max="7943" width="82.83203125" style="527" customWidth="1"/>
    <col min="7944" max="7944" width="13" style="527" customWidth="1"/>
    <col min="7945" max="7945" width="10.1640625" style="527" customWidth="1"/>
    <col min="7946" max="7946" width="11.83203125" style="527" customWidth="1"/>
    <col min="7947" max="7947" width="15.6640625" style="527" customWidth="1"/>
    <col min="7948" max="8197" width="9.33203125" style="527"/>
    <col min="8198" max="8198" width="12.83203125" style="527" customWidth="1"/>
    <col min="8199" max="8199" width="82.83203125" style="527" customWidth="1"/>
    <col min="8200" max="8200" width="13" style="527" customWidth="1"/>
    <col min="8201" max="8201" width="10.1640625" style="527" customWidth="1"/>
    <col min="8202" max="8202" width="11.83203125" style="527" customWidth="1"/>
    <col min="8203" max="8203" width="15.6640625" style="527" customWidth="1"/>
    <col min="8204" max="8453" width="9.33203125" style="527"/>
    <col min="8454" max="8454" width="12.83203125" style="527" customWidth="1"/>
    <col min="8455" max="8455" width="82.83203125" style="527" customWidth="1"/>
    <col min="8456" max="8456" width="13" style="527" customWidth="1"/>
    <col min="8457" max="8457" width="10.1640625" style="527" customWidth="1"/>
    <col min="8458" max="8458" width="11.83203125" style="527" customWidth="1"/>
    <col min="8459" max="8459" width="15.6640625" style="527" customWidth="1"/>
    <col min="8460" max="8709" width="9.33203125" style="527"/>
    <col min="8710" max="8710" width="12.83203125" style="527" customWidth="1"/>
    <col min="8711" max="8711" width="82.83203125" style="527" customWidth="1"/>
    <col min="8712" max="8712" width="13" style="527" customWidth="1"/>
    <col min="8713" max="8713" width="10.1640625" style="527" customWidth="1"/>
    <col min="8714" max="8714" width="11.83203125" style="527" customWidth="1"/>
    <col min="8715" max="8715" width="15.6640625" style="527" customWidth="1"/>
    <col min="8716" max="8965" width="9.33203125" style="527"/>
    <col min="8966" max="8966" width="12.83203125" style="527" customWidth="1"/>
    <col min="8967" max="8967" width="82.83203125" style="527" customWidth="1"/>
    <col min="8968" max="8968" width="13" style="527" customWidth="1"/>
    <col min="8969" max="8969" width="10.1640625" style="527" customWidth="1"/>
    <col min="8970" max="8970" width="11.83203125" style="527" customWidth="1"/>
    <col min="8971" max="8971" width="15.6640625" style="527" customWidth="1"/>
    <col min="8972" max="9221" width="9.33203125" style="527"/>
    <col min="9222" max="9222" width="12.83203125" style="527" customWidth="1"/>
    <col min="9223" max="9223" width="82.83203125" style="527" customWidth="1"/>
    <col min="9224" max="9224" width="13" style="527" customWidth="1"/>
    <col min="9225" max="9225" width="10.1640625" style="527" customWidth="1"/>
    <col min="9226" max="9226" width="11.83203125" style="527" customWidth="1"/>
    <col min="9227" max="9227" width="15.6640625" style="527" customWidth="1"/>
    <col min="9228" max="9477" width="9.33203125" style="527"/>
    <col min="9478" max="9478" width="12.83203125" style="527" customWidth="1"/>
    <col min="9479" max="9479" width="82.83203125" style="527" customWidth="1"/>
    <col min="9480" max="9480" width="13" style="527" customWidth="1"/>
    <col min="9481" max="9481" width="10.1640625" style="527" customWidth="1"/>
    <col min="9482" max="9482" width="11.83203125" style="527" customWidth="1"/>
    <col min="9483" max="9483" width="15.6640625" style="527" customWidth="1"/>
    <col min="9484" max="9733" width="9.33203125" style="527"/>
    <col min="9734" max="9734" width="12.83203125" style="527" customWidth="1"/>
    <col min="9735" max="9735" width="82.83203125" style="527" customWidth="1"/>
    <col min="9736" max="9736" width="13" style="527" customWidth="1"/>
    <col min="9737" max="9737" width="10.1640625" style="527" customWidth="1"/>
    <col min="9738" max="9738" width="11.83203125" style="527" customWidth="1"/>
    <col min="9739" max="9739" width="15.6640625" style="527" customWidth="1"/>
    <col min="9740" max="9989" width="9.33203125" style="527"/>
    <col min="9990" max="9990" width="12.83203125" style="527" customWidth="1"/>
    <col min="9991" max="9991" width="82.83203125" style="527" customWidth="1"/>
    <col min="9992" max="9992" width="13" style="527" customWidth="1"/>
    <col min="9993" max="9993" width="10.1640625" style="527" customWidth="1"/>
    <col min="9994" max="9994" width="11.83203125" style="527" customWidth="1"/>
    <col min="9995" max="9995" width="15.6640625" style="527" customWidth="1"/>
    <col min="9996" max="10245" width="9.33203125" style="527"/>
    <col min="10246" max="10246" width="12.83203125" style="527" customWidth="1"/>
    <col min="10247" max="10247" width="82.83203125" style="527" customWidth="1"/>
    <col min="10248" max="10248" width="13" style="527" customWidth="1"/>
    <col min="10249" max="10249" width="10.1640625" style="527" customWidth="1"/>
    <col min="10250" max="10250" width="11.83203125" style="527" customWidth="1"/>
    <col min="10251" max="10251" width="15.6640625" style="527" customWidth="1"/>
    <col min="10252" max="10501" width="9.33203125" style="527"/>
    <col min="10502" max="10502" width="12.83203125" style="527" customWidth="1"/>
    <col min="10503" max="10503" width="82.83203125" style="527" customWidth="1"/>
    <col min="10504" max="10504" width="13" style="527" customWidth="1"/>
    <col min="10505" max="10505" width="10.1640625" style="527" customWidth="1"/>
    <col min="10506" max="10506" width="11.83203125" style="527" customWidth="1"/>
    <col min="10507" max="10507" width="15.6640625" style="527" customWidth="1"/>
    <col min="10508" max="10757" width="9.33203125" style="527"/>
    <col min="10758" max="10758" width="12.83203125" style="527" customWidth="1"/>
    <col min="10759" max="10759" width="82.83203125" style="527" customWidth="1"/>
    <col min="10760" max="10760" width="13" style="527" customWidth="1"/>
    <col min="10761" max="10761" width="10.1640625" style="527" customWidth="1"/>
    <col min="10762" max="10762" width="11.83203125" style="527" customWidth="1"/>
    <col min="10763" max="10763" width="15.6640625" style="527" customWidth="1"/>
    <col min="10764" max="11013" width="9.33203125" style="527"/>
    <col min="11014" max="11014" width="12.83203125" style="527" customWidth="1"/>
    <col min="11015" max="11015" width="82.83203125" style="527" customWidth="1"/>
    <col min="11016" max="11016" width="13" style="527" customWidth="1"/>
    <col min="11017" max="11017" width="10.1640625" style="527" customWidth="1"/>
    <col min="11018" max="11018" width="11.83203125" style="527" customWidth="1"/>
    <col min="11019" max="11019" width="15.6640625" style="527" customWidth="1"/>
    <col min="11020" max="11269" width="9.33203125" style="527"/>
    <col min="11270" max="11270" width="12.83203125" style="527" customWidth="1"/>
    <col min="11271" max="11271" width="82.83203125" style="527" customWidth="1"/>
    <col min="11272" max="11272" width="13" style="527" customWidth="1"/>
    <col min="11273" max="11273" width="10.1640625" style="527" customWidth="1"/>
    <col min="11274" max="11274" width="11.83203125" style="527" customWidth="1"/>
    <col min="11275" max="11275" width="15.6640625" style="527" customWidth="1"/>
    <col min="11276" max="11525" width="9.33203125" style="527"/>
    <col min="11526" max="11526" width="12.83203125" style="527" customWidth="1"/>
    <col min="11527" max="11527" width="82.83203125" style="527" customWidth="1"/>
    <col min="11528" max="11528" width="13" style="527" customWidth="1"/>
    <col min="11529" max="11529" width="10.1640625" style="527" customWidth="1"/>
    <col min="11530" max="11530" width="11.83203125" style="527" customWidth="1"/>
    <col min="11531" max="11531" width="15.6640625" style="527" customWidth="1"/>
    <col min="11532" max="11781" width="9.33203125" style="527"/>
    <col min="11782" max="11782" width="12.83203125" style="527" customWidth="1"/>
    <col min="11783" max="11783" width="82.83203125" style="527" customWidth="1"/>
    <col min="11784" max="11784" width="13" style="527" customWidth="1"/>
    <col min="11785" max="11785" width="10.1640625" style="527" customWidth="1"/>
    <col min="11786" max="11786" width="11.83203125" style="527" customWidth="1"/>
    <col min="11787" max="11787" width="15.6640625" style="527" customWidth="1"/>
    <col min="11788" max="12037" width="9.33203125" style="527"/>
    <col min="12038" max="12038" width="12.83203125" style="527" customWidth="1"/>
    <col min="12039" max="12039" width="82.83203125" style="527" customWidth="1"/>
    <col min="12040" max="12040" width="13" style="527" customWidth="1"/>
    <col min="12041" max="12041" width="10.1640625" style="527" customWidth="1"/>
    <col min="12042" max="12042" width="11.83203125" style="527" customWidth="1"/>
    <col min="12043" max="12043" width="15.6640625" style="527" customWidth="1"/>
    <col min="12044" max="12293" width="9.33203125" style="527"/>
    <col min="12294" max="12294" width="12.83203125" style="527" customWidth="1"/>
    <col min="12295" max="12295" width="82.83203125" style="527" customWidth="1"/>
    <col min="12296" max="12296" width="13" style="527" customWidth="1"/>
    <col min="12297" max="12297" width="10.1640625" style="527" customWidth="1"/>
    <col min="12298" max="12298" width="11.83203125" style="527" customWidth="1"/>
    <col min="12299" max="12299" width="15.6640625" style="527" customWidth="1"/>
    <col min="12300" max="12549" width="9.33203125" style="527"/>
    <col min="12550" max="12550" width="12.83203125" style="527" customWidth="1"/>
    <col min="12551" max="12551" width="82.83203125" style="527" customWidth="1"/>
    <col min="12552" max="12552" width="13" style="527" customWidth="1"/>
    <col min="12553" max="12553" width="10.1640625" style="527" customWidth="1"/>
    <col min="12554" max="12554" width="11.83203125" style="527" customWidth="1"/>
    <col min="12555" max="12555" width="15.6640625" style="527" customWidth="1"/>
    <col min="12556" max="12805" width="9.33203125" style="527"/>
    <col min="12806" max="12806" width="12.83203125" style="527" customWidth="1"/>
    <col min="12807" max="12807" width="82.83203125" style="527" customWidth="1"/>
    <col min="12808" max="12808" width="13" style="527" customWidth="1"/>
    <col min="12809" max="12809" width="10.1640625" style="527" customWidth="1"/>
    <col min="12810" max="12810" width="11.83203125" style="527" customWidth="1"/>
    <col min="12811" max="12811" width="15.6640625" style="527" customWidth="1"/>
    <col min="12812" max="13061" width="9.33203125" style="527"/>
    <col min="13062" max="13062" width="12.83203125" style="527" customWidth="1"/>
    <col min="13063" max="13063" width="82.83203125" style="527" customWidth="1"/>
    <col min="13064" max="13064" width="13" style="527" customWidth="1"/>
    <col min="13065" max="13065" width="10.1640625" style="527" customWidth="1"/>
    <col min="13066" max="13066" width="11.83203125" style="527" customWidth="1"/>
    <col min="13067" max="13067" width="15.6640625" style="527" customWidth="1"/>
    <col min="13068" max="13317" width="9.33203125" style="527"/>
    <col min="13318" max="13318" width="12.83203125" style="527" customWidth="1"/>
    <col min="13319" max="13319" width="82.83203125" style="527" customWidth="1"/>
    <col min="13320" max="13320" width="13" style="527" customWidth="1"/>
    <col min="13321" max="13321" width="10.1640625" style="527" customWidth="1"/>
    <col min="13322" max="13322" width="11.83203125" style="527" customWidth="1"/>
    <col min="13323" max="13323" width="15.6640625" style="527" customWidth="1"/>
    <col min="13324" max="13573" width="9.33203125" style="527"/>
    <col min="13574" max="13574" width="12.83203125" style="527" customWidth="1"/>
    <col min="13575" max="13575" width="82.83203125" style="527" customWidth="1"/>
    <col min="13576" max="13576" width="13" style="527" customWidth="1"/>
    <col min="13577" max="13577" width="10.1640625" style="527" customWidth="1"/>
    <col min="13578" max="13578" width="11.83203125" style="527" customWidth="1"/>
    <col min="13579" max="13579" width="15.6640625" style="527" customWidth="1"/>
    <col min="13580" max="13829" width="9.33203125" style="527"/>
    <col min="13830" max="13830" width="12.83203125" style="527" customWidth="1"/>
    <col min="13831" max="13831" width="82.83203125" style="527" customWidth="1"/>
    <col min="13832" max="13832" width="13" style="527" customWidth="1"/>
    <col min="13833" max="13833" width="10.1640625" style="527" customWidth="1"/>
    <col min="13834" max="13834" width="11.83203125" style="527" customWidth="1"/>
    <col min="13835" max="13835" width="15.6640625" style="527" customWidth="1"/>
    <col min="13836" max="14085" width="9.33203125" style="527"/>
    <col min="14086" max="14086" width="12.83203125" style="527" customWidth="1"/>
    <col min="14087" max="14087" width="82.83203125" style="527" customWidth="1"/>
    <col min="14088" max="14088" width="13" style="527" customWidth="1"/>
    <col min="14089" max="14089" width="10.1640625" style="527" customWidth="1"/>
    <col min="14090" max="14090" width="11.83203125" style="527" customWidth="1"/>
    <col min="14091" max="14091" width="15.6640625" style="527" customWidth="1"/>
    <col min="14092" max="14341" width="9.33203125" style="527"/>
    <col min="14342" max="14342" width="12.83203125" style="527" customWidth="1"/>
    <col min="14343" max="14343" width="82.83203125" style="527" customWidth="1"/>
    <col min="14344" max="14344" width="13" style="527" customWidth="1"/>
    <col min="14345" max="14345" width="10.1640625" style="527" customWidth="1"/>
    <col min="14346" max="14346" width="11.83203125" style="527" customWidth="1"/>
    <col min="14347" max="14347" width="15.6640625" style="527" customWidth="1"/>
    <col min="14348" max="14597" width="9.33203125" style="527"/>
    <col min="14598" max="14598" width="12.83203125" style="527" customWidth="1"/>
    <col min="14599" max="14599" width="82.83203125" style="527" customWidth="1"/>
    <col min="14600" max="14600" width="13" style="527" customWidth="1"/>
    <col min="14601" max="14601" width="10.1640625" style="527" customWidth="1"/>
    <col min="14602" max="14602" width="11.83203125" style="527" customWidth="1"/>
    <col min="14603" max="14603" width="15.6640625" style="527" customWidth="1"/>
    <col min="14604" max="14853" width="9.33203125" style="527"/>
    <col min="14854" max="14854" width="12.83203125" style="527" customWidth="1"/>
    <col min="14855" max="14855" width="82.83203125" style="527" customWidth="1"/>
    <col min="14856" max="14856" width="13" style="527" customWidth="1"/>
    <col min="14857" max="14857" width="10.1640625" style="527" customWidth="1"/>
    <col min="14858" max="14858" width="11.83203125" style="527" customWidth="1"/>
    <col min="14859" max="14859" width="15.6640625" style="527" customWidth="1"/>
    <col min="14860" max="15109" width="9.33203125" style="527"/>
    <col min="15110" max="15110" width="12.83203125" style="527" customWidth="1"/>
    <col min="15111" max="15111" width="82.83203125" style="527" customWidth="1"/>
    <col min="15112" max="15112" width="13" style="527" customWidth="1"/>
    <col min="15113" max="15113" width="10.1640625" style="527" customWidth="1"/>
    <col min="15114" max="15114" width="11.83203125" style="527" customWidth="1"/>
    <col min="15115" max="15115" width="15.6640625" style="527" customWidth="1"/>
    <col min="15116" max="15365" width="9.33203125" style="527"/>
    <col min="15366" max="15366" width="12.83203125" style="527" customWidth="1"/>
    <col min="15367" max="15367" width="82.83203125" style="527" customWidth="1"/>
    <col min="15368" max="15368" width="13" style="527" customWidth="1"/>
    <col min="15369" max="15369" width="10.1640625" style="527" customWidth="1"/>
    <col min="15370" max="15370" width="11.83203125" style="527" customWidth="1"/>
    <col min="15371" max="15371" width="15.6640625" style="527" customWidth="1"/>
    <col min="15372" max="15621" width="9.33203125" style="527"/>
    <col min="15622" max="15622" width="12.83203125" style="527" customWidth="1"/>
    <col min="15623" max="15623" width="82.83203125" style="527" customWidth="1"/>
    <col min="15624" max="15624" width="13" style="527" customWidth="1"/>
    <col min="15625" max="15625" width="10.1640625" style="527" customWidth="1"/>
    <col min="15626" max="15626" width="11.83203125" style="527" customWidth="1"/>
    <col min="15627" max="15627" width="15.6640625" style="527" customWidth="1"/>
    <col min="15628" max="15877" width="9.33203125" style="527"/>
    <col min="15878" max="15878" width="12.83203125" style="527" customWidth="1"/>
    <col min="15879" max="15879" width="82.83203125" style="527" customWidth="1"/>
    <col min="15880" max="15880" width="13" style="527" customWidth="1"/>
    <col min="15881" max="15881" width="10.1640625" style="527" customWidth="1"/>
    <col min="15882" max="15882" width="11.83203125" style="527" customWidth="1"/>
    <col min="15883" max="15883" width="15.6640625" style="527" customWidth="1"/>
    <col min="15884" max="16133" width="9.33203125" style="527"/>
    <col min="16134" max="16134" width="12.83203125" style="527" customWidth="1"/>
    <col min="16135" max="16135" width="82.83203125" style="527" customWidth="1"/>
    <col min="16136" max="16136" width="13" style="527" customWidth="1"/>
    <col min="16137" max="16137" width="10.1640625" style="527" customWidth="1"/>
    <col min="16138" max="16138" width="11.83203125" style="527" customWidth="1"/>
    <col min="16139" max="16139" width="15.6640625" style="527" customWidth="1"/>
    <col min="16140" max="16384" width="9.33203125" style="527"/>
  </cols>
  <sheetData>
    <row r="1" spans="1:16" ht="15">
      <c r="A1" s="525" t="s">
        <v>3</v>
      </c>
      <c r="B1" s="472" t="str">
        <f>Rekapitulace!K4</f>
        <v>Stavební úpravy, vestavba a přístavba stávajícího objektu</v>
      </c>
      <c r="C1" s="472"/>
      <c r="D1" s="472"/>
      <c r="E1" s="472"/>
      <c r="F1" s="472"/>
      <c r="G1" s="472"/>
      <c r="H1" s="472"/>
      <c r="I1" s="147"/>
      <c r="K1" s="147"/>
      <c r="L1" s="147"/>
      <c r="M1" s="147"/>
      <c r="N1" s="147"/>
      <c r="O1" s="147"/>
      <c r="P1" s="147"/>
    </row>
    <row r="2" spans="1:16">
      <c r="D2" s="3"/>
      <c r="E2" s="3"/>
      <c r="F2" s="3"/>
      <c r="G2" s="2"/>
      <c r="H2" s="147"/>
      <c r="I2" s="147"/>
      <c r="K2" s="147"/>
      <c r="L2" s="147"/>
      <c r="M2" s="147"/>
      <c r="N2" s="147"/>
      <c r="O2" s="147"/>
      <c r="P2" s="147"/>
    </row>
    <row r="3" spans="1:16" s="473" customFormat="1" ht="12">
      <c r="A3" s="489" t="s">
        <v>124</v>
      </c>
      <c r="B3" s="489"/>
      <c r="C3" s="489"/>
      <c r="D3" s="489"/>
      <c r="E3" s="489"/>
      <c r="F3" s="489"/>
      <c r="G3" s="489"/>
      <c r="H3" s="489"/>
      <c r="I3" s="149"/>
      <c r="J3" s="530"/>
      <c r="K3" s="149"/>
      <c r="L3" s="149"/>
      <c r="M3" s="149"/>
      <c r="N3" s="149"/>
      <c r="O3" s="149"/>
      <c r="P3" s="149"/>
    </row>
    <row r="4" spans="1:16" s="473" customFormat="1" ht="12">
      <c r="I4" s="149"/>
      <c r="J4" s="530"/>
      <c r="K4" s="149"/>
      <c r="L4" s="149"/>
      <c r="M4" s="149"/>
      <c r="N4" s="149"/>
      <c r="O4" s="149"/>
      <c r="P4" s="149"/>
    </row>
    <row r="5" spans="1:16" s="472" customFormat="1" ht="15">
      <c r="A5" s="472" t="s">
        <v>1322</v>
      </c>
      <c r="I5" s="150"/>
      <c r="J5" s="531"/>
      <c r="K5" s="150"/>
      <c r="L5" s="150"/>
      <c r="M5" s="150"/>
      <c r="N5" s="150"/>
      <c r="O5" s="150"/>
      <c r="P5" s="150"/>
    </row>
    <row r="6" spans="1:16" s="472" customFormat="1" ht="15.75" thickBot="1">
      <c r="A6" s="532"/>
      <c r="B6" s="533"/>
      <c r="C6" s="533"/>
      <c r="D6" s="4"/>
      <c r="E6" s="4"/>
      <c r="F6" s="4"/>
      <c r="G6" s="5"/>
      <c r="H6" s="190"/>
      <c r="I6" s="150"/>
      <c r="J6" s="531"/>
      <c r="K6" s="150"/>
      <c r="L6" s="150"/>
      <c r="M6" s="150"/>
      <c r="N6" s="150"/>
      <c r="O6" s="150"/>
      <c r="P6" s="150"/>
    </row>
    <row r="7" spans="1:16" s="535" customFormat="1" ht="14.25" customHeight="1" thickBot="1">
      <c r="A7" s="534" t="s">
        <v>11</v>
      </c>
      <c r="B7" s="168">
        <f>Rekapitulace!K11</f>
        <v>0</v>
      </c>
      <c r="C7" s="168"/>
      <c r="D7" s="168"/>
      <c r="E7" s="168"/>
      <c r="F7" s="168"/>
      <c r="G7" s="168"/>
      <c r="H7" s="168"/>
      <c r="I7" s="168"/>
      <c r="J7" s="168"/>
      <c r="K7" s="168"/>
      <c r="L7" s="168"/>
      <c r="M7" s="169"/>
      <c r="N7" s="168"/>
      <c r="O7" s="168"/>
      <c r="P7" s="169"/>
    </row>
    <row r="8" spans="1:16" ht="13.5" thickBot="1"/>
    <row r="9" spans="1:16" ht="13.5" customHeight="1">
      <c r="A9" s="536"/>
      <c r="B9" s="537"/>
      <c r="C9" s="538"/>
      <c r="D9" s="14"/>
      <c r="E9" s="14"/>
      <c r="F9" s="14"/>
      <c r="G9" s="15"/>
      <c r="H9" s="191"/>
      <c r="I9" s="191"/>
      <c r="J9" s="191"/>
      <c r="K9" s="191"/>
      <c r="L9" s="191"/>
      <c r="M9" s="191"/>
      <c r="N9" s="191"/>
      <c r="O9" s="191"/>
      <c r="P9" s="191"/>
    </row>
    <row r="10" spans="1:16" s="542" customFormat="1" ht="39" thickBot="1">
      <c r="A10" s="539" t="s">
        <v>1323</v>
      </c>
      <c r="B10" s="539" t="s">
        <v>34</v>
      </c>
      <c r="C10" s="540" t="s">
        <v>1324</v>
      </c>
      <c r="D10" s="540" t="s">
        <v>2480</v>
      </c>
      <c r="E10" s="540" t="s">
        <v>2489</v>
      </c>
      <c r="F10" s="540" t="s">
        <v>2481</v>
      </c>
      <c r="G10" s="540" t="s">
        <v>1325</v>
      </c>
      <c r="H10" s="840" t="s">
        <v>1326</v>
      </c>
      <c r="I10" s="841"/>
      <c r="J10" s="842"/>
      <c r="K10" s="541"/>
      <c r="L10" s="541"/>
      <c r="M10" s="541"/>
      <c r="N10" s="837" t="s">
        <v>1327</v>
      </c>
      <c r="O10" s="838"/>
      <c r="P10" s="839"/>
    </row>
    <row r="11" spans="1:16" s="546" customFormat="1" ht="39.950000000000003" customHeight="1" thickTop="1" thickBot="1">
      <c r="A11" s="543"/>
      <c r="B11" s="543"/>
      <c r="C11" s="543"/>
      <c r="D11" s="544"/>
      <c r="E11" s="544"/>
      <c r="F11" s="544"/>
      <c r="G11" s="544"/>
      <c r="H11" s="179" t="s">
        <v>1328</v>
      </c>
      <c r="I11" s="179" t="s">
        <v>1329</v>
      </c>
      <c r="J11" s="545" t="s">
        <v>1330</v>
      </c>
      <c r="K11" s="179" t="s">
        <v>2490</v>
      </c>
      <c r="L11" s="179" t="s">
        <v>2491</v>
      </c>
      <c r="M11" s="179" t="s">
        <v>1331</v>
      </c>
      <c r="N11" s="179" t="s">
        <v>2482</v>
      </c>
      <c r="O11" s="179" t="s">
        <v>2483</v>
      </c>
      <c r="P11" s="179" t="s">
        <v>1331</v>
      </c>
    </row>
    <row r="12" spans="1:16" s="542" customFormat="1" ht="15" customHeight="1" thickTop="1">
      <c r="A12" s="547" t="s">
        <v>1332</v>
      </c>
      <c r="B12" s="548"/>
      <c r="C12" s="549"/>
      <c r="D12" s="548"/>
      <c r="E12" s="548"/>
      <c r="F12" s="548"/>
      <c r="G12" s="548"/>
      <c r="H12" s="151"/>
      <c r="I12" s="151"/>
      <c r="J12" s="548"/>
      <c r="K12" s="151"/>
      <c r="L12" s="151"/>
      <c r="M12" s="152"/>
      <c r="N12" s="151"/>
      <c r="O12" s="151"/>
      <c r="P12" s="152"/>
    </row>
    <row r="13" spans="1:16" s="556" customFormat="1" ht="30">
      <c r="A13" s="550" t="s">
        <v>1333</v>
      </c>
      <c r="B13" s="550"/>
      <c r="C13" s="551" t="s">
        <v>1334</v>
      </c>
      <c r="D13" s="552">
        <v>1</v>
      </c>
      <c r="E13" s="552">
        <v>1</v>
      </c>
      <c r="F13" s="553">
        <f>D13-E13</f>
        <v>0</v>
      </c>
      <c r="G13" s="554" t="s">
        <v>143</v>
      </c>
      <c r="H13" s="171"/>
      <c r="I13" s="171"/>
      <c r="J13" s="555"/>
      <c r="K13" s="153">
        <f>PRODUCT($E13*H13)</f>
        <v>0</v>
      </c>
      <c r="L13" s="153">
        <f>PRODUCT($E13*I13)</f>
        <v>0</v>
      </c>
      <c r="M13" s="153"/>
      <c r="N13" s="153">
        <f>PRODUCT($F13*H13)</f>
        <v>0</v>
      </c>
      <c r="O13" s="153">
        <f>PRODUCT($F13*I13)</f>
        <v>0</v>
      </c>
      <c r="P13" s="153"/>
    </row>
    <row r="14" spans="1:16" s="556" customFormat="1" ht="30">
      <c r="A14" s="550"/>
      <c r="B14" s="550"/>
      <c r="C14" s="551" t="s">
        <v>1335</v>
      </c>
      <c r="D14" s="552"/>
      <c r="E14" s="552"/>
      <c r="F14" s="553">
        <f t="shared" ref="F14:F77" si="0">D14-E14</f>
        <v>0</v>
      </c>
      <c r="G14" s="554"/>
      <c r="H14" s="172"/>
      <c r="I14" s="172"/>
      <c r="J14" s="555"/>
      <c r="K14" s="153"/>
      <c r="L14" s="153"/>
      <c r="M14" s="153"/>
      <c r="N14" s="153"/>
      <c r="O14" s="153"/>
      <c r="P14" s="153"/>
    </row>
    <row r="15" spans="1:16" s="556" customFormat="1" ht="30">
      <c r="A15" s="550"/>
      <c r="B15" s="550"/>
      <c r="C15" s="551" t="s">
        <v>1336</v>
      </c>
      <c r="D15" s="552"/>
      <c r="E15" s="552"/>
      <c r="F15" s="553">
        <f t="shared" si="0"/>
        <v>0</v>
      </c>
      <c r="G15" s="554"/>
      <c r="H15" s="172"/>
      <c r="I15" s="172"/>
      <c r="J15" s="555"/>
      <c r="K15" s="153"/>
      <c r="L15" s="153"/>
      <c r="M15" s="153"/>
      <c r="N15" s="153"/>
      <c r="O15" s="153"/>
      <c r="P15" s="153"/>
    </row>
    <row r="16" spans="1:16" s="556" customFormat="1" ht="27">
      <c r="A16" s="550"/>
      <c r="B16" s="550"/>
      <c r="C16" s="558" t="s">
        <v>1337</v>
      </c>
      <c r="D16" s="552"/>
      <c r="E16" s="552"/>
      <c r="F16" s="553">
        <f t="shared" si="0"/>
        <v>0</v>
      </c>
      <c r="G16" s="554"/>
      <c r="H16" s="172"/>
      <c r="I16" s="172"/>
      <c r="J16" s="555"/>
      <c r="K16" s="153"/>
      <c r="L16" s="153"/>
      <c r="M16" s="153"/>
      <c r="N16" s="153"/>
      <c r="O16" s="153"/>
      <c r="P16" s="153"/>
    </row>
    <row r="17" spans="1:16" s="556" customFormat="1" ht="27">
      <c r="A17" s="550"/>
      <c r="B17" s="550"/>
      <c r="C17" s="558" t="s">
        <v>1338</v>
      </c>
      <c r="D17" s="552"/>
      <c r="E17" s="552"/>
      <c r="F17" s="553">
        <f t="shared" si="0"/>
        <v>0</v>
      </c>
      <c r="G17" s="554"/>
      <c r="H17" s="172"/>
      <c r="I17" s="172"/>
      <c r="J17" s="555"/>
      <c r="K17" s="153"/>
      <c r="L17" s="153"/>
      <c r="M17" s="153"/>
      <c r="N17" s="153"/>
      <c r="O17" s="153"/>
      <c r="P17" s="153"/>
    </row>
    <row r="18" spans="1:16" s="556" customFormat="1" ht="15">
      <c r="A18" s="550"/>
      <c r="B18" s="550"/>
      <c r="C18" s="558" t="s">
        <v>1339</v>
      </c>
      <c r="D18" s="552"/>
      <c r="E18" s="552"/>
      <c r="F18" s="553">
        <f t="shared" si="0"/>
        <v>0</v>
      </c>
      <c r="G18" s="554"/>
      <c r="H18" s="172"/>
      <c r="I18" s="172"/>
      <c r="J18" s="555"/>
      <c r="K18" s="153"/>
      <c r="L18" s="153"/>
      <c r="M18" s="153"/>
      <c r="N18" s="153"/>
      <c r="O18" s="153"/>
      <c r="P18" s="153"/>
    </row>
    <row r="19" spans="1:16" s="556" customFormat="1" ht="30">
      <c r="A19" s="550"/>
      <c r="B19" s="550"/>
      <c r="C19" s="559" t="s">
        <v>1340</v>
      </c>
      <c r="D19" s="552"/>
      <c r="E19" s="552"/>
      <c r="F19" s="553">
        <f t="shared" si="0"/>
        <v>0</v>
      </c>
      <c r="G19" s="554"/>
      <c r="H19" s="172"/>
      <c r="I19" s="172"/>
      <c r="J19" s="555"/>
      <c r="K19" s="153"/>
      <c r="L19" s="153"/>
      <c r="M19" s="153"/>
      <c r="N19" s="153"/>
      <c r="O19" s="153"/>
      <c r="P19" s="153"/>
    </row>
    <row r="20" spans="1:16" s="556" customFormat="1" ht="15">
      <c r="A20" s="550"/>
      <c r="B20" s="550"/>
      <c r="C20" s="559" t="s">
        <v>1341</v>
      </c>
      <c r="D20" s="552"/>
      <c r="E20" s="552"/>
      <c r="F20" s="553">
        <f t="shared" si="0"/>
        <v>0</v>
      </c>
      <c r="G20" s="554"/>
      <c r="H20" s="172"/>
      <c r="I20" s="172"/>
      <c r="J20" s="555"/>
      <c r="K20" s="153"/>
      <c r="L20" s="153"/>
      <c r="M20" s="153"/>
      <c r="N20" s="153"/>
      <c r="O20" s="153"/>
      <c r="P20" s="153"/>
    </row>
    <row r="21" spans="1:16" s="556" customFormat="1" ht="15">
      <c r="A21" s="550"/>
      <c r="B21" s="550"/>
      <c r="C21" s="559" t="s">
        <v>1342</v>
      </c>
      <c r="D21" s="552"/>
      <c r="E21" s="552"/>
      <c r="F21" s="553">
        <f t="shared" si="0"/>
        <v>0</v>
      </c>
      <c r="G21" s="554"/>
      <c r="H21" s="172"/>
      <c r="I21" s="172"/>
      <c r="J21" s="555"/>
      <c r="K21" s="153"/>
      <c r="L21" s="153"/>
      <c r="M21" s="153"/>
      <c r="N21" s="153"/>
      <c r="O21" s="153"/>
      <c r="P21" s="153"/>
    </row>
    <row r="22" spans="1:16" s="556" customFormat="1" ht="30">
      <c r="A22" s="550"/>
      <c r="B22" s="550"/>
      <c r="C22" s="559" t="s">
        <v>1343</v>
      </c>
      <c r="D22" s="552"/>
      <c r="E22" s="552"/>
      <c r="F22" s="553">
        <f t="shared" si="0"/>
        <v>0</v>
      </c>
      <c r="G22" s="554"/>
      <c r="H22" s="172"/>
      <c r="I22" s="172"/>
      <c r="J22" s="555"/>
      <c r="K22" s="153"/>
      <c r="L22" s="153"/>
      <c r="M22" s="153"/>
      <c r="N22" s="153"/>
      <c r="O22" s="153"/>
      <c r="P22" s="153"/>
    </row>
    <row r="23" spans="1:16" s="556" customFormat="1" ht="15">
      <c r="A23" s="550"/>
      <c r="B23" s="550"/>
      <c r="C23" s="559" t="s">
        <v>1344</v>
      </c>
      <c r="D23" s="552"/>
      <c r="E23" s="552"/>
      <c r="F23" s="553">
        <f t="shared" si="0"/>
        <v>0</v>
      </c>
      <c r="G23" s="554"/>
      <c r="H23" s="172"/>
      <c r="I23" s="172"/>
      <c r="J23" s="555"/>
      <c r="K23" s="153"/>
      <c r="L23" s="153"/>
      <c r="M23" s="153"/>
      <c r="N23" s="153"/>
      <c r="O23" s="153"/>
      <c r="P23" s="153"/>
    </row>
    <row r="24" spans="1:16" s="556" customFormat="1" ht="15">
      <c r="A24" s="550"/>
      <c r="B24" s="550"/>
      <c r="C24" s="558" t="s">
        <v>1345</v>
      </c>
      <c r="D24" s="552"/>
      <c r="E24" s="552"/>
      <c r="F24" s="553">
        <f t="shared" si="0"/>
        <v>0</v>
      </c>
      <c r="G24" s="554"/>
      <c r="H24" s="172"/>
      <c r="I24" s="172"/>
      <c r="J24" s="555"/>
      <c r="K24" s="153"/>
      <c r="L24" s="153"/>
      <c r="M24" s="153"/>
      <c r="N24" s="153"/>
      <c r="O24" s="153"/>
      <c r="P24" s="153"/>
    </row>
    <row r="25" spans="1:16" s="556" customFormat="1" ht="30">
      <c r="A25" s="550"/>
      <c r="B25" s="550"/>
      <c r="C25" s="559" t="s">
        <v>1346</v>
      </c>
      <c r="D25" s="552"/>
      <c r="E25" s="552"/>
      <c r="F25" s="553">
        <f t="shared" si="0"/>
        <v>0</v>
      </c>
      <c r="G25" s="554"/>
      <c r="H25" s="172"/>
      <c r="I25" s="172"/>
      <c r="J25" s="555"/>
      <c r="K25" s="153"/>
      <c r="L25" s="153"/>
      <c r="M25" s="153"/>
      <c r="N25" s="153"/>
      <c r="O25" s="153"/>
      <c r="P25" s="153"/>
    </row>
    <row r="26" spans="1:16" s="556" customFormat="1" ht="15">
      <c r="A26" s="550"/>
      <c r="B26" s="550"/>
      <c r="C26" s="559" t="s">
        <v>1347</v>
      </c>
      <c r="D26" s="552"/>
      <c r="E26" s="552"/>
      <c r="F26" s="553">
        <f t="shared" si="0"/>
        <v>0</v>
      </c>
      <c r="G26" s="554"/>
      <c r="H26" s="172"/>
      <c r="I26" s="172"/>
      <c r="J26" s="555"/>
      <c r="K26" s="153"/>
      <c r="L26" s="153"/>
      <c r="M26" s="153"/>
      <c r="N26" s="153"/>
      <c r="O26" s="153"/>
      <c r="P26" s="153"/>
    </row>
    <row r="27" spans="1:16" s="556" customFormat="1" ht="30">
      <c r="A27" s="550"/>
      <c r="B27" s="550"/>
      <c r="C27" s="559" t="s">
        <v>1348</v>
      </c>
      <c r="D27" s="552"/>
      <c r="E27" s="552"/>
      <c r="F27" s="553">
        <f t="shared" si="0"/>
        <v>0</v>
      </c>
      <c r="G27" s="554"/>
      <c r="H27" s="172"/>
      <c r="I27" s="172"/>
      <c r="J27" s="555"/>
      <c r="K27" s="153"/>
      <c r="L27" s="153"/>
      <c r="M27" s="153"/>
      <c r="N27" s="153"/>
      <c r="O27" s="153"/>
      <c r="P27" s="153"/>
    </row>
    <row r="28" spans="1:16" s="556" customFormat="1" ht="15">
      <c r="A28" s="550"/>
      <c r="B28" s="550"/>
      <c r="C28" s="559" t="s">
        <v>1349</v>
      </c>
      <c r="D28" s="552">
        <v>1</v>
      </c>
      <c r="E28" s="552">
        <v>1</v>
      </c>
      <c r="F28" s="553">
        <f t="shared" si="0"/>
        <v>0</v>
      </c>
      <c r="G28" s="554" t="s">
        <v>143</v>
      </c>
      <c r="H28" s="171"/>
      <c r="I28" s="171"/>
      <c r="J28" s="555"/>
      <c r="K28" s="153">
        <f>PRODUCT($E28*H28)</f>
        <v>0</v>
      </c>
      <c r="L28" s="153">
        <f>PRODUCT($E28*I28)</f>
        <v>0</v>
      </c>
      <c r="M28" s="153"/>
      <c r="N28" s="153">
        <f>PRODUCT($F28*H28)</f>
        <v>0</v>
      </c>
      <c r="O28" s="153">
        <f>PRODUCT($F28*I28)</f>
        <v>0</v>
      </c>
      <c r="P28" s="153"/>
    </row>
    <row r="29" spans="1:16" s="556" customFormat="1" ht="15">
      <c r="A29" s="550"/>
      <c r="B29" s="550" t="s">
        <v>1350</v>
      </c>
      <c r="C29" s="559" t="s">
        <v>1351</v>
      </c>
      <c r="D29" s="552">
        <v>1</v>
      </c>
      <c r="E29" s="552">
        <v>1</v>
      </c>
      <c r="F29" s="553">
        <f t="shared" si="0"/>
        <v>0</v>
      </c>
      <c r="G29" s="554" t="s">
        <v>143</v>
      </c>
      <c r="H29" s="171"/>
      <c r="I29" s="171"/>
      <c r="J29" s="555"/>
      <c r="K29" s="153">
        <f>PRODUCT($E29*H29)</f>
        <v>0</v>
      </c>
      <c r="L29" s="153">
        <f>PRODUCT($E29*I29)</f>
        <v>0</v>
      </c>
      <c r="M29" s="153"/>
      <c r="N29" s="153">
        <f>PRODUCT($F29*H29)</f>
        <v>0</v>
      </c>
      <c r="O29" s="153">
        <f>PRODUCT($F29*I29)</f>
        <v>0</v>
      </c>
      <c r="P29" s="153"/>
    </row>
    <row r="30" spans="1:16" s="542" customFormat="1">
      <c r="A30" s="560"/>
      <c r="B30" s="560"/>
      <c r="C30" s="561" t="s">
        <v>1352</v>
      </c>
      <c r="D30" s="562"/>
      <c r="E30" s="562"/>
      <c r="F30" s="563">
        <f t="shared" si="0"/>
        <v>0</v>
      </c>
      <c r="G30" s="564"/>
      <c r="H30" s="173"/>
      <c r="I30" s="173"/>
      <c r="J30" s="566">
        <f>SUM(H13:I29)</f>
        <v>0</v>
      </c>
      <c r="K30" s="154"/>
      <c r="L30" s="154"/>
      <c r="M30" s="154">
        <f>SUM(K13:L29)</f>
        <v>0</v>
      </c>
      <c r="N30" s="154"/>
      <c r="O30" s="154"/>
      <c r="P30" s="154">
        <f>SUM(N13:O29)</f>
        <v>0</v>
      </c>
    </row>
    <row r="31" spans="1:16" s="556" customFormat="1" ht="15">
      <c r="A31" s="550"/>
      <c r="B31" s="550"/>
      <c r="C31" s="567"/>
      <c r="D31" s="552"/>
      <c r="E31" s="552"/>
      <c r="F31" s="553">
        <f t="shared" si="0"/>
        <v>0</v>
      </c>
      <c r="G31" s="554"/>
      <c r="H31" s="172"/>
      <c r="I31" s="172"/>
      <c r="J31" s="568"/>
      <c r="K31" s="153"/>
      <c r="L31" s="153"/>
      <c r="M31" s="153"/>
      <c r="N31" s="153"/>
      <c r="O31" s="153"/>
      <c r="P31" s="153"/>
    </row>
    <row r="32" spans="1:16" s="556" customFormat="1" ht="30">
      <c r="A32" s="550" t="s">
        <v>1353</v>
      </c>
      <c r="B32" s="550"/>
      <c r="C32" s="559" t="s">
        <v>1354</v>
      </c>
      <c r="D32" s="552">
        <v>2</v>
      </c>
      <c r="E32" s="552">
        <v>1</v>
      </c>
      <c r="F32" s="553">
        <f t="shared" si="0"/>
        <v>1</v>
      </c>
      <c r="G32" s="554" t="s">
        <v>143</v>
      </c>
      <c r="H32" s="171"/>
      <c r="I32" s="171"/>
      <c r="J32" s="555"/>
      <c r="K32" s="153">
        <f>PRODUCT($E32*H32)</f>
        <v>0</v>
      </c>
      <c r="L32" s="153">
        <f>PRODUCT($E32*I32)</f>
        <v>0</v>
      </c>
      <c r="M32" s="153"/>
      <c r="N32" s="153">
        <f>PRODUCT($F32*H32)</f>
        <v>0</v>
      </c>
      <c r="O32" s="153">
        <f>PRODUCT($F32*I32)</f>
        <v>0</v>
      </c>
      <c r="P32" s="153"/>
    </row>
    <row r="33" spans="1:16" s="556" customFormat="1" ht="27">
      <c r="A33" s="550"/>
      <c r="B33" s="550"/>
      <c r="C33" s="558" t="s">
        <v>1355</v>
      </c>
      <c r="D33" s="552"/>
      <c r="E33" s="552"/>
      <c r="F33" s="553">
        <f t="shared" si="0"/>
        <v>0</v>
      </c>
      <c r="G33" s="554"/>
      <c r="H33" s="172"/>
      <c r="I33" s="172"/>
      <c r="J33" s="555"/>
      <c r="K33" s="153"/>
      <c r="L33" s="153"/>
      <c r="M33" s="153"/>
      <c r="N33" s="153"/>
      <c r="O33" s="153"/>
      <c r="P33" s="153"/>
    </row>
    <row r="34" spans="1:16" s="556" customFormat="1" ht="27">
      <c r="A34" s="550"/>
      <c r="B34" s="550"/>
      <c r="C34" s="558" t="s">
        <v>1356</v>
      </c>
      <c r="D34" s="552"/>
      <c r="E34" s="552"/>
      <c r="F34" s="553">
        <f t="shared" si="0"/>
        <v>0</v>
      </c>
      <c r="G34" s="554"/>
      <c r="H34" s="172"/>
      <c r="I34" s="172"/>
      <c r="J34" s="555"/>
      <c r="K34" s="153"/>
      <c r="L34" s="153"/>
      <c r="M34" s="153"/>
      <c r="N34" s="153"/>
      <c r="O34" s="153"/>
      <c r="P34" s="153"/>
    </row>
    <row r="35" spans="1:16" s="556" customFormat="1" ht="15" customHeight="1">
      <c r="A35" s="550"/>
      <c r="B35" s="550"/>
      <c r="C35" s="559" t="s">
        <v>1357</v>
      </c>
      <c r="D35" s="552">
        <v>2</v>
      </c>
      <c r="E35" s="552">
        <v>1</v>
      </c>
      <c r="F35" s="553">
        <f t="shared" si="0"/>
        <v>1</v>
      </c>
      <c r="G35" s="554" t="s">
        <v>143</v>
      </c>
      <c r="H35" s="171"/>
      <c r="I35" s="171"/>
      <c r="J35" s="555"/>
      <c r="K35" s="153">
        <f>PRODUCT($E35*H35)</f>
        <v>0</v>
      </c>
      <c r="L35" s="153">
        <f>PRODUCT($E35*I35)</f>
        <v>0</v>
      </c>
      <c r="M35" s="153"/>
      <c r="N35" s="153">
        <f>PRODUCT($F35*H35)</f>
        <v>0</v>
      </c>
      <c r="O35" s="153">
        <f>PRODUCT($F35*I35)</f>
        <v>0</v>
      </c>
      <c r="P35" s="153"/>
    </row>
    <row r="36" spans="1:16" s="542" customFormat="1" ht="15" customHeight="1">
      <c r="A36" s="560"/>
      <c r="B36" s="560"/>
      <c r="C36" s="561" t="s">
        <v>1358</v>
      </c>
      <c r="D36" s="562"/>
      <c r="E36" s="562"/>
      <c r="F36" s="563">
        <f t="shared" si="0"/>
        <v>0</v>
      </c>
      <c r="G36" s="564"/>
      <c r="H36" s="173"/>
      <c r="I36" s="173"/>
      <c r="J36" s="566">
        <f>SUM(H32:I35)</f>
        <v>0</v>
      </c>
      <c r="K36" s="154"/>
      <c r="L36" s="154"/>
      <c r="M36" s="154">
        <f>SUM(K32:L35)</f>
        <v>0</v>
      </c>
      <c r="N36" s="154"/>
      <c r="O36" s="154"/>
      <c r="P36" s="154">
        <f>SUM(N32:O35)</f>
        <v>0</v>
      </c>
    </row>
    <row r="37" spans="1:16" s="556" customFormat="1" ht="15" customHeight="1">
      <c r="A37" s="550"/>
      <c r="B37" s="550"/>
      <c r="C37" s="567"/>
      <c r="D37" s="552"/>
      <c r="E37" s="552"/>
      <c r="F37" s="553">
        <f t="shared" si="0"/>
        <v>0</v>
      </c>
      <c r="G37" s="554"/>
      <c r="H37" s="172"/>
      <c r="I37" s="172"/>
      <c r="J37" s="568"/>
      <c r="K37" s="153"/>
      <c r="L37" s="153"/>
      <c r="M37" s="153"/>
      <c r="N37" s="153"/>
      <c r="O37" s="153"/>
      <c r="P37" s="153"/>
    </row>
    <row r="38" spans="1:16" s="556" customFormat="1" ht="15" customHeight="1">
      <c r="A38" s="550" t="s">
        <v>1359</v>
      </c>
      <c r="B38" s="550"/>
      <c r="C38" s="559" t="s">
        <v>1360</v>
      </c>
      <c r="D38" s="552">
        <v>1</v>
      </c>
      <c r="E38" s="552">
        <v>1</v>
      </c>
      <c r="F38" s="553">
        <f t="shared" si="0"/>
        <v>0</v>
      </c>
      <c r="G38" s="554" t="s">
        <v>143</v>
      </c>
      <c r="H38" s="171"/>
      <c r="I38" s="171"/>
      <c r="J38" s="555"/>
      <c r="K38" s="153">
        <f>PRODUCT($E38*H38)</f>
        <v>0</v>
      </c>
      <c r="L38" s="153">
        <f>PRODUCT($E38*I38)</f>
        <v>0</v>
      </c>
      <c r="M38" s="153"/>
      <c r="N38" s="153">
        <f>PRODUCT($F38*H38)</f>
        <v>0</v>
      </c>
      <c r="O38" s="153">
        <f>PRODUCT($F38*I38)</f>
        <v>0</v>
      </c>
      <c r="P38" s="153"/>
    </row>
    <row r="39" spans="1:16" s="556" customFormat="1" ht="15" customHeight="1">
      <c r="A39" s="550"/>
      <c r="B39" s="550"/>
      <c r="C39" s="558" t="s">
        <v>1361</v>
      </c>
      <c r="D39" s="552"/>
      <c r="E39" s="552"/>
      <c r="F39" s="553">
        <f t="shared" si="0"/>
        <v>0</v>
      </c>
      <c r="G39" s="554"/>
      <c r="H39" s="172"/>
      <c r="I39" s="172"/>
      <c r="J39" s="555"/>
      <c r="K39" s="153"/>
      <c r="L39" s="153"/>
      <c r="M39" s="153"/>
      <c r="N39" s="153"/>
      <c r="O39" s="153"/>
      <c r="P39" s="153"/>
    </row>
    <row r="40" spans="1:16" s="556" customFormat="1" ht="15" customHeight="1">
      <c r="A40" s="550"/>
      <c r="B40" s="550"/>
      <c r="C40" s="558" t="s">
        <v>1362</v>
      </c>
      <c r="D40" s="552"/>
      <c r="E40" s="552"/>
      <c r="F40" s="553">
        <f t="shared" si="0"/>
        <v>0</v>
      </c>
      <c r="G40" s="554"/>
      <c r="H40" s="172"/>
      <c r="I40" s="172"/>
      <c r="J40" s="555"/>
      <c r="K40" s="153"/>
      <c r="L40" s="153"/>
      <c r="M40" s="153"/>
      <c r="N40" s="153"/>
      <c r="O40" s="153"/>
      <c r="P40" s="153"/>
    </row>
    <row r="41" spans="1:16" s="556" customFormat="1" ht="15" customHeight="1">
      <c r="A41" s="550"/>
      <c r="B41" s="550"/>
      <c r="C41" s="559" t="s">
        <v>1363</v>
      </c>
      <c r="D41" s="552">
        <v>1</v>
      </c>
      <c r="E41" s="552">
        <v>1</v>
      </c>
      <c r="F41" s="553">
        <f t="shared" si="0"/>
        <v>0</v>
      </c>
      <c r="G41" s="554" t="s">
        <v>143</v>
      </c>
      <c r="H41" s="171"/>
      <c r="I41" s="171"/>
      <c r="J41" s="555"/>
      <c r="K41" s="153">
        <f>PRODUCT($E41*H41)</f>
        <v>0</v>
      </c>
      <c r="L41" s="153">
        <f>PRODUCT($E41*I41)</f>
        <v>0</v>
      </c>
      <c r="M41" s="153"/>
      <c r="N41" s="153">
        <f>PRODUCT($F41*H41)</f>
        <v>0</v>
      </c>
      <c r="O41" s="153">
        <f>PRODUCT($F41*I41)</f>
        <v>0</v>
      </c>
      <c r="P41" s="153"/>
    </row>
    <row r="42" spans="1:16" s="542" customFormat="1" ht="15" customHeight="1">
      <c r="A42" s="560"/>
      <c r="B42" s="560"/>
      <c r="C42" s="561" t="s">
        <v>1364</v>
      </c>
      <c r="D42" s="562"/>
      <c r="E42" s="562"/>
      <c r="F42" s="563">
        <f t="shared" si="0"/>
        <v>0</v>
      </c>
      <c r="G42" s="564"/>
      <c r="H42" s="173"/>
      <c r="I42" s="173"/>
      <c r="J42" s="566">
        <f>SUM(H38:I41)</f>
        <v>0</v>
      </c>
      <c r="K42" s="154"/>
      <c r="L42" s="154"/>
      <c r="M42" s="154">
        <f>SUM(K38:L41)</f>
        <v>0</v>
      </c>
      <c r="N42" s="154"/>
      <c r="O42" s="154"/>
      <c r="P42" s="154">
        <f>SUM(N38:O41)</f>
        <v>0</v>
      </c>
    </row>
    <row r="43" spans="1:16" s="556" customFormat="1" ht="15" customHeight="1">
      <c r="A43" s="550"/>
      <c r="B43" s="550"/>
      <c r="C43" s="567"/>
      <c r="D43" s="552"/>
      <c r="E43" s="552"/>
      <c r="F43" s="553">
        <f t="shared" si="0"/>
        <v>0</v>
      </c>
      <c r="G43" s="554"/>
      <c r="H43" s="172"/>
      <c r="I43" s="172"/>
      <c r="J43" s="568"/>
      <c r="K43" s="153"/>
      <c r="L43" s="153"/>
      <c r="M43" s="153"/>
      <c r="N43" s="153"/>
      <c r="O43" s="153"/>
      <c r="P43" s="153"/>
    </row>
    <row r="44" spans="1:16" s="556" customFormat="1" ht="15" customHeight="1">
      <c r="A44" s="550" t="s">
        <v>1365</v>
      </c>
      <c r="B44" s="550"/>
      <c r="C44" s="559" t="s">
        <v>1366</v>
      </c>
      <c r="D44" s="552">
        <v>1</v>
      </c>
      <c r="E44" s="552">
        <v>1</v>
      </c>
      <c r="F44" s="553">
        <f t="shared" si="0"/>
        <v>0</v>
      </c>
      <c r="G44" s="554" t="s">
        <v>143</v>
      </c>
      <c r="H44" s="171"/>
      <c r="I44" s="171"/>
      <c r="J44" s="555"/>
      <c r="K44" s="153">
        <f>PRODUCT($E44*H44)</f>
        <v>0</v>
      </c>
      <c r="L44" s="153">
        <f>PRODUCT($E44*I44)</f>
        <v>0</v>
      </c>
      <c r="M44" s="153"/>
      <c r="N44" s="153">
        <f>PRODUCT($F44*H44)</f>
        <v>0</v>
      </c>
      <c r="O44" s="153">
        <f>PRODUCT($F44*I44)</f>
        <v>0</v>
      </c>
      <c r="P44" s="153"/>
    </row>
    <row r="45" spans="1:16" s="556" customFormat="1" ht="15" customHeight="1">
      <c r="A45" s="550"/>
      <c r="B45" s="550"/>
      <c r="C45" s="559" t="s">
        <v>1367</v>
      </c>
      <c r="D45" s="552">
        <v>1</v>
      </c>
      <c r="E45" s="552">
        <v>1</v>
      </c>
      <c r="F45" s="553">
        <f t="shared" si="0"/>
        <v>0</v>
      </c>
      <c r="G45" s="554" t="s">
        <v>143</v>
      </c>
      <c r="H45" s="171"/>
      <c r="I45" s="171"/>
      <c r="J45" s="555"/>
      <c r="K45" s="153">
        <f>PRODUCT($E45*H45)</f>
        <v>0</v>
      </c>
      <c r="L45" s="153">
        <f>PRODUCT($E45*I45)</f>
        <v>0</v>
      </c>
      <c r="M45" s="153"/>
      <c r="N45" s="153">
        <f>PRODUCT($F45*H45)</f>
        <v>0</v>
      </c>
      <c r="O45" s="153">
        <f>PRODUCT($F45*I45)</f>
        <v>0</v>
      </c>
      <c r="P45" s="153"/>
    </row>
    <row r="46" spans="1:16" s="542" customFormat="1" ht="15" customHeight="1">
      <c r="A46" s="560"/>
      <c r="B46" s="560"/>
      <c r="C46" s="561" t="s">
        <v>1368</v>
      </c>
      <c r="D46" s="562"/>
      <c r="E46" s="562"/>
      <c r="F46" s="563">
        <f t="shared" si="0"/>
        <v>0</v>
      </c>
      <c r="G46" s="564"/>
      <c r="H46" s="173"/>
      <c r="I46" s="173"/>
      <c r="J46" s="566">
        <f>SUM(H44:I45)</f>
        <v>0</v>
      </c>
      <c r="K46" s="154"/>
      <c r="L46" s="154"/>
      <c r="M46" s="154">
        <f>SUM(K44:L45)</f>
        <v>0</v>
      </c>
      <c r="N46" s="154"/>
      <c r="O46" s="154"/>
      <c r="P46" s="154">
        <f>SUM(N44:O45)</f>
        <v>0</v>
      </c>
    </row>
    <row r="47" spans="1:16" s="556" customFormat="1" ht="15" customHeight="1">
      <c r="A47" s="550"/>
      <c r="B47" s="550"/>
      <c r="C47" s="567"/>
      <c r="D47" s="552"/>
      <c r="E47" s="552"/>
      <c r="F47" s="553">
        <f t="shared" si="0"/>
        <v>0</v>
      </c>
      <c r="G47" s="554"/>
      <c r="H47" s="172"/>
      <c r="I47" s="172"/>
      <c r="J47" s="568"/>
      <c r="K47" s="153"/>
      <c r="L47" s="153"/>
      <c r="M47" s="153"/>
      <c r="N47" s="153"/>
      <c r="O47" s="153"/>
      <c r="P47" s="153"/>
    </row>
    <row r="48" spans="1:16" s="556" customFormat="1" ht="15" customHeight="1">
      <c r="A48" s="550" t="s">
        <v>1369</v>
      </c>
      <c r="B48" s="550"/>
      <c r="C48" s="559" t="s">
        <v>1370</v>
      </c>
      <c r="D48" s="552">
        <v>1</v>
      </c>
      <c r="E48" s="552"/>
      <c r="F48" s="553">
        <f t="shared" si="0"/>
        <v>1</v>
      </c>
      <c r="G48" s="554" t="s">
        <v>143</v>
      </c>
      <c r="H48" s="171"/>
      <c r="I48" s="171"/>
      <c r="J48" s="555"/>
      <c r="K48" s="153">
        <f t="shared" ref="K48:L50" si="1">PRODUCT($E48*H48)</f>
        <v>0</v>
      </c>
      <c r="L48" s="153">
        <f t="shared" si="1"/>
        <v>0</v>
      </c>
      <c r="M48" s="153"/>
      <c r="N48" s="153">
        <f t="shared" ref="N48:O50" si="2">PRODUCT($F48*H48)</f>
        <v>0</v>
      </c>
      <c r="O48" s="153">
        <f t="shared" si="2"/>
        <v>0</v>
      </c>
      <c r="P48" s="153"/>
    </row>
    <row r="49" spans="1:16" s="556" customFormat="1" ht="15" customHeight="1">
      <c r="A49" s="550" t="s">
        <v>1371</v>
      </c>
      <c r="B49" s="550"/>
      <c r="C49" s="559" t="s">
        <v>1372</v>
      </c>
      <c r="D49" s="552">
        <v>1</v>
      </c>
      <c r="E49" s="552">
        <v>1</v>
      </c>
      <c r="F49" s="553">
        <f t="shared" si="0"/>
        <v>0</v>
      </c>
      <c r="G49" s="554" t="s">
        <v>143</v>
      </c>
      <c r="H49" s="171"/>
      <c r="I49" s="171"/>
      <c r="J49" s="555"/>
      <c r="K49" s="153">
        <f t="shared" si="1"/>
        <v>0</v>
      </c>
      <c r="L49" s="153">
        <f t="shared" si="1"/>
        <v>0</v>
      </c>
      <c r="M49" s="153"/>
      <c r="N49" s="153">
        <f t="shared" si="2"/>
        <v>0</v>
      </c>
      <c r="O49" s="153">
        <f t="shared" si="2"/>
        <v>0</v>
      </c>
      <c r="P49" s="153"/>
    </row>
    <row r="50" spans="1:16" s="556" customFormat="1" ht="15" customHeight="1">
      <c r="A50" s="550"/>
      <c r="B50" s="569" t="s">
        <v>1373</v>
      </c>
      <c r="C50" s="559" t="s">
        <v>1374</v>
      </c>
      <c r="D50" s="552">
        <f>SUM(D48:D49)</f>
        <v>2</v>
      </c>
      <c r="E50" s="552">
        <v>1</v>
      </c>
      <c r="F50" s="553">
        <f t="shared" si="0"/>
        <v>1</v>
      </c>
      <c r="G50" s="554" t="s">
        <v>143</v>
      </c>
      <c r="H50" s="171"/>
      <c r="I50" s="171"/>
      <c r="J50" s="555"/>
      <c r="K50" s="153">
        <f t="shared" si="1"/>
        <v>0</v>
      </c>
      <c r="L50" s="153">
        <f t="shared" si="1"/>
        <v>0</v>
      </c>
      <c r="M50" s="153"/>
      <c r="N50" s="153">
        <f t="shared" si="2"/>
        <v>0</v>
      </c>
      <c r="O50" s="153">
        <f t="shared" si="2"/>
        <v>0</v>
      </c>
      <c r="P50" s="153"/>
    </row>
    <row r="51" spans="1:16" s="556" customFormat="1" ht="15" customHeight="1">
      <c r="A51" s="570"/>
      <c r="B51" s="570"/>
      <c r="C51" s="571" t="s">
        <v>1375</v>
      </c>
      <c r="D51" s="572"/>
      <c r="E51" s="572"/>
      <c r="F51" s="573">
        <f t="shared" si="0"/>
        <v>0</v>
      </c>
      <c r="G51" s="574"/>
      <c r="H51" s="174"/>
      <c r="I51" s="174"/>
      <c r="J51" s="576">
        <f>SUM(H48:I50)</f>
        <v>0</v>
      </c>
      <c r="K51" s="155"/>
      <c r="L51" s="155"/>
      <c r="M51" s="155">
        <f>SUM(K48:L50)</f>
        <v>0</v>
      </c>
      <c r="N51" s="155"/>
      <c r="O51" s="155"/>
      <c r="P51" s="155">
        <f>SUM(N48:O50)</f>
        <v>0</v>
      </c>
    </row>
    <row r="52" spans="1:16" s="556" customFormat="1" ht="15" customHeight="1">
      <c r="A52" s="550"/>
      <c r="B52" s="550"/>
      <c r="C52" s="567"/>
      <c r="D52" s="552"/>
      <c r="E52" s="552"/>
      <c r="F52" s="553">
        <f t="shared" si="0"/>
        <v>0</v>
      </c>
      <c r="G52" s="554"/>
      <c r="H52" s="172"/>
      <c r="I52" s="172"/>
      <c r="J52" s="568"/>
      <c r="K52" s="153"/>
      <c r="L52" s="153"/>
      <c r="M52" s="153"/>
      <c r="N52" s="153"/>
      <c r="O52" s="153"/>
      <c r="P52" s="153"/>
    </row>
    <row r="53" spans="1:16" s="556" customFormat="1" ht="31.5" customHeight="1">
      <c r="A53" s="550" t="s">
        <v>1376</v>
      </c>
      <c r="B53" s="550"/>
      <c r="C53" s="559" t="s">
        <v>1377</v>
      </c>
      <c r="D53" s="552">
        <v>6</v>
      </c>
      <c r="E53" s="552">
        <v>3</v>
      </c>
      <c r="F53" s="553">
        <f t="shared" si="0"/>
        <v>3</v>
      </c>
      <c r="G53" s="554" t="s">
        <v>143</v>
      </c>
      <c r="H53" s="171"/>
      <c r="I53" s="171"/>
      <c r="J53" s="555"/>
      <c r="K53" s="153">
        <f>PRODUCT($E53*H53)</f>
        <v>0</v>
      </c>
      <c r="L53" s="153">
        <f>PRODUCT($E53*I53)</f>
        <v>0</v>
      </c>
      <c r="M53" s="153"/>
      <c r="N53" s="153">
        <f>PRODUCT($F53*H53)</f>
        <v>0</v>
      </c>
      <c r="O53" s="153">
        <f>PRODUCT($F53*I53)</f>
        <v>0</v>
      </c>
      <c r="P53" s="153"/>
    </row>
    <row r="54" spans="1:16" s="556" customFormat="1" ht="15" customHeight="1">
      <c r="A54" s="550"/>
      <c r="B54" s="550" t="s">
        <v>1378</v>
      </c>
      <c r="C54" s="559" t="s">
        <v>1379</v>
      </c>
      <c r="D54" s="552">
        <v>6</v>
      </c>
      <c r="E54" s="552">
        <v>3</v>
      </c>
      <c r="F54" s="553">
        <f t="shared" si="0"/>
        <v>3</v>
      </c>
      <c r="G54" s="554" t="s">
        <v>143</v>
      </c>
      <c r="H54" s="171"/>
      <c r="I54" s="171"/>
      <c r="J54" s="555"/>
      <c r="K54" s="153">
        <f>PRODUCT($E54*H54)</f>
        <v>0</v>
      </c>
      <c r="L54" s="153">
        <f>PRODUCT($E54*I54)</f>
        <v>0</v>
      </c>
      <c r="M54" s="153"/>
      <c r="N54" s="153">
        <f>PRODUCT($F54*H54)</f>
        <v>0</v>
      </c>
      <c r="O54" s="153">
        <f>PRODUCT($F54*I54)</f>
        <v>0</v>
      </c>
      <c r="P54" s="153"/>
    </row>
    <row r="55" spans="1:16" s="542" customFormat="1" ht="15" customHeight="1">
      <c r="A55" s="560"/>
      <c r="B55" s="560"/>
      <c r="C55" s="561" t="s">
        <v>1380</v>
      </c>
      <c r="D55" s="562"/>
      <c r="E55" s="562"/>
      <c r="F55" s="563">
        <f t="shared" si="0"/>
        <v>0</v>
      </c>
      <c r="G55" s="564"/>
      <c r="H55" s="173"/>
      <c r="I55" s="173"/>
      <c r="J55" s="566">
        <f>SUM(H53:I54)</f>
        <v>0</v>
      </c>
      <c r="K55" s="154"/>
      <c r="L55" s="154"/>
      <c r="M55" s="154">
        <f>SUM(K53:L54)</f>
        <v>0</v>
      </c>
      <c r="N55" s="154"/>
      <c r="O55" s="154"/>
      <c r="P55" s="154">
        <f>SUM(N53:O54)</f>
        <v>0</v>
      </c>
    </row>
    <row r="56" spans="1:16" s="556" customFormat="1" ht="15" customHeight="1">
      <c r="A56" s="550"/>
      <c r="B56" s="550"/>
      <c r="C56" s="567"/>
      <c r="D56" s="552"/>
      <c r="E56" s="552"/>
      <c r="F56" s="553">
        <f t="shared" si="0"/>
        <v>0</v>
      </c>
      <c r="G56" s="554"/>
      <c r="H56" s="172"/>
      <c r="I56" s="172"/>
      <c r="J56" s="568"/>
      <c r="K56" s="153"/>
      <c r="L56" s="153"/>
      <c r="M56" s="153"/>
      <c r="N56" s="153"/>
      <c r="O56" s="153"/>
      <c r="P56" s="153"/>
    </row>
    <row r="57" spans="1:16" s="556" customFormat="1" ht="15" customHeight="1">
      <c r="A57" s="550" t="s">
        <v>1381</v>
      </c>
      <c r="B57" s="550"/>
      <c r="C57" s="559" t="s">
        <v>1382</v>
      </c>
      <c r="D57" s="552">
        <v>2</v>
      </c>
      <c r="E57" s="552">
        <v>2</v>
      </c>
      <c r="F57" s="553">
        <f t="shared" si="0"/>
        <v>0</v>
      </c>
      <c r="G57" s="554" t="s">
        <v>143</v>
      </c>
      <c r="H57" s="171"/>
      <c r="I57" s="171"/>
      <c r="J57" s="555"/>
      <c r="K57" s="153">
        <f>PRODUCT($E57*H57)</f>
        <v>0</v>
      </c>
      <c r="L57" s="153">
        <f>PRODUCT($E57*I57)</f>
        <v>0</v>
      </c>
      <c r="M57" s="153"/>
      <c r="N57" s="153">
        <f>PRODUCT($F57*H57)</f>
        <v>0</v>
      </c>
      <c r="O57" s="153">
        <f>PRODUCT($F57*I57)</f>
        <v>0</v>
      </c>
      <c r="P57" s="153"/>
    </row>
    <row r="58" spans="1:16" s="556" customFormat="1" ht="15" customHeight="1">
      <c r="A58" s="550"/>
      <c r="B58" s="550" t="s">
        <v>1383</v>
      </c>
      <c r="C58" s="559" t="s">
        <v>1384</v>
      </c>
      <c r="D58" s="552">
        <v>2</v>
      </c>
      <c r="E58" s="552">
        <v>2</v>
      </c>
      <c r="F58" s="553">
        <f t="shared" si="0"/>
        <v>0</v>
      </c>
      <c r="G58" s="554" t="s">
        <v>143</v>
      </c>
      <c r="H58" s="171"/>
      <c r="I58" s="171"/>
      <c r="J58" s="555"/>
      <c r="K58" s="153">
        <f>PRODUCT($E58*H58)</f>
        <v>0</v>
      </c>
      <c r="L58" s="153">
        <f>PRODUCT($E58*I58)</f>
        <v>0</v>
      </c>
      <c r="M58" s="153"/>
      <c r="N58" s="153">
        <f>PRODUCT($F58*H58)</f>
        <v>0</v>
      </c>
      <c r="O58" s="153">
        <f>PRODUCT($F58*I58)</f>
        <v>0</v>
      </c>
      <c r="P58" s="153"/>
    </row>
    <row r="59" spans="1:16" s="542" customFormat="1" ht="15" customHeight="1">
      <c r="A59" s="560"/>
      <c r="B59" s="560"/>
      <c r="C59" s="561" t="s">
        <v>1385</v>
      </c>
      <c r="D59" s="562"/>
      <c r="E59" s="562"/>
      <c r="F59" s="563">
        <f t="shared" si="0"/>
        <v>0</v>
      </c>
      <c r="G59" s="564"/>
      <c r="H59" s="173"/>
      <c r="I59" s="173"/>
      <c r="J59" s="566">
        <f>SUM(H57:I58)</f>
        <v>0</v>
      </c>
      <c r="K59" s="154"/>
      <c r="L59" s="154"/>
      <c r="M59" s="154">
        <f>SUM(K57:L58)</f>
        <v>0</v>
      </c>
      <c r="N59" s="154"/>
      <c r="O59" s="154"/>
      <c r="P59" s="154">
        <f>SUM(N57:O58)</f>
        <v>0</v>
      </c>
    </row>
    <row r="60" spans="1:16" s="556" customFormat="1" ht="15" customHeight="1">
      <c r="A60" s="550"/>
      <c r="B60" s="550"/>
      <c r="C60" s="559"/>
      <c r="D60" s="552"/>
      <c r="E60" s="552"/>
      <c r="F60" s="553">
        <f t="shared" si="0"/>
        <v>0</v>
      </c>
      <c r="G60" s="554"/>
      <c r="H60" s="172"/>
      <c r="I60" s="172"/>
      <c r="J60" s="555"/>
      <c r="K60" s="153"/>
      <c r="L60" s="153"/>
      <c r="M60" s="153"/>
      <c r="N60" s="153"/>
      <c r="O60" s="153"/>
      <c r="P60" s="153"/>
    </row>
    <row r="61" spans="1:16" s="556" customFormat="1" ht="15" customHeight="1">
      <c r="A61" s="550" t="s">
        <v>1386</v>
      </c>
      <c r="B61" s="550"/>
      <c r="C61" s="559" t="s">
        <v>1387</v>
      </c>
      <c r="D61" s="552">
        <v>2</v>
      </c>
      <c r="E61" s="552"/>
      <c r="F61" s="553">
        <f t="shared" si="0"/>
        <v>2</v>
      </c>
      <c r="G61" s="554" t="s">
        <v>143</v>
      </c>
      <c r="H61" s="171"/>
      <c r="I61" s="171"/>
      <c r="J61" s="555"/>
      <c r="K61" s="153">
        <f t="shared" ref="K61:L63" si="3">PRODUCT($E61*H61)</f>
        <v>0</v>
      </c>
      <c r="L61" s="153">
        <f t="shared" si="3"/>
        <v>0</v>
      </c>
      <c r="M61" s="153"/>
      <c r="N61" s="153">
        <f t="shared" ref="N61:O63" si="4">PRODUCT($F61*H61)</f>
        <v>0</v>
      </c>
      <c r="O61" s="153">
        <f t="shared" si="4"/>
        <v>0</v>
      </c>
      <c r="P61" s="153"/>
    </row>
    <row r="62" spans="1:16" s="556" customFormat="1" ht="15" customHeight="1">
      <c r="A62" s="550" t="s">
        <v>1388</v>
      </c>
      <c r="B62" s="550"/>
      <c r="C62" s="559" t="s">
        <v>1389</v>
      </c>
      <c r="D62" s="552">
        <v>1</v>
      </c>
      <c r="E62" s="552"/>
      <c r="F62" s="553">
        <f t="shared" si="0"/>
        <v>1</v>
      </c>
      <c r="G62" s="554" t="s">
        <v>143</v>
      </c>
      <c r="H62" s="171"/>
      <c r="I62" s="171"/>
      <c r="J62" s="555"/>
      <c r="K62" s="153">
        <f t="shared" si="3"/>
        <v>0</v>
      </c>
      <c r="L62" s="153">
        <f t="shared" si="3"/>
        <v>0</v>
      </c>
      <c r="M62" s="153"/>
      <c r="N62" s="153">
        <f t="shared" si="4"/>
        <v>0</v>
      </c>
      <c r="O62" s="153">
        <f t="shared" si="4"/>
        <v>0</v>
      </c>
      <c r="P62" s="153"/>
    </row>
    <row r="63" spans="1:16" s="556" customFormat="1" ht="15" customHeight="1">
      <c r="A63" s="550"/>
      <c r="B63" s="550" t="s">
        <v>1383</v>
      </c>
      <c r="C63" s="559" t="s">
        <v>1390</v>
      </c>
      <c r="D63" s="552">
        <f>SUM(D61:D62)</f>
        <v>3</v>
      </c>
      <c r="E63" s="552"/>
      <c r="F63" s="553">
        <f t="shared" si="0"/>
        <v>3</v>
      </c>
      <c r="G63" s="554" t="s">
        <v>143</v>
      </c>
      <c r="H63" s="171"/>
      <c r="I63" s="171"/>
      <c r="J63" s="555"/>
      <c r="K63" s="153">
        <f t="shared" si="3"/>
        <v>0</v>
      </c>
      <c r="L63" s="153">
        <f t="shared" si="3"/>
        <v>0</v>
      </c>
      <c r="M63" s="153"/>
      <c r="N63" s="153">
        <f t="shared" si="4"/>
        <v>0</v>
      </c>
      <c r="O63" s="153">
        <f t="shared" si="4"/>
        <v>0</v>
      </c>
      <c r="P63" s="153"/>
    </row>
    <row r="64" spans="1:16" s="542" customFormat="1" ht="15" customHeight="1">
      <c r="A64" s="560"/>
      <c r="B64" s="560"/>
      <c r="C64" s="561" t="s">
        <v>1391</v>
      </c>
      <c r="D64" s="562"/>
      <c r="E64" s="562"/>
      <c r="F64" s="563">
        <f t="shared" si="0"/>
        <v>0</v>
      </c>
      <c r="G64" s="564"/>
      <c r="H64" s="173"/>
      <c r="I64" s="173"/>
      <c r="J64" s="566">
        <f>SUM(H61:I63)</f>
        <v>0</v>
      </c>
      <c r="K64" s="154"/>
      <c r="L64" s="154"/>
      <c r="M64" s="154">
        <f>SUM(K61:L63)</f>
        <v>0</v>
      </c>
      <c r="N64" s="154"/>
      <c r="O64" s="154"/>
      <c r="P64" s="154">
        <f>SUM(N61:O63)</f>
        <v>0</v>
      </c>
    </row>
    <row r="65" spans="1:16" s="556" customFormat="1" ht="15" customHeight="1">
      <c r="A65" s="550"/>
      <c r="B65" s="550"/>
      <c r="C65" s="559"/>
      <c r="D65" s="552"/>
      <c r="E65" s="552"/>
      <c r="F65" s="553">
        <f t="shared" si="0"/>
        <v>0</v>
      </c>
      <c r="G65" s="554"/>
      <c r="H65" s="172"/>
      <c r="I65" s="172"/>
      <c r="J65" s="555"/>
      <c r="K65" s="153"/>
      <c r="L65" s="153"/>
      <c r="M65" s="153"/>
      <c r="N65" s="153"/>
      <c r="O65" s="153"/>
      <c r="P65" s="153"/>
    </row>
    <row r="66" spans="1:16" s="556" customFormat="1" ht="15" customHeight="1">
      <c r="A66" s="550" t="s">
        <v>1392</v>
      </c>
      <c r="B66" s="550"/>
      <c r="C66" s="559" t="s">
        <v>1393</v>
      </c>
      <c r="D66" s="552">
        <v>4</v>
      </c>
      <c r="E66" s="552"/>
      <c r="F66" s="553">
        <f t="shared" si="0"/>
        <v>4</v>
      </c>
      <c r="G66" s="554" t="s">
        <v>143</v>
      </c>
      <c r="H66" s="171"/>
      <c r="I66" s="171"/>
      <c r="J66" s="555"/>
      <c r="K66" s="153">
        <f t="shared" ref="K66:L68" si="5">PRODUCT($E66*H66)</f>
        <v>0</v>
      </c>
      <c r="L66" s="153">
        <f t="shared" si="5"/>
        <v>0</v>
      </c>
      <c r="M66" s="153"/>
      <c r="N66" s="153">
        <f t="shared" ref="N66:O68" si="6">PRODUCT($F66*H66)</f>
        <v>0</v>
      </c>
      <c r="O66" s="153">
        <f t="shared" si="6"/>
        <v>0</v>
      </c>
      <c r="P66" s="153"/>
    </row>
    <row r="67" spans="1:16" s="556" customFormat="1" ht="15" customHeight="1">
      <c r="A67" s="550" t="s">
        <v>155</v>
      </c>
      <c r="B67" s="550"/>
      <c r="C67" s="559" t="s">
        <v>1394</v>
      </c>
      <c r="D67" s="552">
        <v>4</v>
      </c>
      <c r="E67" s="552"/>
      <c r="F67" s="553">
        <f t="shared" si="0"/>
        <v>4</v>
      </c>
      <c r="G67" s="554" t="s">
        <v>143</v>
      </c>
      <c r="H67" s="171"/>
      <c r="I67" s="171"/>
      <c r="J67" s="555"/>
      <c r="K67" s="153">
        <f t="shared" si="5"/>
        <v>0</v>
      </c>
      <c r="L67" s="153">
        <f t="shared" si="5"/>
        <v>0</v>
      </c>
      <c r="M67" s="153"/>
      <c r="N67" s="153">
        <f t="shared" si="6"/>
        <v>0</v>
      </c>
      <c r="O67" s="153">
        <f t="shared" si="6"/>
        <v>0</v>
      </c>
      <c r="P67" s="153"/>
    </row>
    <row r="68" spans="1:16" s="556" customFormat="1" ht="15" customHeight="1">
      <c r="A68" s="550"/>
      <c r="B68" s="550" t="s">
        <v>1383</v>
      </c>
      <c r="C68" s="559" t="s">
        <v>1390</v>
      </c>
      <c r="D68" s="552">
        <f>SUM(D66:D67)</f>
        <v>8</v>
      </c>
      <c r="E68" s="552"/>
      <c r="F68" s="553">
        <f t="shared" si="0"/>
        <v>8</v>
      </c>
      <c r="G68" s="554" t="s">
        <v>143</v>
      </c>
      <c r="H68" s="171"/>
      <c r="I68" s="171"/>
      <c r="J68" s="555"/>
      <c r="K68" s="153">
        <f t="shared" si="5"/>
        <v>0</v>
      </c>
      <c r="L68" s="153">
        <f t="shared" si="5"/>
        <v>0</v>
      </c>
      <c r="M68" s="153"/>
      <c r="N68" s="153">
        <f t="shared" si="6"/>
        <v>0</v>
      </c>
      <c r="O68" s="153">
        <f t="shared" si="6"/>
        <v>0</v>
      </c>
      <c r="P68" s="153"/>
    </row>
    <row r="69" spans="1:16" s="542" customFormat="1" ht="15" customHeight="1">
      <c r="A69" s="560"/>
      <c r="B69" s="560"/>
      <c r="C69" s="561" t="s">
        <v>1395</v>
      </c>
      <c r="D69" s="562"/>
      <c r="E69" s="562"/>
      <c r="F69" s="563">
        <f t="shared" si="0"/>
        <v>0</v>
      </c>
      <c r="G69" s="564"/>
      <c r="H69" s="173"/>
      <c r="I69" s="173"/>
      <c r="J69" s="566">
        <f>SUM(H66:I68)</f>
        <v>0</v>
      </c>
      <c r="K69" s="154"/>
      <c r="L69" s="154"/>
      <c r="M69" s="154">
        <f>SUM(K66:L68)</f>
        <v>0</v>
      </c>
      <c r="N69" s="154"/>
      <c r="O69" s="154"/>
      <c r="P69" s="154">
        <f>SUM(N66:O68)</f>
        <v>0</v>
      </c>
    </row>
    <row r="70" spans="1:16" s="556" customFormat="1" ht="15" customHeight="1">
      <c r="A70" s="550"/>
      <c r="B70" s="550"/>
      <c r="C70" s="559"/>
      <c r="D70" s="552"/>
      <c r="E70" s="552"/>
      <c r="F70" s="553">
        <f t="shared" si="0"/>
        <v>0</v>
      </c>
      <c r="G70" s="554"/>
      <c r="H70" s="172"/>
      <c r="I70" s="172"/>
      <c r="J70" s="555"/>
      <c r="K70" s="153"/>
      <c r="L70" s="153"/>
      <c r="M70" s="153"/>
      <c r="N70" s="153"/>
      <c r="O70" s="153"/>
      <c r="P70" s="153"/>
    </row>
    <row r="71" spans="1:16" s="556" customFormat="1" ht="15" customHeight="1">
      <c r="A71" s="550" t="s">
        <v>156</v>
      </c>
      <c r="B71" s="550"/>
      <c r="C71" s="559" t="s">
        <v>1396</v>
      </c>
      <c r="D71" s="552">
        <v>2</v>
      </c>
      <c r="E71" s="552">
        <v>2</v>
      </c>
      <c r="F71" s="553">
        <f t="shared" si="0"/>
        <v>0</v>
      </c>
      <c r="G71" s="554" t="s">
        <v>143</v>
      </c>
      <c r="H71" s="171"/>
      <c r="I71" s="171"/>
      <c r="J71" s="555"/>
      <c r="K71" s="153">
        <f>PRODUCT($E71*H71)</f>
        <v>0</v>
      </c>
      <c r="L71" s="153">
        <f>PRODUCT($E71*I71)</f>
        <v>0</v>
      </c>
      <c r="M71" s="153"/>
      <c r="N71" s="153">
        <f>PRODUCT($F71*H71)</f>
        <v>0</v>
      </c>
      <c r="O71" s="153">
        <f>PRODUCT($F71*I71)</f>
        <v>0</v>
      </c>
      <c r="P71" s="153"/>
    </row>
    <row r="72" spans="1:16" s="556" customFormat="1" ht="15" customHeight="1">
      <c r="A72" s="550"/>
      <c r="B72" s="550" t="s">
        <v>1383</v>
      </c>
      <c r="C72" s="559" t="s">
        <v>1397</v>
      </c>
      <c r="D72" s="552">
        <v>2</v>
      </c>
      <c r="E72" s="552">
        <v>2</v>
      </c>
      <c r="F72" s="553">
        <f t="shared" si="0"/>
        <v>0</v>
      </c>
      <c r="G72" s="554" t="s">
        <v>143</v>
      </c>
      <c r="H72" s="171"/>
      <c r="I72" s="171"/>
      <c r="J72" s="555"/>
      <c r="K72" s="153">
        <f>PRODUCT($E72*H72)</f>
        <v>0</v>
      </c>
      <c r="L72" s="153">
        <f>PRODUCT($E72*I72)</f>
        <v>0</v>
      </c>
      <c r="M72" s="153"/>
      <c r="N72" s="153">
        <f>PRODUCT($F72*H72)</f>
        <v>0</v>
      </c>
      <c r="O72" s="153">
        <f>PRODUCT($F72*I72)</f>
        <v>0</v>
      </c>
      <c r="P72" s="153"/>
    </row>
    <row r="73" spans="1:16" s="542" customFormat="1" ht="15" customHeight="1">
      <c r="A73" s="560"/>
      <c r="B73" s="560"/>
      <c r="C73" s="561" t="s">
        <v>1385</v>
      </c>
      <c r="D73" s="562"/>
      <c r="E73" s="562"/>
      <c r="F73" s="563">
        <f t="shared" si="0"/>
        <v>0</v>
      </c>
      <c r="G73" s="564"/>
      <c r="H73" s="173"/>
      <c r="I73" s="173"/>
      <c r="J73" s="566">
        <f>SUM(H71:I72)</f>
        <v>0</v>
      </c>
      <c r="K73" s="154"/>
      <c r="L73" s="154"/>
      <c r="M73" s="154">
        <f>SUM(K71:L72)</f>
        <v>0</v>
      </c>
      <c r="N73" s="154"/>
      <c r="O73" s="154"/>
      <c r="P73" s="154">
        <f>SUM(N71:O72)</f>
        <v>0</v>
      </c>
    </row>
    <row r="74" spans="1:16" s="556" customFormat="1" ht="15" customHeight="1">
      <c r="A74" s="550"/>
      <c r="B74" s="550"/>
      <c r="C74" s="559"/>
      <c r="D74" s="552"/>
      <c r="E74" s="552"/>
      <c r="F74" s="553">
        <f t="shared" si="0"/>
        <v>0</v>
      </c>
      <c r="G74" s="554"/>
      <c r="H74" s="172"/>
      <c r="I74" s="172"/>
      <c r="J74" s="555"/>
      <c r="K74" s="153"/>
      <c r="L74" s="153"/>
      <c r="M74" s="153"/>
      <c r="N74" s="153"/>
      <c r="O74" s="153"/>
      <c r="P74" s="153"/>
    </row>
    <row r="75" spans="1:16" s="556" customFormat="1" ht="15" customHeight="1">
      <c r="A75" s="550" t="s">
        <v>2263</v>
      </c>
      <c r="B75" s="550"/>
      <c r="C75" s="559" t="s">
        <v>2264</v>
      </c>
      <c r="D75" s="552">
        <v>2</v>
      </c>
      <c r="E75" s="552">
        <v>2</v>
      </c>
      <c r="F75" s="553">
        <f t="shared" si="0"/>
        <v>0</v>
      </c>
      <c r="G75" s="554" t="s">
        <v>143</v>
      </c>
      <c r="H75" s="171"/>
      <c r="I75" s="171"/>
      <c r="J75" s="555"/>
      <c r="K75" s="153">
        <f>PRODUCT($E75*H75)</f>
        <v>0</v>
      </c>
      <c r="L75" s="153">
        <f>PRODUCT($E75*I75)</f>
        <v>0</v>
      </c>
      <c r="M75" s="153"/>
      <c r="N75" s="153">
        <f>PRODUCT($F75*H75)</f>
        <v>0</v>
      </c>
      <c r="O75" s="153">
        <f>PRODUCT($F75*I75)</f>
        <v>0</v>
      </c>
      <c r="P75" s="153"/>
    </row>
    <row r="76" spans="1:16" s="556" customFormat="1" ht="15" customHeight="1">
      <c r="A76" s="550"/>
      <c r="B76" s="550" t="s">
        <v>2265</v>
      </c>
      <c r="C76" s="559" t="s">
        <v>1431</v>
      </c>
      <c r="D76" s="552">
        <v>2</v>
      </c>
      <c r="E76" s="552">
        <v>2</v>
      </c>
      <c r="F76" s="553">
        <f t="shared" si="0"/>
        <v>0</v>
      </c>
      <c r="G76" s="554" t="s">
        <v>143</v>
      </c>
      <c r="H76" s="171"/>
      <c r="I76" s="171"/>
      <c r="J76" s="555"/>
      <c r="K76" s="153">
        <f>PRODUCT($E76*H76)</f>
        <v>0</v>
      </c>
      <c r="L76" s="153">
        <f>PRODUCT($E76*I76)</f>
        <v>0</v>
      </c>
      <c r="M76" s="153"/>
      <c r="N76" s="153">
        <f>PRODUCT($F76*H76)</f>
        <v>0</v>
      </c>
      <c r="O76" s="153">
        <f>PRODUCT($F76*I76)</f>
        <v>0</v>
      </c>
      <c r="P76" s="153"/>
    </row>
    <row r="77" spans="1:16" s="542" customFormat="1" ht="15" customHeight="1">
      <c r="A77" s="560"/>
      <c r="B77" s="560"/>
      <c r="C77" s="561" t="s">
        <v>2266</v>
      </c>
      <c r="D77" s="562"/>
      <c r="E77" s="562"/>
      <c r="F77" s="563">
        <f t="shared" si="0"/>
        <v>0</v>
      </c>
      <c r="G77" s="564"/>
      <c r="H77" s="173"/>
      <c r="I77" s="173"/>
      <c r="J77" s="566">
        <f>SUM(H75:I76)</f>
        <v>0</v>
      </c>
      <c r="K77" s="154"/>
      <c r="L77" s="154"/>
      <c r="M77" s="154">
        <f>SUM(K75:L76)</f>
        <v>0</v>
      </c>
      <c r="N77" s="154"/>
      <c r="O77" s="154"/>
      <c r="P77" s="154">
        <f>SUM(N75:O76)</f>
        <v>0</v>
      </c>
    </row>
    <row r="78" spans="1:16" s="556" customFormat="1" ht="15" customHeight="1">
      <c r="A78" s="550"/>
      <c r="B78" s="550"/>
      <c r="C78" s="567"/>
      <c r="D78" s="552"/>
      <c r="E78" s="552"/>
      <c r="F78" s="553">
        <f t="shared" ref="F78:F141" si="7">D78-E78</f>
        <v>0</v>
      </c>
      <c r="G78" s="554"/>
      <c r="H78" s="172"/>
      <c r="I78" s="172"/>
      <c r="J78" s="568"/>
      <c r="K78" s="153"/>
      <c r="L78" s="153"/>
      <c r="M78" s="153"/>
      <c r="N78" s="153"/>
      <c r="O78" s="153"/>
      <c r="P78" s="153"/>
    </row>
    <row r="79" spans="1:16" s="556" customFormat="1" ht="15.75" customHeight="1">
      <c r="A79" s="577"/>
      <c r="B79" s="550"/>
      <c r="C79" s="578" t="s">
        <v>1398</v>
      </c>
      <c r="D79" s="552">
        <v>15</v>
      </c>
      <c r="E79" s="552">
        <v>10</v>
      </c>
      <c r="F79" s="553">
        <f t="shared" si="7"/>
        <v>5</v>
      </c>
      <c r="G79" s="569" t="s">
        <v>68</v>
      </c>
      <c r="H79" s="171"/>
      <c r="I79" s="171"/>
      <c r="J79" s="568"/>
      <c r="K79" s="153">
        <f t="shared" ref="K79:L83" si="8">PRODUCT($E79*H79)</f>
        <v>0</v>
      </c>
      <c r="L79" s="153">
        <f t="shared" si="8"/>
        <v>0</v>
      </c>
      <c r="M79" s="153"/>
      <c r="N79" s="153">
        <f t="shared" ref="N79:O83" si="9">PRODUCT($F79*H79)</f>
        <v>0</v>
      </c>
      <c r="O79" s="153">
        <f t="shared" si="9"/>
        <v>0</v>
      </c>
      <c r="P79" s="153"/>
    </row>
    <row r="80" spans="1:16" s="556" customFormat="1" ht="15.75" customHeight="1">
      <c r="A80" s="577"/>
      <c r="B80" s="550"/>
      <c r="C80" s="578" t="s">
        <v>1399</v>
      </c>
      <c r="D80" s="552">
        <v>10</v>
      </c>
      <c r="E80" s="552">
        <v>6</v>
      </c>
      <c r="F80" s="553">
        <f t="shared" si="7"/>
        <v>4</v>
      </c>
      <c r="G80" s="569" t="s">
        <v>68</v>
      </c>
      <c r="H80" s="171"/>
      <c r="I80" s="171"/>
      <c r="J80" s="568"/>
      <c r="K80" s="153">
        <f t="shared" si="8"/>
        <v>0</v>
      </c>
      <c r="L80" s="153">
        <f t="shared" si="8"/>
        <v>0</v>
      </c>
      <c r="M80" s="153"/>
      <c r="N80" s="153">
        <f t="shared" si="9"/>
        <v>0</v>
      </c>
      <c r="O80" s="153">
        <f t="shared" si="9"/>
        <v>0</v>
      </c>
      <c r="P80" s="153"/>
    </row>
    <row r="81" spans="1:16" s="556" customFormat="1" ht="15" customHeight="1">
      <c r="A81" s="577"/>
      <c r="B81" s="550"/>
      <c r="C81" s="578" t="s">
        <v>1400</v>
      </c>
      <c r="D81" s="552">
        <v>5</v>
      </c>
      <c r="E81" s="552"/>
      <c r="F81" s="553">
        <f t="shared" si="7"/>
        <v>5</v>
      </c>
      <c r="G81" s="569" t="s">
        <v>68</v>
      </c>
      <c r="H81" s="171"/>
      <c r="I81" s="171"/>
      <c r="J81" s="568"/>
      <c r="K81" s="153">
        <f t="shared" si="8"/>
        <v>0</v>
      </c>
      <c r="L81" s="153">
        <f t="shared" si="8"/>
        <v>0</v>
      </c>
      <c r="M81" s="153"/>
      <c r="N81" s="153">
        <f t="shared" si="9"/>
        <v>0</v>
      </c>
      <c r="O81" s="153">
        <f t="shared" si="9"/>
        <v>0</v>
      </c>
      <c r="P81" s="153"/>
    </row>
    <row r="82" spans="1:16" s="556" customFormat="1" ht="15" customHeight="1">
      <c r="A82" s="577"/>
      <c r="B82" s="550"/>
      <c r="C82" s="578" t="s">
        <v>1401</v>
      </c>
      <c r="D82" s="552">
        <v>2</v>
      </c>
      <c r="E82" s="552"/>
      <c r="F82" s="553">
        <f t="shared" si="7"/>
        <v>2</v>
      </c>
      <c r="G82" s="569" t="s">
        <v>68</v>
      </c>
      <c r="H82" s="171"/>
      <c r="I82" s="171"/>
      <c r="J82" s="568"/>
      <c r="K82" s="153">
        <f t="shared" si="8"/>
        <v>0</v>
      </c>
      <c r="L82" s="153">
        <f t="shared" si="8"/>
        <v>0</v>
      </c>
      <c r="M82" s="153"/>
      <c r="N82" s="153">
        <f t="shared" si="9"/>
        <v>0</v>
      </c>
      <c r="O82" s="153">
        <f t="shared" si="9"/>
        <v>0</v>
      </c>
      <c r="P82" s="153"/>
    </row>
    <row r="83" spans="1:16" s="556" customFormat="1" ht="15" customHeight="1">
      <c r="A83" s="550"/>
      <c r="B83" s="579" t="s">
        <v>1402</v>
      </c>
      <c r="C83" s="578" t="s">
        <v>1403</v>
      </c>
      <c r="D83" s="552">
        <f>SUM(D79:D82)</f>
        <v>32</v>
      </c>
      <c r="E83" s="552">
        <f>SUM(E79:E82)</f>
        <v>16</v>
      </c>
      <c r="F83" s="553">
        <f t="shared" si="7"/>
        <v>16</v>
      </c>
      <c r="G83" s="569" t="s">
        <v>68</v>
      </c>
      <c r="H83" s="171"/>
      <c r="I83" s="171"/>
      <c r="J83" s="568"/>
      <c r="K83" s="153">
        <f t="shared" si="8"/>
        <v>0</v>
      </c>
      <c r="L83" s="153">
        <f t="shared" si="8"/>
        <v>0</v>
      </c>
      <c r="M83" s="153"/>
      <c r="N83" s="153">
        <f t="shared" si="9"/>
        <v>0</v>
      </c>
      <c r="O83" s="153">
        <f t="shared" si="9"/>
        <v>0</v>
      </c>
      <c r="P83" s="153"/>
    </row>
    <row r="84" spans="1:16" s="542" customFormat="1" ht="15" customHeight="1">
      <c r="A84" s="560"/>
      <c r="B84" s="560"/>
      <c r="C84" s="561" t="s">
        <v>1404</v>
      </c>
      <c r="D84" s="562"/>
      <c r="E84" s="562"/>
      <c r="F84" s="563">
        <f t="shared" si="7"/>
        <v>0</v>
      </c>
      <c r="G84" s="564"/>
      <c r="H84" s="173"/>
      <c r="I84" s="173"/>
      <c r="J84" s="566">
        <f>SUM(H79:I83)</f>
        <v>0</v>
      </c>
      <c r="K84" s="154"/>
      <c r="L84" s="154"/>
      <c r="M84" s="154">
        <f>SUM(K79:L83)</f>
        <v>0</v>
      </c>
      <c r="N84" s="154"/>
      <c r="O84" s="154"/>
      <c r="P84" s="154">
        <f>SUM(N79:O83)</f>
        <v>0</v>
      </c>
    </row>
    <row r="85" spans="1:16" s="556" customFormat="1" ht="15" customHeight="1">
      <c r="A85" s="550"/>
      <c r="B85" s="550"/>
      <c r="C85" s="567"/>
      <c r="D85" s="552"/>
      <c r="E85" s="552"/>
      <c r="F85" s="553">
        <f t="shared" si="7"/>
        <v>0</v>
      </c>
      <c r="G85" s="554"/>
      <c r="H85" s="172"/>
      <c r="I85" s="172"/>
      <c r="J85" s="568"/>
      <c r="K85" s="153"/>
      <c r="L85" s="153"/>
      <c r="M85" s="153"/>
      <c r="N85" s="153"/>
      <c r="O85" s="153"/>
      <c r="P85" s="153"/>
    </row>
    <row r="86" spans="1:16" s="556" customFormat="1" ht="15" customHeight="1">
      <c r="A86" s="550"/>
      <c r="B86" s="550"/>
      <c r="C86" s="578" t="s">
        <v>1405</v>
      </c>
      <c r="D86" s="552">
        <v>45</v>
      </c>
      <c r="E86" s="552">
        <v>16</v>
      </c>
      <c r="F86" s="553">
        <f t="shared" si="7"/>
        <v>29</v>
      </c>
      <c r="G86" s="569" t="s">
        <v>1406</v>
      </c>
      <c r="H86" s="171"/>
      <c r="I86" s="171"/>
      <c r="J86" s="568"/>
      <c r="K86" s="153">
        <f t="shared" ref="K86:L90" si="10">PRODUCT($E86*H86)</f>
        <v>0</v>
      </c>
      <c r="L86" s="153">
        <f t="shared" si="10"/>
        <v>0</v>
      </c>
      <c r="M86" s="153"/>
      <c r="N86" s="153">
        <f t="shared" ref="N86:O90" si="11">PRODUCT($F86*H86)</f>
        <v>0</v>
      </c>
      <c r="O86" s="153">
        <f t="shared" si="11"/>
        <v>0</v>
      </c>
      <c r="P86" s="153"/>
    </row>
    <row r="87" spans="1:16" s="556" customFormat="1" ht="15" customHeight="1">
      <c r="A87" s="550"/>
      <c r="B87" s="550"/>
      <c r="C87" s="578" t="s">
        <v>1407</v>
      </c>
      <c r="D87" s="552">
        <v>50</v>
      </c>
      <c r="E87" s="552">
        <v>32</v>
      </c>
      <c r="F87" s="553">
        <f t="shared" si="7"/>
        <v>18</v>
      </c>
      <c r="G87" s="569" t="s">
        <v>1406</v>
      </c>
      <c r="H87" s="171"/>
      <c r="I87" s="171"/>
      <c r="J87" s="568"/>
      <c r="K87" s="153">
        <f t="shared" si="10"/>
        <v>0</v>
      </c>
      <c r="L87" s="153">
        <f t="shared" si="10"/>
        <v>0</v>
      </c>
      <c r="M87" s="153"/>
      <c r="N87" s="153">
        <f t="shared" si="11"/>
        <v>0</v>
      </c>
      <c r="O87" s="153">
        <f t="shared" si="11"/>
        <v>0</v>
      </c>
      <c r="P87" s="153"/>
    </row>
    <row r="88" spans="1:16" s="556" customFormat="1" ht="15" customHeight="1">
      <c r="A88" s="550"/>
      <c r="B88" s="550"/>
      <c r="C88" s="578" t="s">
        <v>1408</v>
      </c>
      <c r="D88" s="552">
        <v>35</v>
      </c>
      <c r="E88" s="552"/>
      <c r="F88" s="553">
        <f t="shared" si="7"/>
        <v>35</v>
      </c>
      <c r="G88" s="569" t="s">
        <v>1406</v>
      </c>
      <c r="H88" s="171"/>
      <c r="I88" s="171"/>
      <c r="J88" s="568"/>
      <c r="K88" s="153">
        <f t="shared" si="10"/>
        <v>0</v>
      </c>
      <c r="L88" s="153">
        <f t="shared" si="10"/>
        <v>0</v>
      </c>
      <c r="M88" s="153"/>
      <c r="N88" s="153">
        <f t="shared" si="11"/>
        <v>0</v>
      </c>
      <c r="O88" s="153">
        <f t="shared" si="11"/>
        <v>0</v>
      </c>
      <c r="P88" s="153"/>
    </row>
    <row r="89" spans="1:16" s="556" customFormat="1" ht="15" customHeight="1">
      <c r="A89" s="550"/>
      <c r="B89" s="550"/>
      <c r="C89" s="578" t="s">
        <v>1409</v>
      </c>
      <c r="D89" s="552">
        <v>5</v>
      </c>
      <c r="E89" s="552"/>
      <c r="F89" s="553">
        <f t="shared" si="7"/>
        <v>5</v>
      </c>
      <c r="G89" s="569" t="s">
        <v>1406</v>
      </c>
      <c r="H89" s="171"/>
      <c r="I89" s="171"/>
      <c r="J89" s="568"/>
      <c r="K89" s="153">
        <f t="shared" si="10"/>
        <v>0</v>
      </c>
      <c r="L89" s="153">
        <f t="shared" si="10"/>
        <v>0</v>
      </c>
      <c r="M89" s="153"/>
      <c r="N89" s="153">
        <f t="shared" si="11"/>
        <v>0</v>
      </c>
      <c r="O89" s="153">
        <f t="shared" si="11"/>
        <v>0</v>
      </c>
      <c r="P89" s="153"/>
    </row>
    <row r="90" spans="1:16" s="556" customFormat="1" ht="15" customHeight="1">
      <c r="A90" s="550"/>
      <c r="B90" s="550" t="s">
        <v>1410</v>
      </c>
      <c r="C90" s="578" t="s">
        <v>1411</v>
      </c>
      <c r="D90" s="552">
        <f>SUM(D86:D87)</f>
        <v>95</v>
      </c>
      <c r="E90" s="552">
        <f>SUM(E86:E89)</f>
        <v>48</v>
      </c>
      <c r="F90" s="553">
        <f t="shared" si="7"/>
        <v>47</v>
      </c>
      <c r="G90" s="569" t="s">
        <v>1406</v>
      </c>
      <c r="H90" s="171"/>
      <c r="I90" s="171"/>
      <c r="J90" s="568"/>
      <c r="K90" s="153">
        <f t="shared" si="10"/>
        <v>0</v>
      </c>
      <c r="L90" s="153">
        <f t="shared" si="10"/>
        <v>0</v>
      </c>
      <c r="M90" s="153"/>
      <c r="N90" s="153">
        <f t="shared" si="11"/>
        <v>0</v>
      </c>
      <c r="O90" s="153">
        <f t="shared" si="11"/>
        <v>0</v>
      </c>
      <c r="P90" s="153"/>
    </row>
    <row r="91" spans="1:16" s="542" customFormat="1" ht="15" customHeight="1">
      <c r="A91" s="560"/>
      <c r="B91" s="560"/>
      <c r="C91" s="561" t="s">
        <v>1412</v>
      </c>
      <c r="D91" s="562"/>
      <c r="E91" s="562"/>
      <c r="F91" s="563">
        <f t="shared" si="7"/>
        <v>0</v>
      </c>
      <c r="G91" s="564"/>
      <c r="H91" s="173"/>
      <c r="I91" s="173"/>
      <c r="J91" s="566">
        <f>SUM(H86:I90)</f>
        <v>0</v>
      </c>
      <c r="K91" s="154"/>
      <c r="L91" s="154"/>
      <c r="M91" s="154">
        <f>SUM(K86:L90)</f>
        <v>0</v>
      </c>
      <c r="N91" s="154"/>
      <c r="O91" s="154"/>
      <c r="P91" s="154">
        <f>SUM(N86:O90)</f>
        <v>0</v>
      </c>
    </row>
    <row r="92" spans="1:16" s="556" customFormat="1" ht="15" customHeight="1">
      <c r="A92" s="550"/>
      <c r="B92" s="550"/>
      <c r="C92" s="567"/>
      <c r="D92" s="552"/>
      <c r="E92" s="552"/>
      <c r="F92" s="553">
        <f t="shared" si="7"/>
        <v>0</v>
      </c>
      <c r="G92" s="554"/>
      <c r="H92" s="172"/>
      <c r="I92" s="172"/>
      <c r="J92" s="568"/>
      <c r="K92" s="153"/>
      <c r="L92" s="153"/>
      <c r="M92" s="153"/>
      <c r="N92" s="153"/>
      <c r="O92" s="153"/>
      <c r="P92" s="153"/>
    </row>
    <row r="93" spans="1:16" s="542" customFormat="1" ht="15" customHeight="1">
      <c r="A93" s="580"/>
      <c r="B93" s="581"/>
      <c r="C93" s="582" t="s">
        <v>1413</v>
      </c>
      <c r="D93" s="583">
        <v>30</v>
      </c>
      <c r="E93" s="583">
        <v>13</v>
      </c>
      <c r="F93" s="584">
        <f t="shared" si="7"/>
        <v>17</v>
      </c>
      <c r="G93" s="579" t="s">
        <v>1414</v>
      </c>
      <c r="H93" s="171"/>
      <c r="I93" s="176"/>
      <c r="J93" s="585"/>
      <c r="K93" s="153">
        <f>PRODUCT($E93*H93)</f>
        <v>0</v>
      </c>
      <c r="L93" s="153">
        <f>PRODUCT($E93*I93)</f>
        <v>0</v>
      </c>
      <c r="M93" s="157"/>
      <c r="N93" s="153">
        <f>PRODUCT($F93*H93)</f>
        <v>0</v>
      </c>
      <c r="O93" s="153">
        <f>PRODUCT($F93*I93)</f>
        <v>0</v>
      </c>
      <c r="P93" s="157"/>
    </row>
    <row r="94" spans="1:16" s="542" customFormat="1" ht="15" customHeight="1">
      <c r="A94" s="586"/>
      <c r="B94" s="581"/>
      <c r="C94" s="587" t="s">
        <v>1415</v>
      </c>
      <c r="D94" s="583">
        <v>30</v>
      </c>
      <c r="E94" s="583">
        <v>13</v>
      </c>
      <c r="F94" s="584">
        <f t="shared" si="7"/>
        <v>17</v>
      </c>
      <c r="G94" s="579" t="s">
        <v>1414</v>
      </c>
      <c r="H94" s="175"/>
      <c r="I94" s="171"/>
      <c r="J94" s="588"/>
      <c r="K94" s="153">
        <f>PRODUCT($E94*H94)</f>
        <v>0</v>
      </c>
      <c r="L94" s="153">
        <f>PRODUCT($E94*I94)</f>
        <v>0</v>
      </c>
      <c r="M94" s="156"/>
      <c r="N94" s="153">
        <f>PRODUCT($F94*H94)</f>
        <v>0</v>
      </c>
      <c r="O94" s="153">
        <f>PRODUCT($F94*I94)</f>
        <v>0</v>
      </c>
      <c r="P94" s="156"/>
    </row>
    <row r="95" spans="1:16" s="542" customFormat="1" ht="15" customHeight="1">
      <c r="A95" s="560"/>
      <c r="B95" s="560"/>
      <c r="C95" s="561" t="s">
        <v>1416</v>
      </c>
      <c r="D95" s="562"/>
      <c r="E95" s="562"/>
      <c r="F95" s="563">
        <f t="shared" si="7"/>
        <v>0</v>
      </c>
      <c r="G95" s="564"/>
      <c r="H95" s="173"/>
      <c r="I95" s="173"/>
      <c r="J95" s="566">
        <f>SUM(H93:I94)</f>
        <v>0</v>
      </c>
      <c r="K95" s="154"/>
      <c r="L95" s="154"/>
      <c r="M95" s="154">
        <f>SUM(K93:L94)</f>
        <v>0</v>
      </c>
      <c r="N95" s="154"/>
      <c r="O95" s="154"/>
      <c r="P95" s="154">
        <f>SUM(N93:O94)</f>
        <v>0</v>
      </c>
    </row>
    <row r="96" spans="1:16" s="556" customFormat="1" ht="15" customHeight="1">
      <c r="A96" s="550"/>
      <c r="B96" s="550"/>
      <c r="C96" s="567"/>
      <c r="D96" s="552"/>
      <c r="E96" s="552"/>
      <c r="F96" s="553">
        <f t="shared" si="7"/>
        <v>0</v>
      </c>
      <c r="G96" s="554"/>
      <c r="H96" s="172"/>
      <c r="I96" s="172"/>
      <c r="J96" s="568"/>
      <c r="K96" s="153"/>
      <c r="L96" s="153"/>
      <c r="M96" s="153"/>
      <c r="N96" s="153"/>
      <c r="O96" s="153"/>
      <c r="P96" s="153"/>
    </row>
    <row r="97" spans="1:16" s="542" customFormat="1" ht="15" customHeight="1">
      <c r="A97" s="580"/>
      <c r="B97" s="581"/>
      <c r="C97" s="582" t="s">
        <v>1417</v>
      </c>
      <c r="D97" s="583">
        <v>60</v>
      </c>
      <c r="E97" s="583">
        <v>35</v>
      </c>
      <c r="F97" s="584">
        <f t="shared" si="7"/>
        <v>25</v>
      </c>
      <c r="G97" s="579" t="s">
        <v>1414</v>
      </c>
      <c r="H97" s="171"/>
      <c r="I97" s="176"/>
      <c r="J97" s="585"/>
      <c r="K97" s="153">
        <f>PRODUCT($E97*H97)</f>
        <v>0</v>
      </c>
      <c r="L97" s="153">
        <f>PRODUCT($E97*I97)</f>
        <v>0</v>
      </c>
      <c r="M97" s="157"/>
      <c r="N97" s="153">
        <f>PRODUCT($F97*H97)</f>
        <v>0</v>
      </c>
      <c r="O97" s="153">
        <f>PRODUCT($F97*I97)</f>
        <v>0</v>
      </c>
      <c r="P97" s="157"/>
    </row>
    <row r="98" spans="1:16" s="542" customFormat="1" ht="15" customHeight="1">
      <c r="A98" s="586"/>
      <c r="B98" s="581"/>
      <c r="C98" s="587" t="s">
        <v>1418</v>
      </c>
      <c r="D98" s="583">
        <v>60</v>
      </c>
      <c r="E98" s="583">
        <v>35</v>
      </c>
      <c r="F98" s="584">
        <f t="shared" si="7"/>
        <v>25</v>
      </c>
      <c r="G98" s="579" t="s">
        <v>1414</v>
      </c>
      <c r="H98" s="175"/>
      <c r="I98" s="171"/>
      <c r="J98" s="588"/>
      <c r="K98" s="153">
        <f>PRODUCT($E98*H98)</f>
        <v>0</v>
      </c>
      <c r="L98" s="153">
        <f>PRODUCT($E98*I98)</f>
        <v>0</v>
      </c>
      <c r="M98" s="156"/>
      <c r="N98" s="153">
        <f>PRODUCT($F98*H98)</f>
        <v>0</v>
      </c>
      <c r="O98" s="153">
        <f>PRODUCT($F98*I98)</f>
        <v>0</v>
      </c>
      <c r="P98" s="156"/>
    </row>
    <row r="99" spans="1:16" s="542" customFormat="1" ht="15" customHeight="1">
      <c r="A99" s="560"/>
      <c r="B99" s="560"/>
      <c r="C99" s="561" t="s">
        <v>1412</v>
      </c>
      <c r="D99" s="562"/>
      <c r="E99" s="562"/>
      <c r="F99" s="563">
        <f t="shared" si="7"/>
        <v>0</v>
      </c>
      <c r="G99" s="564"/>
      <c r="H99" s="173"/>
      <c r="I99" s="173"/>
      <c r="J99" s="566">
        <f>SUM(H97:I98)</f>
        <v>0</v>
      </c>
      <c r="K99" s="154"/>
      <c r="L99" s="154"/>
      <c r="M99" s="154">
        <f>SUM(K97:L98)</f>
        <v>0</v>
      </c>
      <c r="N99" s="154"/>
      <c r="O99" s="154"/>
      <c r="P99" s="154">
        <f>SUM(N97:O98)</f>
        <v>0</v>
      </c>
    </row>
    <row r="100" spans="1:16" s="556" customFormat="1" ht="15" customHeight="1">
      <c r="A100" s="550"/>
      <c r="B100" s="550"/>
      <c r="C100" s="589"/>
      <c r="D100" s="552"/>
      <c r="E100" s="552"/>
      <c r="F100" s="553">
        <f t="shared" si="7"/>
        <v>0</v>
      </c>
      <c r="G100" s="554"/>
      <c r="H100" s="172"/>
      <c r="I100" s="172"/>
      <c r="J100" s="568"/>
      <c r="K100" s="153"/>
      <c r="L100" s="153"/>
      <c r="M100" s="153"/>
      <c r="N100" s="153"/>
      <c r="O100" s="153"/>
      <c r="P100" s="153"/>
    </row>
    <row r="101" spans="1:16" s="542" customFormat="1" ht="15" customHeight="1">
      <c r="A101" s="547" t="s">
        <v>1419</v>
      </c>
      <c r="B101" s="548"/>
      <c r="C101" s="549"/>
      <c r="D101" s="548"/>
      <c r="E101" s="548"/>
      <c r="F101" s="590">
        <f t="shared" si="7"/>
        <v>0</v>
      </c>
      <c r="G101" s="548"/>
      <c r="H101" s="170"/>
      <c r="I101" s="170"/>
      <c r="J101" s="548"/>
      <c r="K101" s="151"/>
      <c r="L101" s="151"/>
      <c r="M101" s="152"/>
      <c r="N101" s="151"/>
      <c r="O101" s="151"/>
      <c r="P101" s="152"/>
    </row>
    <row r="102" spans="1:16" s="556" customFormat="1" ht="15" customHeight="1">
      <c r="A102" s="550" t="s">
        <v>1420</v>
      </c>
      <c r="B102" s="550"/>
      <c r="C102" s="551" t="s">
        <v>1421</v>
      </c>
      <c r="D102" s="552">
        <v>1</v>
      </c>
      <c r="E102" s="552"/>
      <c r="F102" s="553">
        <f t="shared" si="7"/>
        <v>1</v>
      </c>
      <c r="G102" s="554" t="s">
        <v>143</v>
      </c>
      <c r="H102" s="171"/>
      <c r="I102" s="171"/>
      <c r="J102" s="555"/>
      <c r="K102" s="153">
        <f>PRODUCT($E102*H102)</f>
        <v>0</v>
      </c>
      <c r="L102" s="153">
        <f>PRODUCT($E102*I102)</f>
        <v>0</v>
      </c>
      <c r="M102" s="153"/>
      <c r="N102" s="153">
        <f>PRODUCT($F102*H102)</f>
        <v>0</v>
      </c>
      <c r="O102" s="153">
        <f>PRODUCT($F102*I102)</f>
        <v>0</v>
      </c>
      <c r="P102" s="153"/>
    </row>
    <row r="103" spans="1:16" s="556" customFormat="1" ht="15" customHeight="1">
      <c r="A103" s="550"/>
      <c r="B103" s="550"/>
      <c r="C103" s="551" t="s">
        <v>1422</v>
      </c>
      <c r="D103" s="552"/>
      <c r="E103" s="552"/>
      <c r="F103" s="553">
        <f t="shared" si="7"/>
        <v>0</v>
      </c>
      <c r="G103" s="554"/>
      <c r="H103" s="172"/>
      <c r="I103" s="172"/>
      <c r="J103" s="555"/>
      <c r="K103" s="153"/>
      <c r="L103" s="153"/>
      <c r="M103" s="153"/>
      <c r="N103" s="153"/>
      <c r="O103" s="153"/>
      <c r="P103" s="153"/>
    </row>
    <row r="104" spans="1:16" s="556" customFormat="1" ht="15" customHeight="1">
      <c r="A104" s="550"/>
      <c r="B104" s="550"/>
      <c r="C104" s="551" t="s">
        <v>1423</v>
      </c>
      <c r="D104" s="552"/>
      <c r="E104" s="552"/>
      <c r="F104" s="553">
        <f t="shared" si="7"/>
        <v>0</v>
      </c>
      <c r="G104" s="554"/>
      <c r="H104" s="172"/>
      <c r="I104" s="172"/>
      <c r="J104" s="555"/>
      <c r="K104" s="153"/>
      <c r="L104" s="153"/>
      <c r="M104" s="153"/>
      <c r="N104" s="153"/>
      <c r="O104" s="153"/>
      <c r="P104" s="153"/>
    </row>
    <row r="105" spans="1:16" s="556" customFormat="1" ht="15" customHeight="1">
      <c r="A105" s="550"/>
      <c r="B105" s="550"/>
      <c r="C105" s="558" t="s">
        <v>1424</v>
      </c>
      <c r="D105" s="552"/>
      <c r="E105" s="552"/>
      <c r="F105" s="553">
        <f t="shared" si="7"/>
        <v>0</v>
      </c>
      <c r="G105" s="554"/>
      <c r="H105" s="172"/>
      <c r="I105" s="172"/>
      <c r="J105" s="555"/>
      <c r="K105" s="153"/>
      <c r="L105" s="153"/>
      <c r="M105" s="153"/>
      <c r="N105" s="153"/>
      <c r="O105" s="153"/>
      <c r="P105" s="153"/>
    </row>
    <row r="106" spans="1:16" s="556" customFormat="1" ht="15" customHeight="1">
      <c r="A106" s="550"/>
      <c r="B106" s="550"/>
      <c r="C106" s="558" t="s">
        <v>1345</v>
      </c>
      <c r="D106" s="552"/>
      <c r="E106" s="552"/>
      <c r="F106" s="553">
        <f t="shared" si="7"/>
        <v>0</v>
      </c>
      <c r="G106" s="554"/>
      <c r="H106" s="172"/>
      <c r="I106" s="172"/>
      <c r="J106" s="555"/>
      <c r="K106" s="153"/>
      <c r="L106" s="153"/>
      <c r="M106" s="153"/>
      <c r="N106" s="153"/>
      <c r="O106" s="153"/>
      <c r="P106" s="153"/>
    </row>
    <row r="107" spans="1:16" s="556" customFormat="1" ht="15" customHeight="1">
      <c r="A107" s="550"/>
      <c r="B107" s="550"/>
      <c r="C107" s="559" t="s">
        <v>1425</v>
      </c>
      <c r="D107" s="552"/>
      <c r="E107" s="552"/>
      <c r="F107" s="553">
        <f t="shared" si="7"/>
        <v>0</v>
      </c>
      <c r="G107" s="554"/>
      <c r="H107" s="172"/>
      <c r="I107" s="172"/>
      <c r="J107" s="555"/>
      <c r="K107" s="153"/>
      <c r="L107" s="153"/>
      <c r="M107" s="153"/>
      <c r="N107" s="153"/>
      <c r="O107" s="153"/>
      <c r="P107" s="153"/>
    </row>
    <row r="108" spans="1:16" s="556" customFormat="1" ht="15" customHeight="1">
      <c r="A108" s="550"/>
      <c r="B108" s="550"/>
      <c r="C108" s="559" t="s">
        <v>1348</v>
      </c>
      <c r="D108" s="552"/>
      <c r="E108" s="552"/>
      <c r="F108" s="553">
        <f t="shared" si="7"/>
        <v>0</v>
      </c>
      <c r="G108" s="554"/>
      <c r="H108" s="172"/>
      <c r="I108" s="172"/>
      <c r="J108" s="555"/>
      <c r="K108" s="153"/>
      <c r="L108" s="153"/>
      <c r="M108" s="153"/>
      <c r="N108" s="153"/>
      <c r="O108" s="153"/>
      <c r="P108" s="153"/>
    </row>
    <row r="109" spans="1:16" s="556" customFormat="1" ht="15" customHeight="1">
      <c r="A109" s="550"/>
      <c r="B109" s="550"/>
      <c r="C109" s="559" t="s">
        <v>1349</v>
      </c>
      <c r="D109" s="552">
        <v>1</v>
      </c>
      <c r="E109" s="552"/>
      <c r="F109" s="553">
        <f t="shared" si="7"/>
        <v>1</v>
      </c>
      <c r="G109" s="554" t="s">
        <v>73</v>
      </c>
      <c r="H109" s="171"/>
      <c r="I109" s="171"/>
      <c r="J109" s="555"/>
      <c r="K109" s="153">
        <f>PRODUCT($E109*H109)</f>
        <v>0</v>
      </c>
      <c r="L109" s="153">
        <f>PRODUCT($E109*I109)</f>
        <v>0</v>
      </c>
      <c r="M109" s="153"/>
      <c r="N109" s="153">
        <f>PRODUCT($F109*H109)</f>
        <v>0</v>
      </c>
      <c r="O109" s="153">
        <f>PRODUCT($F109*I109)</f>
        <v>0</v>
      </c>
      <c r="P109" s="153"/>
    </row>
    <row r="110" spans="1:16" s="556" customFormat="1" ht="15" customHeight="1">
      <c r="A110" s="550"/>
      <c r="B110" s="550" t="s">
        <v>1350</v>
      </c>
      <c r="C110" s="559" t="s">
        <v>1351</v>
      </c>
      <c r="D110" s="552">
        <v>1</v>
      </c>
      <c r="E110" s="552"/>
      <c r="F110" s="553">
        <f t="shared" si="7"/>
        <v>1</v>
      </c>
      <c r="G110" s="554" t="s">
        <v>143</v>
      </c>
      <c r="H110" s="171"/>
      <c r="I110" s="171"/>
      <c r="J110" s="555"/>
      <c r="K110" s="153">
        <f>PRODUCT($E110*H110)</f>
        <v>0</v>
      </c>
      <c r="L110" s="153">
        <f>PRODUCT($E110*I110)</f>
        <v>0</v>
      </c>
      <c r="M110" s="153"/>
      <c r="N110" s="153">
        <f>PRODUCT($F110*H110)</f>
        <v>0</v>
      </c>
      <c r="O110" s="153">
        <f>PRODUCT($F110*I110)</f>
        <v>0</v>
      </c>
      <c r="P110" s="153"/>
    </row>
    <row r="111" spans="1:16" s="542" customFormat="1" ht="15" customHeight="1">
      <c r="A111" s="560"/>
      <c r="B111" s="560"/>
      <c r="C111" s="561" t="s">
        <v>1426</v>
      </c>
      <c r="D111" s="562"/>
      <c r="E111" s="562"/>
      <c r="F111" s="563">
        <f t="shared" si="7"/>
        <v>0</v>
      </c>
      <c r="G111" s="564"/>
      <c r="H111" s="173"/>
      <c r="I111" s="173"/>
      <c r="J111" s="566">
        <f>SUM(H102:I110)</f>
        <v>0</v>
      </c>
      <c r="K111" s="154"/>
      <c r="L111" s="154"/>
      <c r="M111" s="154">
        <f>SUM(K102:L110)</f>
        <v>0</v>
      </c>
      <c r="N111" s="154"/>
      <c r="O111" s="154"/>
      <c r="P111" s="154">
        <f>SUM(N102:O110)</f>
        <v>0</v>
      </c>
    </row>
    <row r="112" spans="1:16" s="556" customFormat="1" ht="15" customHeight="1">
      <c r="A112" s="550"/>
      <c r="B112" s="550"/>
      <c r="C112" s="567"/>
      <c r="D112" s="552"/>
      <c r="E112" s="552"/>
      <c r="F112" s="553">
        <f t="shared" si="7"/>
        <v>0</v>
      </c>
      <c r="G112" s="554"/>
      <c r="H112" s="172"/>
      <c r="I112" s="172"/>
      <c r="J112" s="568"/>
      <c r="K112" s="153"/>
      <c r="L112" s="153"/>
      <c r="M112" s="153"/>
      <c r="N112" s="153"/>
      <c r="O112" s="153"/>
      <c r="P112" s="153"/>
    </row>
    <row r="113" spans="1:16" s="556" customFormat="1" ht="15" customHeight="1">
      <c r="A113" s="550" t="s">
        <v>1427</v>
      </c>
      <c r="B113" s="550"/>
      <c r="C113" s="559" t="s">
        <v>1354</v>
      </c>
      <c r="D113" s="552">
        <v>1</v>
      </c>
      <c r="E113" s="552"/>
      <c r="F113" s="553">
        <f t="shared" si="7"/>
        <v>1</v>
      </c>
      <c r="G113" s="554" t="s">
        <v>143</v>
      </c>
      <c r="H113" s="171"/>
      <c r="I113" s="171"/>
      <c r="J113" s="555"/>
      <c r="K113" s="153">
        <f>PRODUCT($E113*H113)</f>
        <v>0</v>
      </c>
      <c r="L113" s="153">
        <f>PRODUCT($E113*I113)</f>
        <v>0</v>
      </c>
      <c r="M113" s="153"/>
      <c r="N113" s="153">
        <f>PRODUCT($F113*H113)</f>
        <v>0</v>
      </c>
      <c r="O113" s="153">
        <f>PRODUCT($F113*I113)</f>
        <v>0</v>
      </c>
      <c r="P113" s="153"/>
    </row>
    <row r="114" spans="1:16" s="556" customFormat="1" ht="15" customHeight="1">
      <c r="A114" s="550"/>
      <c r="B114" s="550"/>
      <c r="C114" s="558" t="s">
        <v>1355</v>
      </c>
      <c r="D114" s="552"/>
      <c r="E114" s="552"/>
      <c r="F114" s="553">
        <f t="shared" si="7"/>
        <v>0</v>
      </c>
      <c r="G114" s="554"/>
      <c r="H114" s="172"/>
      <c r="I114" s="172"/>
      <c r="J114" s="555"/>
      <c r="K114" s="153"/>
      <c r="L114" s="153"/>
      <c r="M114" s="153"/>
      <c r="N114" s="153"/>
      <c r="O114" s="153"/>
      <c r="P114" s="153"/>
    </row>
    <row r="115" spans="1:16" s="556" customFormat="1" ht="15" customHeight="1">
      <c r="A115" s="550"/>
      <c r="B115" s="550"/>
      <c r="C115" s="558" t="s">
        <v>1356</v>
      </c>
      <c r="D115" s="552"/>
      <c r="E115" s="552"/>
      <c r="F115" s="553">
        <f t="shared" si="7"/>
        <v>0</v>
      </c>
      <c r="G115" s="554"/>
      <c r="H115" s="172"/>
      <c r="I115" s="172"/>
      <c r="J115" s="555"/>
      <c r="K115" s="153"/>
      <c r="L115" s="153"/>
      <c r="M115" s="153"/>
      <c r="N115" s="153"/>
      <c r="O115" s="153"/>
      <c r="P115" s="153"/>
    </row>
    <row r="116" spans="1:16" s="556" customFormat="1" ht="15" customHeight="1">
      <c r="A116" s="550"/>
      <c r="B116" s="550"/>
      <c r="C116" s="559" t="s">
        <v>1357</v>
      </c>
      <c r="D116" s="552">
        <v>1</v>
      </c>
      <c r="E116" s="552"/>
      <c r="F116" s="553">
        <f t="shared" si="7"/>
        <v>1</v>
      </c>
      <c r="G116" s="554" t="s">
        <v>143</v>
      </c>
      <c r="H116" s="171"/>
      <c r="I116" s="171"/>
      <c r="J116" s="555"/>
      <c r="K116" s="153">
        <f>PRODUCT($E116*H116)</f>
        <v>0</v>
      </c>
      <c r="L116" s="153">
        <f>PRODUCT($E116*I116)</f>
        <v>0</v>
      </c>
      <c r="M116" s="153"/>
      <c r="N116" s="153">
        <f>PRODUCT($F116*H116)</f>
        <v>0</v>
      </c>
      <c r="O116" s="153">
        <f>PRODUCT($F116*I116)</f>
        <v>0</v>
      </c>
      <c r="P116" s="153"/>
    </row>
    <row r="117" spans="1:16" s="542" customFormat="1" ht="15" customHeight="1">
      <c r="A117" s="560"/>
      <c r="B117" s="560"/>
      <c r="C117" s="561" t="s">
        <v>1358</v>
      </c>
      <c r="D117" s="562"/>
      <c r="E117" s="562"/>
      <c r="F117" s="563">
        <f t="shared" si="7"/>
        <v>0</v>
      </c>
      <c r="G117" s="564"/>
      <c r="H117" s="173"/>
      <c r="I117" s="173"/>
      <c r="J117" s="566">
        <f>SUM(H113:I116)</f>
        <v>0</v>
      </c>
      <c r="K117" s="154"/>
      <c r="L117" s="154"/>
      <c r="M117" s="154">
        <f>SUM(K113:L116)</f>
        <v>0</v>
      </c>
      <c r="N117" s="154"/>
      <c r="O117" s="154"/>
      <c r="P117" s="154">
        <f>SUM(N113:O116)</f>
        <v>0</v>
      </c>
    </row>
    <row r="118" spans="1:16" s="556" customFormat="1" ht="15" customHeight="1">
      <c r="A118" s="550"/>
      <c r="B118" s="550"/>
      <c r="C118" s="567"/>
      <c r="D118" s="552"/>
      <c r="E118" s="552"/>
      <c r="F118" s="553">
        <f t="shared" si="7"/>
        <v>0</v>
      </c>
      <c r="G118" s="554"/>
      <c r="H118" s="172"/>
      <c r="I118" s="172"/>
      <c r="J118" s="568"/>
      <c r="K118" s="153"/>
      <c r="L118" s="153"/>
      <c r="M118" s="153"/>
      <c r="N118" s="153"/>
      <c r="O118" s="153"/>
      <c r="P118" s="153"/>
    </row>
    <row r="119" spans="1:16" s="556" customFormat="1" ht="15" customHeight="1">
      <c r="A119" s="591" t="s">
        <v>1428</v>
      </c>
      <c r="B119" s="591"/>
      <c r="C119" s="559" t="s">
        <v>1366</v>
      </c>
      <c r="D119" s="569">
        <v>1</v>
      </c>
      <c r="E119" s="569"/>
      <c r="F119" s="592">
        <f t="shared" si="7"/>
        <v>1</v>
      </c>
      <c r="G119" s="554" t="s">
        <v>143</v>
      </c>
      <c r="H119" s="171"/>
      <c r="I119" s="171"/>
      <c r="J119" s="555"/>
      <c r="K119" s="153">
        <f>PRODUCT($E119*H119)</f>
        <v>0</v>
      </c>
      <c r="L119" s="153">
        <f>PRODUCT($E119*I119)</f>
        <v>0</v>
      </c>
      <c r="M119" s="153"/>
      <c r="N119" s="153">
        <f>PRODUCT($F119*H119)</f>
        <v>0</v>
      </c>
      <c r="O119" s="153">
        <f>PRODUCT($F119*I119)</f>
        <v>0</v>
      </c>
      <c r="P119" s="153"/>
    </row>
    <row r="120" spans="1:16" s="556" customFormat="1" ht="15" customHeight="1">
      <c r="A120" s="550"/>
      <c r="B120" s="550"/>
      <c r="C120" s="559" t="s">
        <v>1367</v>
      </c>
      <c r="D120" s="552">
        <v>1</v>
      </c>
      <c r="E120" s="552"/>
      <c r="F120" s="553">
        <f t="shared" si="7"/>
        <v>1</v>
      </c>
      <c r="G120" s="554" t="s">
        <v>143</v>
      </c>
      <c r="H120" s="171"/>
      <c r="I120" s="171"/>
      <c r="J120" s="555"/>
      <c r="K120" s="153">
        <f>PRODUCT($E120*H120)</f>
        <v>0</v>
      </c>
      <c r="L120" s="153">
        <f>PRODUCT($E120*I120)</f>
        <v>0</v>
      </c>
      <c r="M120" s="153"/>
      <c r="N120" s="153">
        <f>PRODUCT($F120*H120)</f>
        <v>0</v>
      </c>
      <c r="O120" s="153">
        <f>PRODUCT($F120*I120)</f>
        <v>0</v>
      </c>
      <c r="P120" s="153"/>
    </row>
    <row r="121" spans="1:16" s="542" customFormat="1" ht="15" customHeight="1">
      <c r="A121" s="593"/>
      <c r="B121" s="593"/>
      <c r="C121" s="561" t="s">
        <v>1368</v>
      </c>
      <c r="D121" s="594"/>
      <c r="E121" s="594"/>
      <c r="F121" s="595">
        <f t="shared" si="7"/>
        <v>0</v>
      </c>
      <c r="G121" s="564"/>
      <c r="H121" s="177"/>
      <c r="I121" s="173"/>
      <c r="J121" s="566">
        <f>SUM(H119:I120)</f>
        <v>0</v>
      </c>
      <c r="K121" s="154"/>
      <c r="L121" s="154"/>
      <c r="M121" s="154">
        <f>SUM(K119:L120)</f>
        <v>0</v>
      </c>
      <c r="N121" s="154"/>
      <c r="O121" s="154"/>
      <c r="P121" s="154">
        <f>SUM(N119:O120)</f>
        <v>0</v>
      </c>
    </row>
    <row r="122" spans="1:16" s="556" customFormat="1" ht="15" customHeight="1">
      <c r="A122" s="550"/>
      <c r="B122" s="550"/>
      <c r="C122" s="567"/>
      <c r="D122" s="552"/>
      <c r="E122" s="552"/>
      <c r="F122" s="553">
        <f t="shared" si="7"/>
        <v>0</v>
      </c>
      <c r="G122" s="554"/>
      <c r="H122" s="172"/>
      <c r="I122" s="172"/>
      <c r="J122" s="568"/>
      <c r="K122" s="153"/>
      <c r="L122" s="153"/>
      <c r="M122" s="153"/>
      <c r="N122" s="153"/>
      <c r="O122" s="153"/>
      <c r="P122" s="153"/>
    </row>
    <row r="123" spans="1:16" s="556" customFormat="1" ht="15" customHeight="1">
      <c r="A123" s="550" t="s">
        <v>1429</v>
      </c>
      <c r="B123" s="550"/>
      <c r="C123" s="559" t="s">
        <v>1430</v>
      </c>
      <c r="D123" s="552">
        <v>2</v>
      </c>
      <c r="E123" s="552"/>
      <c r="F123" s="553">
        <f t="shared" si="7"/>
        <v>2</v>
      </c>
      <c r="G123" s="554" t="s">
        <v>143</v>
      </c>
      <c r="H123" s="171"/>
      <c r="I123" s="171"/>
      <c r="J123" s="555"/>
      <c r="K123" s="153">
        <f>PRODUCT($E123*H123)</f>
        <v>0</v>
      </c>
      <c r="L123" s="153">
        <f>PRODUCT($E123*I123)</f>
        <v>0</v>
      </c>
      <c r="M123" s="153"/>
      <c r="N123" s="153">
        <f>PRODUCT($F123*H123)</f>
        <v>0</v>
      </c>
      <c r="O123" s="153">
        <f>PRODUCT($F123*I123)</f>
        <v>0</v>
      </c>
      <c r="P123" s="153"/>
    </row>
    <row r="124" spans="1:16" s="556" customFormat="1" ht="15" customHeight="1">
      <c r="A124" s="550"/>
      <c r="B124" s="569" t="s">
        <v>1373</v>
      </c>
      <c r="C124" s="559" t="s">
        <v>1431</v>
      </c>
      <c r="D124" s="552">
        <f>SUM(D123:D123)</f>
        <v>2</v>
      </c>
      <c r="E124" s="552"/>
      <c r="F124" s="553">
        <f t="shared" si="7"/>
        <v>2</v>
      </c>
      <c r="G124" s="554" t="s">
        <v>143</v>
      </c>
      <c r="H124" s="171"/>
      <c r="I124" s="171"/>
      <c r="J124" s="555"/>
      <c r="K124" s="153">
        <f>PRODUCT($E124*H124)</f>
        <v>0</v>
      </c>
      <c r="L124" s="153">
        <f>PRODUCT($E124*I124)</f>
        <v>0</v>
      </c>
      <c r="M124" s="153"/>
      <c r="N124" s="153">
        <f>PRODUCT($F124*H124)</f>
        <v>0</v>
      </c>
      <c r="O124" s="153">
        <f>PRODUCT($F124*I124)</f>
        <v>0</v>
      </c>
      <c r="P124" s="153"/>
    </row>
    <row r="125" spans="1:16" s="556" customFormat="1" ht="15" customHeight="1">
      <c r="A125" s="570"/>
      <c r="B125" s="570"/>
      <c r="C125" s="561" t="s">
        <v>1432</v>
      </c>
      <c r="D125" s="572"/>
      <c r="E125" s="572"/>
      <c r="F125" s="573">
        <f t="shared" si="7"/>
        <v>0</v>
      </c>
      <c r="G125" s="574"/>
      <c r="H125" s="174"/>
      <c r="I125" s="174"/>
      <c r="J125" s="576">
        <f>SUM(H123:I124)</f>
        <v>0</v>
      </c>
      <c r="K125" s="155"/>
      <c r="L125" s="155"/>
      <c r="M125" s="155">
        <f>SUM(K123:L124)</f>
        <v>0</v>
      </c>
      <c r="N125" s="155"/>
      <c r="O125" s="155"/>
      <c r="P125" s="155">
        <f>SUM(N123:O124)</f>
        <v>0</v>
      </c>
    </row>
    <row r="126" spans="1:16" s="556" customFormat="1" ht="15" customHeight="1">
      <c r="A126" s="550"/>
      <c r="B126" s="550"/>
      <c r="C126" s="567"/>
      <c r="D126" s="552"/>
      <c r="E126" s="552"/>
      <c r="F126" s="553">
        <f t="shared" si="7"/>
        <v>0</v>
      </c>
      <c r="G126" s="554"/>
      <c r="H126" s="172"/>
      <c r="I126" s="172"/>
      <c r="J126" s="568"/>
      <c r="K126" s="153"/>
      <c r="L126" s="153"/>
      <c r="M126" s="153"/>
      <c r="N126" s="153"/>
      <c r="O126" s="153"/>
      <c r="P126" s="153"/>
    </row>
    <row r="127" spans="1:16" s="556" customFormat="1" ht="15" customHeight="1">
      <c r="A127" s="550" t="s">
        <v>1433</v>
      </c>
      <c r="B127" s="550"/>
      <c r="C127" s="559" t="s">
        <v>1434</v>
      </c>
      <c r="D127" s="552">
        <v>4</v>
      </c>
      <c r="E127" s="552"/>
      <c r="F127" s="553">
        <f t="shared" si="7"/>
        <v>4</v>
      </c>
      <c r="G127" s="554" t="s">
        <v>143</v>
      </c>
      <c r="H127" s="171"/>
      <c r="I127" s="171"/>
      <c r="J127" s="555"/>
      <c r="K127" s="153">
        <f>PRODUCT($E127*H127)</f>
        <v>0</v>
      </c>
      <c r="L127" s="153">
        <f>PRODUCT($E127*I127)</f>
        <v>0</v>
      </c>
      <c r="M127" s="153"/>
      <c r="N127" s="153">
        <f>PRODUCT($F127*H127)</f>
        <v>0</v>
      </c>
      <c r="O127" s="153">
        <f>PRODUCT($F127*I127)</f>
        <v>0</v>
      </c>
      <c r="P127" s="153"/>
    </row>
    <row r="128" spans="1:16" s="556" customFormat="1" ht="15" customHeight="1">
      <c r="A128" s="550"/>
      <c r="B128" s="550" t="s">
        <v>1378</v>
      </c>
      <c r="C128" s="559" t="s">
        <v>1379</v>
      </c>
      <c r="D128" s="552">
        <v>4</v>
      </c>
      <c r="E128" s="552"/>
      <c r="F128" s="553">
        <f t="shared" si="7"/>
        <v>4</v>
      </c>
      <c r="G128" s="554" t="s">
        <v>143</v>
      </c>
      <c r="H128" s="171"/>
      <c r="I128" s="171"/>
      <c r="J128" s="555"/>
      <c r="K128" s="153">
        <f>PRODUCT($E128*H128)</f>
        <v>0</v>
      </c>
      <c r="L128" s="153">
        <f>PRODUCT($E128*I128)</f>
        <v>0</v>
      </c>
      <c r="M128" s="153"/>
      <c r="N128" s="153">
        <f>PRODUCT($F128*H128)</f>
        <v>0</v>
      </c>
      <c r="O128" s="153">
        <f>PRODUCT($F128*I128)</f>
        <v>0</v>
      </c>
      <c r="P128" s="153"/>
    </row>
    <row r="129" spans="1:16" s="542" customFormat="1" ht="15" customHeight="1">
      <c r="A129" s="560"/>
      <c r="B129" s="560"/>
      <c r="C129" s="561" t="s">
        <v>1385</v>
      </c>
      <c r="D129" s="562"/>
      <c r="E129" s="562"/>
      <c r="F129" s="563">
        <f t="shared" si="7"/>
        <v>0</v>
      </c>
      <c r="G129" s="564"/>
      <c r="H129" s="173"/>
      <c r="I129" s="173"/>
      <c r="J129" s="566">
        <f>SUM(H127:I128)</f>
        <v>0</v>
      </c>
      <c r="K129" s="154"/>
      <c r="L129" s="154"/>
      <c r="M129" s="154">
        <f>SUM(K127:L128)</f>
        <v>0</v>
      </c>
      <c r="N129" s="154"/>
      <c r="O129" s="154"/>
      <c r="P129" s="154">
        <f>SUM(N127:O128)</f>
        <v>0</v>
      </c>
    </row>
    <row r="130" spans="1:16" s="556" customFormat="1" ht="15" customHeight="1">
      <c r="A130" s="550"/>
      <c r="B130" s="550"/>
      <c r="C130" s="567"/>
      <c r="D130" s="552"/>
      <c r="E130" s="552"/>
      <c r="F130" s="553">
        <f t="shared" si="7"/>
        <v>0</v>
      </c>
      <c r="G130" s="554"/>
      <c r="H130" s="172"/>
      <c r="I130" s="172"/>
      <c r="J130" s="568"/>
      <c r="K130" s="153"/>
      <c r="L130" s="153"/>
      <c r="M130" s="153"/>
      <c r="N130" s="153"/>
      <c r="O130" s="153"/>
      <c r="P130" s="153"/>
    </row>
    <row r="131" spans="1:16" s="556" customFormat="1" ht="15" customHeight="1">
      <c r="A131" s="550"/>
      <c r="B131" s="550"/>
      <c r="C131" s="567"/>
      <c r="D131" s="552"/>
      <c r="E131" s="552"/>
      <c r="F131" s="553">
        <f t="shared" si="7"/>
        <v>0</v>
      </c>
      <c r="G131" s="554"/>
      <c r="H131" s="172"/>
      <c r="I131" s="172"/>
      <c r="J131" s="568"/>
      <c r="K131" s="153"/>
      <c r="L131" s="153"/>
      <c r="M131" s="153"/>
      <c r="N131" s="153"/>
      <c r="O131" s="153"/>
      <c r="P131" s="153"/>
    </row>
    <row r="132" spans="1:16" s="556" customFormat="1" ht="15" customHeight="1">
      <c r="A132" s="550" t="s">
        <v>1435</v>
      </c>
      <c r="B132" s="550"/>
      <c r="C132" s="559" t="s">
        <v>1436</v>
      </c>
      <c r="D132" s="552">
        <v>2</v>
      </c>
      <c r="E132" s="552"/>
      <c r="F132" s="553">
        <f t="shared" si="7"/>
        <v>2</v>
      </c>
      <c r="G132" s="554" t="s">
        <v>143</v>
      </c>
      <c r="H132" s="171"/>
      <c r="I132" s="171"/>
      <c r="J132" s="555"/>
      <c r="K132" s="153">
        <f t="shared" ref="K132:L134" si="12">PRODUCT($E132*H132)</f>
        <v>0</v>
      </c>
      <c r="L132" s="153">
        <f t="shared" si="12"/>
        <v>0</v>
      </c>
      <c r="M132" s="153"/>
      <c r="N132" s="153">
        <f t="shared" ref="N132:O134" si="13">PRODUCT($F132*H132)</f>
        <v>0</v>
      </c>
      <c r="O132" s="153">
        <f t="shared" si="13"/>
        <v>0</v>
      </c>
      <c r="P132" s="153"/>
    </row>
    <row r="133" spans="1:16" s="556" customFormat="1" ht="15" customHeight="1">
      <c r="A133" s="550" t="s">
        <v>1437</v>
      </c>
      <c r="B133" s="550"/>
      <c r="C133" s="559" t="s">
        <v>1438</v>
      </c>
      <c r="D133" s="552">
        <v>3</v>
      </c>
      <c r="E133" s="552"/>
      <c r="F133" s="553">
        <f t="shared" si="7"/>
        <v>3</v>
      </c>
      <c r="G133" s="554" t="s">
        <v>143</v>
      </c>
      <c r="H133" s="171"/>
      <c r="I133" s="171"/>
      <c r="J133" s="555"/>
      <c r="K133" s="153">
        <f t="shared" si="12"/>
        <v>0</v>
      </c>
      <c r="L133" s="153">
        <f t="shared" si="12"/>
        <v>0</v>
      </c>
      <c r="M133" s="153"/>
      <c r="N133" s="153">
        <f t="shared" si="13"/>
        <v>0</v>
      </c>
      <c r="O133" s="153">
        <f t="shared" si="13"/>
        <v>0</v>
      </c>
      <c r="P133" s="153"/>
    </row>
    <row r="134" spans="1:16" s="556" customFormat="1" ht="15" customHeight="1">
      <c r="A134" s="550"/>
      <c r="B134" s="550" t="s">
        <v>1383</v>
      </c>
      <c r="C134" s="559" t="s">
        <v>1439</v>
      </c>
      <c r="D134" s="552">
        <f>SUM(D132:D133)</f>
        <v>5</v>
      </c>
      <c r="E134" s="552"/>
      <c r="F134" s="553">
        <f t="shared" si="7"/>
        <v>5</v>
      </c>
      <c r="G134" s="554" t="s">
        <v>143</v>
      </c>
      <c r="H134" s="171"/>
      <c r="I134" s="171"/>
      <c r="J134" s="555"/>
      <c r="K134" s="153">
        <f t="shared" si="12"/>
        <v>0</v>
      </c>
      <c r="L134" s="153">
        <f t="shared" si="12"/>
        <v>0</v>
      </c>
      <c r="M134" s="153"/>
      <c r="N134" s="153">
        <f t="shared" si="13"/>
        <v>0</v>
      </c>
      <c r="O134" s="153">
        <f t="shared" si="13"/>
        <v>0</v>
      </c>
      <c r="P134" s="153"/>
    </row>
    <row r="135" spans="1:16" s="542" customFormat="1" ht="15" customHeight="1">
      <c r="A135" s="560"/>
      <c r="B135" s="560"/>
      <c r="C135" s="561" t="s">
        <v>1385</v>
      </c>
      <c r="D135" s="562"/>
      <c r="E135" s="562"/>
      <c r="F135" s="563">
        <f t="shared" si="7"/>
        <v>0</v>
      </c>
      <c r="G135" s="564"/>
      <c r="H135" s="173"/>
      <c r="I135" s="173"/>
      <c r="J135" s="566">
        <f>SUM(H132:I134)</f>
        <v>0</v>
      </c>
      <c r="K135" s="154"/>
      <c r="L135" s="154"/>
      <c r="M135" s="154">
        <f>SUM(K132:L134)</f>
        <v>0</v>
      </c>
      <c r="N135" s="154"/>
      <c r="O135" s="154"/>
      <c r="P135" s="154">
        <f>SUM(N132:O134)</f>
        <v>0</v>
      </c>
    </row>
    <row r="136" spans="1:16" s="556" customFormat="1" ht="15" customHeight="1">
      <c r="A136" s="550"/>
      <c r="B136" s="550"/>
      <c r="C136" s="559"/>
      <c r="D136" s="552"/>
      <c r="E136" s="552"/>
      <c r="F136" s="553">
        <f t="shared" si="7"/>
        <v>0</v>
      </c>
      <c r="G136" s="554"/>
      <c r="H136" s="172"/>
      <c r="I136" s="172"/>
      <c r="J136" s="555"/>
      <c r="K136" s="153"/>
      <c r="L136" s="153"/>
      <c r="M136" s="153"/>
      <c r="N136" s="153"/>
      <c r="O136" s="153"/>
      <c r="P136" s="153"/>
    </row>
    <row r="137" spans="1:16" s="556" customFormat="1" ht="15" customHeight="1">
      <c r="A137" s="550" t="s">
        <v>1440</v>
      </c>
      <c r="B137" s="550"/>
      <c r="C137" s="559" t="s">
        <v>1441</v>
      </c>
      <c r="D137" s="552">
        <v>2</v>
      </c>
      <c r="E137" s="552"/>
      <c r="F137" s="553">
        <f t="shared" si="7"/>
        <v>2</v>
      </c>
      <c r="G137" s="554" t="s">
        <v>143</v>
      </c>
      <c r="H137" s="171"/>
      <c r="I137" s="171"/>
      <c r="J137" s="555"/>
      <c r="K137" s="153">
        <f>PRODUCT($E137*H137)</f>
        <v>0</v>
      </c>
      <c r="L137" s="153">
        <f>PRODUCT($E137*I137)</f>
        <v>0</v>
      </c>
      <c r="M137" s="153"/>
      <c r="N137" s="153">
        <f>PRODUCT($F137*H137)</f>
        <v>0</v>
      </c>
      <c r="O137" s="153">
        <f>PRODUCT($F137*I137)</f>
        <v>0</v>
      </c>
      <c r="P137" s="153"/>
    </row>
    <row r="138" spans="1:16" s="556" customFormat="1" ht="15" customHeight="1">
      <c r="A138" s="550"/>
      <c r="B138" s="550" t="s">
        <v>1383</v>
      </c>
      <c r="C138" s="559" t="s">
        <v>1442</v>
      </c>
      <c r="D138" s="552">
        <v>2</v>
      </c>
      <c r="E138" s="552"/>
      <c r="F138" s="553">
        <f t="shared" si="7"/>
        <v>2</v>
      </c>
      <c r="G138" s="554" t="s">
        <v>143</v>
      </c>
      <c r="H138" s="171"/>
      <c r="I138" s="171"/>
      <c r="J138" s="555"/>
      <c r="K138" s="153">
        <f>PRODUCT($E138*H138)</f>
        <v>0</v>
      </c>
      <c r="L138" s="153">
        <f>PRODUCT($E138*I138)</f>
        <v>0</v>
      </c>
      <c r="M138" s="153"/>
      <c r="N138" s="153">
        <f>PRODUCT($F138*H138)</f>
        <v>0</v>
      </c>
      <c r="O138" s="153">
        <f>PRODUCT($F138*I138)</f>
        <v>0</v>
      </c>
      <c r="P138" s="153"/>
    </row>
    <row r="139" spans="1:16" s="542" customFormat="1" ht="15" customHeight="1">
      <c r="A139" s="560"/>
      <c r="B139" s="560"/>
      <c r="C139" s="561" t="s">
        <v>1443</v>
      </c>
      <c r="D139" s="562"/>
      <c r="E139" s="562"/>
      <c r="F139" s="563">
        <f t="shared" si="7"/>
        <v>0</v>
      </c>
      <c r="G139" s="564"/>
      <c r="H139" s="173"/>
      <c r="I139" s="173"/>
      <c r="J139" s="566">
        <f>SUM(H137:I138)</f>
        <v>0</v>
      </c>
      <c r="K139" s="154"/>
      <c r="L139" s="154"/>
      <c r="M139" s="154">
        <f>SUM(K137:L138)</f>
        <v>0</v>
      </c>
      <c r="N139" s="154"/>
      <c r="O139" s="154"/>
      <c r="P139" s="154">
        <f>SUM(N137:O138)</f>
        <v>0</v>
      </c>
    </row>
    <row r="140" spans="1:16" s="556" customFormat="1" ht="15" customHeight="1">
      <c r="A140" s="550"/>
      <c r="B140" s="550"/>
      <c r="C140" s="567"/>
      <c r="D140" s="552"/>
      <c r="E140" s="552"/>
      <c r="F140" s="553">
        <f t="shared" si="7"/>
        <v>0</v>
      </c>
      <c r="G140" s="554"/>
      <c r="H140" s="172"/>
      <c r="I140" s="172"/>
      <c r="J140" s="568"/>
      <c r="K140" s="153"/>
      <c r="L140" s="153"/>
      <c r="M140" s="153"/>
      <c r="N140" s="153"/>
      <c r="O140" s="153"/>
      <c r="P140" s="153"/>
    </row>
    <row r="141" spans="1:16" s="556" customFormat="1" ht="15" customHeight="1">
      <c r="A141" s="577"/>
      <c r="B141" s="550"/>
      <c r="C141" s="578" t="s">
        <v>1444</v>
      </c>
      <c r="D141" s="552">
        <v>5</v>
      </c>
      <c r="E141" s="552"/>
      <c r="F141" s="553">
        <f t="shared" si="7"/>
        <v>5</v>
      </c>
      <c r="G141" s="569" t="s">
        <v>68</v>
      </c>
      <c r="H141" s="171"/>
      <c r="I141" s="171"/>
      <c r="J141" s="568"/>
      <c r="K141" s="153">
        <f t="shared" ref="K141:L144" si="14">PRODUCT($E141*H141)</f>
        <v>0</v>
      </c>
      <c r="L141" s="153">
        <f t="shared" si="14"/>
        <v>0</v>
      </c>
      <c r="M141" s="153"/>
      <c r="N141" s="153">
        <f t="shared" ref="N141:O144" si="15">PRODUCT($F141*H141)</f>
        <v>0</v>
      </c>
      <c r="O141" s="153">
        <f t="shared" si="15"/>
        <v>0</v>
      </c>
      <c r="P141" s="153"/>
    </row>
    <row r="142" spans="1:16" s="556" customFormat="1" ht="15" customHeight="1">
      <c r="A142" s="577"/>
      <c r="B142" s="550"/>
      <c r="C142" s="578" t="s">
        <v>1445</v>
      </c>
      <c r="D142" s="552">
        <v>10</v>
      </c>
      <c r="E142" s="552"/>
      <c r="F142" s="553">
        <f t="shared" ref="F142:F205" si="16">D142-E142</f>
        <v>10</v>
      </c>
      <c r="G142" s="569" t="s">
        <v>68</v>
      </c>
      <c r="H142" s="171"/>
      <c r="I142" s="171"/>
      <c r="J142" s="568"/>
      <c r="K142" s="153">
        <f t="shared" si="14"/>
        <v>0</v>
      </c>
      <c r="L142" s="153">
        <f t="shared" si="14"/>
        <v>0</v>
      </c>
      <c r="M142" s="153"/>
      <c r="N142" s="153">
        <f t="shared" si="15"/>
        <v>0</v>
      </c>
      <c r="O142" s="153">
        <f t="shared" si="15"/>
        <v>0</v>
      </c>
      <c r="P142" s="153"/>
    </row>
    <row r="143" spans="1:16" s="556" customFormat="1" ht="15" customHeight="1">
      <c r="A143" s="577"/>
      <c r="B143" s="550"/>
      <c r="C143" s="578" t="s">
        <v>1446</v>
      </c>
      <c r="D143" s="552">
        <v>1</v>
      </c>
      <c r="E143" s="552"/>
      <c r="F143" s="553">
        <f t="shared" si="16"/>
        <v>1</v>
      </c>
      <c r="G143" s="569" t="s">
        <v>68</v>
      </c>
      <c r="H143" s="171"/>
      <c r="I143" s="171"/>
      <c r="J143" s="568"/>
      <c r="K143" s="153">
        <f t="shared" si="14"/>
        <v>0</v>
      </c>
      <c r="L143" s="153">
        <f t="shared" si="14"/>
        <v>0</v>
      </c>
      <c r="M143" s="153"/>
      <c r="N143" s="153">
        <f t="shared" si="15"/>
        <v>0</v>
      </c>
      <c r="O143" s="153">
        <f t="shared" si="15"/>
        <v>0</v>
      </c>
      <c r="P143" s="153"/>
    </row>
    <row r="144" spans="1:16" s="556" customFormat="1" ht="15" customHeight="1">
      <c r="A144" s="550"/>
      <c r="B144" s="579" t="s">
        <v>1402</v>
      </c>
      <c r="C144" s="578" t="s">
        <v>1403</v>
      </c>
      <c r="D144" s="552">
        <f>SUM(D141:D143)</f>
        <v>16</v>
      </c>
      <c r="E144" s="552"/>
      <c r="F144" s="553">
        <f t="shared" si="16"/>
        <v>16</v>
      </c>
      <c r="G144" s="569" t="s">
        <v>68</v>
      </c>
      <c r="H144" s="171"/>
      <c r="I144" s="171"/>
      <c r="J144" s="568"/>
      <c r="K144" s="153">
        <f t="shared" si="14"/>
        <v>0</v>
      </c>
      <c r="L144" s="153">
        <f t="shared" si="14"/>
        <v>0</v>
      </c>
      <c r="M144" s="153"/>
      <c r="N144" s="153">
        <f t="shared" si="15"/>
        <v>0</v>
      </c>
      <c r="O144" s="153">
        <f t="shared" si="15"/>
        <v>0</v>
      </c>
      <c r="P144" s="153"/>
    </row>
    <row r="145" spans="1:16" s="542" customFormat="1" ht="15" customHeight="1">
      <c r="A145" s="560"/>
      <c r="B145" s="560"/>
      <c r="C145" s="561" t="s">
        <v>1404</v>
      </c>
      <c r="D145" s="562"/>
      <c r="E145" s="562"/>
      <c r="F145" s="563">
        <f t="shared" si="16"/>
        <v>0</v>
      </c>
      <c r="G145" s="564"/>
      <c r="H145" s="173"/>
      <c r="I145" s="173"/>
      <c r="J145" s="566">
        <f>SUM(H141:I144)</f>
        <v>0</v>
      </c>
      <c r="K145" s="154"/>
      <c r="L145" s="154"/>
      <c r="M145" s="154">
        <f>SUM(K141:L144)</f>
        <v>0</v>
      </c>
      <c r="N145" s="154"/>
      <c r="O145" s="154"/>
      <c r="P145" s="154">
        <f>SUM(N141:O144)</f>
        <v>0</v>
      </c>
    </row>
    <row r="146" spans="1:16" s="556" customFormat="1" ht="15" customHeight="1">
      <c r="A146" s="550"/>
      <c r="B146" s="550"/>
      <c r="C146" s="567"/>
      <c r="D146" s="552"/>
      <c r="E146" s="552"/>
      <c r="F146" s="553">
        <f t="shared" si="16"/>
        <v>0</v>
      </c>
      <c r="G146" s="554"/>
      <c r="H146" s="172"/>
      <c r="I146" s="172"/>
      <c r="J146" s="568"/>
      <c r="K146" s="153"/>
      <c r="L146" s="153"/>
      <c r="M146" s="153"/>
      <c r="N146" s="153"/>
      <c r="O146" s="153"/>
      <c r="P146" s="153"/>
    </row>
    <row r="147" spans="1:16" s="542" customFormat="1" ht="15" customHeight="1">
      <c r="A147" s="580"/>
      <c r="B147" s="581"/>
      <c r="C147" s="582" t="s">
        <v>1447</v>
      </c>
      <c r="D147" s="583">
        <v>10</v>
      </c>
      <c r="E147" s="583"/>
      <c r="F147" s="584">
        <f t="shared" si="16"/>
        <v>10</v>
      </c>
      <c r="G147" s="579" t="s">
        <v>1414</v>
      </c>
      <c r="H147" s="171"/>
      <c r="I147" s="176"/>
      <c r="J147" s="585"/>
      <c r="K147" s="153">
        <f>PRODUCT($E147*H147)</f>
        <v>0</v>
      </c>
      <c r="L147" s="153">
        <f>PRODUCT($E147*I147)</f>
        <v>0</v>
      </c>
      <c r="M147" s="157"/>
      <c r="N147" s="153">
        <f>PRODUCT($F147*H147)</f>
        <v>0</v>
      </c>
      <c r="O147" s="153">
        <f>PRODUCT($F147*I147)</f>
        <v>0</v>
      </c>
      <c r="P147" s="157"/>
    </row>
    <row r="148" spans="1:16" s="542" customFormat="1" ht="15" customHeight="1">
      <c r="A148" s="586"/>
      <c r="B148" s="581"/>
      <c r="C148" s="587" t="s">
        <v>1415</v>
      </c>
      <c r="D148" s="583">
        <v>10</v>
      </c>
      <c r="E148" s="583"/>
      <c r="F148" s="584">
        <f t="shared" si="16"/>
        <v>10</v>
      </c>
      <c r="G148" s="579" t="s">
        <v>1414</v>
      </c>
      <c r="H148" s="175"/>
      <c r="I148" s="171"/>
      <c r="J148" s="588"/>
      <c r="K148" s="153">
        <f>PRODUCT($E148*H148)</f>
        <v>0</v>
      </c>
      <c r="L148" s="153">
        <f>PRODUCT($E148*I148)</f>
        <v>0</v>
      </c>
      <c r="M148" s="156"/>
      <c r="N148" s="153">
        <f>PRODUCT($F148*H148)</f>
        <v>0</v>
      </c>
      <c r="O148" s="153">
        <f>PRODUCT($F148*I148)</f>
        <v>0</v>
      </c>
      <c r="P148" s="156"/>
    </row>
    <row r="149" spans="1:16" s="542" customFormat="1" ht="15" customHeight="1">
      <c r="A149" s="560"/>
      <c r="B149" s="560"/>
      <c r="C149" s="561" t="s">
        <v>1448</v>
      </c>
      <c r="D149" s="562"/>
      <c r="E149" s="562"/>
      <c r="F149" s="563">
        <f t="shared" si="16"/>
        <v>0</v>
      </c>
      <c r="G149" s="564"/>
      <c r="H149" s="565"/>
      <c r="I149" s="565"/>
      <c r="J149" s="566">
        <f>SUM(H147:I148)</f>
        <v>0</v>
      </c>
      <c r="K149" s="154"/>
      <c r="L149" s="154"/>
      <c r="M149" s="154">
        <f>SUM(K147:L148)</f>
        <v>0</v>
      </c>
      <c r="N149" s="154"/>
      <c r="O149" s="154"/>
      <c r="P149" s="154">
        <f>SUM(N147:O148)</f>
        <v>0</v>
      </c>
    </row>
    <row r="150" spans="1:16" s="556" customFormat="1" ht="15" customHeight="1">
      <c r="A150" s="550"/>
      <c r="B150" s="550"/>
      <c r="C150" s="567"/>
      <c r="D150" s="552"/>
      <c r="E150" s="552"/>
      <c r="F150" s="553">
        <f t="shared" si="16"/>
        <v>0</v>
      </c>
      <c r="G150" s="554"/>
      <c r="H150" s="557"/>
      <c r="I150" s="557"/>
      <c r="J150" s="568"/>
      <c r="K150" s="153"/>
      <c r="L150" s="153"/>
      <c r="M150" s="153"/>
      <c r="N150" s="153"/>
      <c r="O150" s="153"/>
      <c r="P150" s="153"/>
    </row>
    <row r="151" spans="1:16" s="542" customFormat="1" ht="15" customHeight="1">
      <c r="A151" s="547" t="s">
        <v>1449</v>
      </c>
      <c r="B151" s="548"/>
      <c r="C151" s="549"/>
      <c r="D151" s="548"/>
      <c r="E151" s="548"/>
      <c r="F151" s="590">
        <f t="shared" si="16"/>
        <v>0</v>
      </c>
      <c r="G151" s="548"/>
      <c r="H151" s="151"/>
      <c r="I151" s="151"/>
      <c r="J151" s="548"/>
      <c r="K151" s="151"/>
      <c r="L151" s="151"/>
      <c r="M151" s="152"/>
      <c r="N151" s="151"/>
      <c r="O151" s="151"/>
      <c r="P151" s="152"/>
    </row>
    <row r="152" spans="1:16" s="556" customFormat="1" ht="15" customHeight="1">
      <c r="A152" s="550" t="s">
        <v>1450</v>
      </c>
      <c r="B152" s="550"/>
      <c r="C152" s="551" t="s">
        <v>1334</v>
      </c>
      <c r="D152" s="552">
        <v>1</v>
      </c>
      <c r="E152" s="552"/>
      <c r="F152" s="553">
        <f t="shared" si="16"/>
        <v>1</v>
      </c>
      <c r="G152" s="554" t="s">
        <v>143</v>
      </c>
      <c r="H152" s="596" t="s">
        <v>1451</v>
      </c>
      <c r="I152" s="596"/>
      <c r="J152" s="596"/>
      <c r="K152" s="596"/>
      <c r="L152" s="596"/>
      <c r="M152" s="153"/>
      <c r="N152" s="596"/>
      <c r="O152" s="596"/>
      <c r="P152" s="153"/>
    </row>
    <row r="153" spans="1:16" s="556" customFormat="1" ht="15" customHeight="1">
      <c r="A153" s="550"/>
      <c r="B153" s="550"/>
      <c r="C153" s="551" t="s">
        <v>1335</v>
      </c>
      <c r="D153" s="552"/>
      <c r="E153" s="552"/>
      <c r="F153" s="553">
        <f t="shared" si="16"/>
        <v>0</v>
      </c>
      <c r="G153" s="554"/>
      <c r="H153" s="557"/>
      <c r="I153" s="557"/>
      <c r="J153" s="555"/>
      <c r="K153" s="153"/>
      <c r="L153" s="153"/>
      <c r="M153" s="153"/>
      <c r="N153" s="153"/>
      <c r="O153" s="153"/>
      <c r="P153" s="153"/>
    </row>
    <row r="154" spans="1:16" s="556" customFormat="1" ht="15" customHeight="1">
      <c r="A154" s="550"/>
      <c r="B154" s="550"/>
      <c r="C154" s="551" t="s">
        <v>1336</v>
      </c>
      <c r="D154" s="552"/>
      <c r="E154" s="552"/>
      <c r="F154" s="553">
        <f t="shared" si="16"/>
        <v>0</v>
      </c>
      <c r="G154" s="554"/>
      <c r="H154" s="557"/>
      <c r="I154" s="557"/>
      <c r="J154" s="555"/>
      <c r="K154" s="153"/>
      <c r="L154" s="153"/>
      <c r="M154" s="153"/>
      <c r="N154" s="153"/>
      <c r="O154" s="153"/>
      <c r="P154" s="153"/>
    </row>
    <row r="155" spans="1:16" s="556" customFormat="1" ht="15" customHeight="1">
      <c r="A155" s="550"/>
      <c r="B155" s="550"/>
      <c r="C155" s="558" t="s">
        <v>1337</v>
      </c>
      <c r="D155" s="552"/>
      <c r="E155" s="552"/>
      <c r="F155" s="553">
        <f t="shared" si="16"/>
        <v>0</v>
      </c>
      <c r="G155" s="554"/>
      <c r="H155" s="557"/>
      <c r="I155" s="557"/>
      <c r="J155" s="555"/>
      <c r="K155" s="153"/>
      <c r="L155" s="153"/>
      <c r="M155" s="153"/>
      <c r="N155" s="153"/>
      <c r="O155" s="153"/>
      <c r="P155" s="153"/>
    </row>
    <row r="156" spans="1:16" s="556" customFormat="1" ht="15" customHeight="1">
      <c r="A156" s="550"/>
      <c r="B156" s="550"/>
      <c r="C156" s="558" t="s">
        <v>1338</v>
      </c>
      <c r="D156" s="552"/>
      <c r="E156" s="552"/>
      <c r="F156" s="553">
        <f t="shared" si="16"/>
        <v>0</v>
      </c>
      <c r="G156" s="554"/>
      <c r="H156" s="557"/>
      <c r="I156" s="557"/>
      <c r="J156" s="555"/>
      <c r="K156" s="153"/>
      <c r="L156" s="153"/>
      <c r="M156" s="153"/>
      <c r="N156" s="153"/>
      <c r="O156" s="153"/>
      <c r="P156" s="153"/>
    </row>
    <row r="157" spans="1:16" s="556" customFormat="1" ht="15" customHeight="1">
      <c r="A157" s="550"/>
      <c r="B157" s="550"/>
      <c r="C157" s="558" t="s">
        <v>1339</v>
      </c>
      <c r="D157" s="552"/>
      <c r="E157" s="552"/>
      <c r="F157" s="553">
        <f t="shared" si="16"/>
        <v>0</v>
      </c>
      <c r="G157" s="554"/>
      <c r="H157" s="557"/>
      <c r="I157" s="557"/>
      <c r="J157" s="555"/>
      <c r="K157" s="153"/>
      <c r="L157" s="153"/>
      <c r="M157" s="153"/>
      <c r="N157" s="153"/>
      <c r="O157" s="153"/>
      <c r="P157" s="153"/>
    </row>
    <row r="158" spans="1:16" s="556" customFormat="1" ht="15" customHeight="1">
      <c r="A158" s="550"/>
      <c r="B158" s="550"/>
      <c r="C158" s="559" t="s">
        <v>1340</v>
      </c>
      <c r="D158" s="552"/>
      <c r="E158" s="552"/>
      <c r="F158" s="553">
        <f t="shared" si="16"/>
        <v>0</v>
      </c>
      <c r="G158" s="554"/>
      <c r="H158" s="557"/>
      <c r="I158" s="557"/>
      <c r="J158" s="555"/>
      <c r="K158" s="153"/>
      <c r="L158" s="153"/>
      <c r="M158" s="153"/>
      <c r="N158" s="153"/>
      <c r="O158" s="153"/>
      <c r="P158" s="153"/>
    </row>
    <row r="159" spans="1:16" s="556" customFormat="1" ht="15" customHeight="1">
      <c r="A159" s="550"/>
      <c r="B159" s="550"/>
      <c r="C159" s="559" t="s">
        <v>1341</v>
      </c>
      <c r="D159" s="552"/>
      <c r="E159" s="552"/>
      <c r="F159" s="553">
        <f t="shared" si="16"/>
        <v>0</v>
      </c>
      <c r="G159" s="554"/>
      <c r="H159" s="557"/>
      <c r="I159" s="557"/>
      <c r="J159" s="555"/>
      <c r="K159" s="153"/>
      <c r="L159" s="153"/>
      <c r="M159" s="153"/>
      <c r="N159" s="153"/>
      <c r="O159" s="153"/>
      <c r="P159" s="153"/>
    </row>
    <row r="160" spans="1:16" s="556" customFormat="1" ht="15" customHeight="1">
      <c r="A160" s="550"/>
      <c r="B160" s="550"/>
      <c r="C160" s="559" t="s">
        <v>1342</v>
      </c>
      <c r="D160" s="552"/>
      <c r="E160" s="552"/>
      <c r="F160" s="553">
        <f t="shared" si="16"/>
        <v>0</v>
      </c>
      <c r="G160" s="554"/>
      <c r="H160" s="557"/>
      <c r="I160" s="557"/>
      <c r="J160" s="555"/>
      <c r="K160" s="153"/>
      <c r="L160" s="153"/>
      <c r="M160" s="153"/>
      <c r="N160" s="153"/>
      <c r="O160" s="153"/>
      <c r="P160" s="153"/>
    </row>
    <row r="161" spans="1:16" s="556" customFormat="1" ht="15" customHeight="1">
      <c r="A161" s="550"/>
      <c r="B161" s="550"/>
      <c r="C161" s="559" t="s">
        <v>1343</v>
      </c>
      <c r="D161" s="552"/>
      <c r="E161" s="552"/>
      <c r="F161" s="553">
        <f t="shared" si="16"/>
        <v>0</v>
      </c>
      <c r="G161" s="554"/>
      <c r="H161" s="557"/>
      <c r="I161" s="557"/>
      <c r="J161" s="555"/>
      <c r="K161" s="153"/>
      <c r="L161" s="153"/>
      <c r="M161" s="153"/>
      <c r="N161" s="153"/>
      <c r="O161" s="153"/>
      <c r="P161" s="153"/>
    </row>
    <row r="162" spans="1:16" s="556" customFormat="1" ht="15" customHeight="1">
      <c r="A162" s="550"/>
      <c r="B162" s="550"/>
      <c r="C162" s="559" t="s">
        <v>1344</v>
      </c>
      <c r="D162" s="552"/>
      <c r="E162" s="552"/>
      <c r="F162" s="553">
        <f t="shared" si="16"/>
        <v>0</v>
      </c>
      <c r="G162" s="554"/>
      <c r="H162" s="557"/>
      <c r="I162" s="557"/>
      <c r="J162" s="555"/>
      <c r="K162" s="153"/>
      <c r="L162" s="153"/>
      <c r="M162" s="153"/>
      <c r="N162" s="153"/>
      <c r="O162" s="153"/>
      <c r="P162" s="153"/>
    </row>
    <row r="163" spans="1:16" s="556" customFormat="1" ht="15" customHeight="1">
      <c r="A163" s="550"/>
      <c r="B163" s="550"/>
      <c r="C163" s="558" t="s">
        <v>1345</v>
      </c>
      <c r="D163" s="552"/>
      <c r="E163" s="552"/>
      <c r="F163" s="553">
        <f t="shared" si="16"/>
        <v>0</v>
      </c>
      <c r="G163" s="554"/>
      <c r="H163" s="557"/>
      <c r="I163" s="557"/>
      <c r="J163" s="555"/>
      <c r="K163" s="153"/>
      <c r="L163" s="153"/>
      <c r="M163" s="153"/>
      <c r="N163" s="153"/>
      <c r="O163" s="153"/>
      <c r="P163" s="153"/>
    </row>
    <row r="164" spans="1:16" s="556" customFormat="1" ht="15" customHeight="1">
      <c r="A164" s="550"/>
      <c r="B164" s="550"/>
      <c r="C164" s="559" t="s">
        <v>1346</v>
      </c>
      <c r="D164" s="552"/>
      <c r="E164" s="552"/>
      <c r="F164" s="553">
        <f t="shared" si="16"/>
        <v>0</v>
      </c>
      <c r="G164" s="554"/>
      <c r="H164" s="557"/>
      <c r="I164" s="557"/>
      <c r="J164" s="555"/>
      <c r="K164" s="153"/>
      <c r="L164" s="153"/>
      <c r="M164" s="153"/>
      <c r="N164" s="153"/>
      <c r="O164" s="153"/>
      <c r="P164" s="153"/>
    </row>
    <row r="165" spans="1:16" s="556" customFormat="1" ht="15" customHeight="1">
      <c r="A165" s="550"/>
      <c r="B165" s="550"/>
      <c r="C165" s="559" t="s">
        <v>1347</v>
      </c>
      <c r="D165" s="552"/>
      <c r="E165" s="552"/>
      <c r="F165" s="553">
        <f t="shared" si="16"/>
        <v>0</v>
      </c>
      <c r="G165" s="554"/>
      <c r="H165" s="557"/>
      <c r="I165" s="557"/>
      <c r="J165" s="555"/>
      <c r="K165" s="153"/>
      <c r="L165" s="153"/>
      <c r="M165" s="153"/>
      <c r="N165" s="153"/>
      <c r="O165" s="153"/>
      <c r="P165" s="153"/>
    </row>
    <row r="166" spans="1:16" s="556" customFormat="1" ht="15" customHeight="1">
      <c r="A166" s="550"/>
      <c r="B166" s="550"/>
      <c r="C166" s="559" t="s">
        <v>1348</v>
      </c>
      <c r="D166" s="552"/>
      <c r="E166" s="552"/>
      <c r="F166" s="553">
        <f t="shared" si="16"/>
        <v>0</v>
      </c>
      <c r="G166" s="554"/>
      <c r="H166" s="557"/>
      <c r="I166" s="557"/>
      <c r="J166" s="555"/>
      <c r="K166" s="153"/>
      <c r="L166" s="153"/>
      <c r="M166" s="153"/>
      <c r="N166" s="153"/>
      <c r="O166" s="153"/>
      <c r="P166" s="153"/>
    </row>
    <row r="167" spans="1:16" s="556" customFormat="1" ht="15" customHeight="1">
      <c r="A167" s="550"/>
      <c r="B167" s="550"/>
      <c r="C167" s="559" t="s">
        <v>1349</v>
      </c>
      <c r="D167" s="552">
        <v>1</v>
      </c>
      <c r="E167" s="552"/>
      <c r="F167" s="553">
        <f t="shared" si="16"/>
        <v>1</v>
      </c>
      <c r="G167" s="554" t="s">
        <v>143</v>
      </c>
      <c r="H167" s="596" t="s">
        <v>1451</v>
      </c>
      <c r="I167" s="596"/>
      <c r="J167" s="596"/>
      <c r="K167" s="596"/>
      <c r="L167" s="596"/>
      <c r="M167" s="153"/>
      <c r="N167" s="596"/>
      <c r="O167" s="596"/>
      <c r="P167" s="153"/>
    </row>
    <row r="168" spans="1:16" s="556" customFormat="1" ht="15" customHeight="1">
      <c r="A168" s="550"/>
      <c r="B168" s="550" t="s">
        <v>1350</v>
      </c>
      <c r="C168" s="559" t="s">
        <v>1351</v>
      </c>
      <c r="D168" s="552">
        <v>1</v>
      </c>
      <c r="E168" s="552"/>
      <c r="F168" s="553">
        <f t="shared" si="16"/>
        <v>1</v>
      </c>
      <c r="G168" s="554" t="s">
        <v>143</v>
      </c>
      <c r="H168" s="596" t="s">
        <v>1451</v>
      </c>
      <c r="I168" s="596"/>
      <c r="J168" s="596"/>
      <c r="K168" s="596"/>
      <c r="L168" s="596"/>
      <c r="M168" s="153"/>
      <c r="N168" s="596"/>
      <c r="O168" s="596"/>
      <c r="P168" s="153"/>
    </row>
    <row r="169" spans="1:16" s="542" customFormat="1" ht="15" customHeight="1">
      <c r="A169" s="560"/>
      <c r="B169" s="560"/>
      <c r="C169" s="561" t="s">
        <v>1352</v>
      </c>
      <c r="D169" s="562"/>
      <c r="E169" s="562"/>
      <c r="F169" s="563">
        <f t="shared" si="16"/>
        <v>0</v>
      </c>
      <c r="G169" s="564"/>
      <c r="H169" s="565"/>
      <c r="I169" s="565"/>
      <c r="J169" s="566"/>
      <c r="K169" s="154"/>
      <c r="L169" s="154"/>
      <c r="M169" s="154"/>
      <c r="N169" s="154"/>
      <c r="O169" s="154"/>
      <c r="P169" s="154"/>
    </row>
    <row r="170" spans="1:16" s="556" customFormat="1" ht="15" customHeight="1">
      <c r="A170" s="550"/>
      <c r="B170" s="550"/>
      <c r="C170" s="567"/>
      <c r="D170" s="552"/>
      <c r="E170" s="552"/>
      <c r="F170" s="553">
        <f t="shared" si="16"/>
        <v>0</v>
      </c>
      <c r="G170" s="554"/>
      <c r="H170" s="557"/>
      <c r="I170" s="557"/>
      <c r="J170" s="568"/>
      <c r="K170" s="153"/>
      <c r="L170" s="153"/>
      <c r="M170" s="153"/>
      <c r="N170" s="153"/>
      <c r="O170" s="153"/>
      <c r="P170" s="153"/>
    </row>
    <row r="171" spans="1:16" s="556" customFormat="1" ht="15" customHeight="1">
      <c r="A171" s="550" t="s">
        <v>1452</v>
      </c>
      <c r="B171" s="550"/>
      <c r="C171" s="559" t="s">
        <v>1354</v>
      </c>
      <c r="D171" s="552">
        <v>1</v>
      </c>
      <c r="E171" s="552"/>
      <c r="F171" s="553">
        <f t="shared" si="16"/>
        <v>1</v>
      </c>
      <c r="G171" s="554" t="s">
        <v>143</v>
      </c>
      <c r="H171" s="596" t="s">
        <v>1451</v>
      </c>
      <c r="I171" s="596"/>
      <c r="J171" s="596"/>
      <c r="K171" s="596"/>
      <c r="L171" s="596"/>
      <c r="M171" s="153"/>
      <c r="N171" s="596"/>
      <c r="O171" s="596"/>
      <c r="P171" s="153"/>
    </row>
    <row r="172" spans="1:16" s="556" customFormat="1" ht="15" customHeight="1">
      <c r="A172" s="550"/>
      <c r="B172" s="550"/>
      <c r="C172" s="558" t="s">
        <v>1355</v>
      </c>
      <c r="D172" s="552"/>
      <c r="E172" s="552"/>
      <c r="F172" s="553">
        <f t="shared" si="16"/>
        <v>0</v>
      </c>
      <c r="G172" s="554"/>
      <c r="H172" s="557"/>
      <c r="I172" s="557"/>
      <c r="J172" s="555"/>
      <c r="K172" s="153"/>
      <c r="L172" s="153"/>
      <c r="M172" s="153"/>
      <c r="N172" s="153"/>
      <c r="O172" s="153"/>
      <c r="P172" s="153"/>
    </row>
    <row r="173" spans="1:16" s="556" customFormat="1" ht="15" customHeight="1">
      <c r="A173" s="550"/>
      <c r="B173" s="550"/>
      <c r="C173" s="558" t="s">
        <v>1356</v>
      </c>
      <c r="D173" s="552"/>
      <c r="E173" s="552"/>
      <c r="F173" s="553">
        <f t="shared" si="16"/>
        <v>0</v>
      </c>
      <c r="G173" s="554"/>
      <c r="H173" s="557"/>
      <c r="I173" s="557"/>
      <c r="J173" s="555"/>
      <c r="K173" s="153"/>
      <c r="L173" s="153"/>
      <c r="M173" s="153"/>
      <c r="N173" s="153"/>
      <c r="O173" s="153"/>
      <c r="P173" s="153"/>
    </row>
    <row r="174" spans="1:16" s="556" customFormat="1" ht="15" customHeight="1">
      <c r="A174" s="550"/>
      <c r="B174" s="550"/>
      <c r="C174" s="559" t="s">
        <v>1357</v>
      </c>
      <c r="D174" s="552">
        <v>1</v>
      </c>
      <c r="E174" s="552"/>
      <c r="F174" s="553">
        <f t="shared" si="16"/>
        <v>1</v>
      </c>
      <c r="G174" s="554" t="s">
        <v>143</v>
      </c>
      <c r="H174" s="596" t="s">
        <v>1451</v>
      </c>
      <c r="I174" s="596"/>
      <c r="J174" s="596"/>
      <c r="K174" s="596"/>
      <c r="L174" s="596"/>
      <c r="M174" s="153"/>
      <c r="N174" s="596"/>
      <c r="O174" s="596"/>
      <c r="P174" s="153"/>
    </row>
    <row r="175" spans="1:16" s="542" customFormat="1" ht="15" customHeight="1">
      <c r="A175" s="560"/>
      <c r="B175" s="560"/>
      <c r="C175" s="561" t="s">
        <v>1358</v>
      </c>
      <c r="D175" s="562"/>
      <c r="E175" s="562"/>
      <c r="F175" s="563">
        <f t="shared" si="16"/>
        <v>0</v>
      </c>
      <c r="G175" s="564"/>
      <c r="H175" s="565"/>
      <c r="I175" s="565"/>
      <c r="J175" s="566"/>
      <c r="K175" s="154"/>
      <c r="L175" s="154"/>
      <c r="M175" s="154"/>
      <c r="N175" s="154"/>
      <c r="O175" s="154"/>
      <c r="P175" s="154"/>
    </row>
    <row r="176" spans="1:16" s="556" customFormat="1" ht="15" customHeight="1">
      <c r="A176" s="550"/>
      <c r="B176" s="550"/>
      <c r="C176" s="567"/>
      <c r="D176" s="552"/>
      <c r="E176" s="552"/>
      <c r="F176" s="553">
        <f t="shared" si="16"/>
        <v>0</v>
      </c>
      <c r="G176" s="554"/>
      <c r="H176" s="557"/>
      <c r="I176" s="557"/>
      <c r="J176" s="568"/>
      <c r="K176" s="153"/>
      <c r="L176" s="153"/>
      <c r="M176" s="153"/>
      <c r="N176" s="153"/>
      <c r="O176" s="153"/>
      <c r="P176" s="153"/>
    </row>
    <row r="177" spans="1:16" s="556" customFormat="1" ht="15" customHeight="1">
      <c r="A177" s="550" t="s">
        <v>1453</v>
      </c>
      <c r="B177" s="550"/>
      <c r="C177" s="559" t="s">
        <v>1366</v>
      </c>
      <c r="D177" s="552">
        <v>1</v>
      </c>
      <c r="E177" s="552"/>
      <c r="F177" s="553">
        <f t="shared" si="16"/>
        <v>1</v>
      </c>
      <c r="G177" s="554" t="s">
        <v>143</v>
      </c>
      <c r="H177" s="596" t="s">
        <v>1451</v>
      </c>
      <c r="I177" s="596"/>
      <c r="J177" s="596"/>
      <c r="K177" s="596"/>
      <c r="L177" s="596"/>
      <c r="M177" s="153"/>
      <c r="N177" s="596"/>
      <c r="O177" s="596"/>
      <c r="P177" s="153"/>
    </row>
    <row r="178" spans="1:16" s="556" customFormat="1" ht="15" customHeight="1">
      <c r="A178" s="550"/>
      <c r="B178" s="550"/>
      <c r="C178" s="559" t="s">
        <v>1367</v>
      </c>
      <c r="D178" s="552">
        <v>1</v>
      </c>
      <c r="E178" s="552"/>
      <c r="F178" s="553">
        <f t="shared" si="16"/>
        <v>1</v>
      </c>
      <c r="G178" s="554" t="s">
        <v>143</v>
      </c>
      <c r="H178" s="596" t="s">
        <v>1451</v>
      </c>
      <c r="I178" s="596"/>
      <c r="J178" s="596"/>
      <c r="K178" s="596"/>
      <c r="L178" s="596"/>
      <c r="M178" s="153"/>
      <c r="N178" s="596"/>
      <c r="O178" s="596"/>
      <c r="P178" s="153"/>
    </row>
    <row r="179" spans="1:16" s="542" customFormat="1" ht="15" customHeight="1">
      <c r="A179" s="560"/>
      <c r="B179" s="560"/>
      <c r="C179" s="561" t="s">
        <v>1368</v>
      </c>
      <c r="D179" s="562"/>
      <c r="E179" s="562"/>
      <c r="F179" s="563">
        <f t="shared" si="16"/>
        <v>0</v>
      </c>
      <c r="G179" s="564"/>
      <c r="H179" s="565"/>
      <c r="I179" s="565"/>
      <c r="J179" s="566"/>
      <c r="K179" s="154"/>
      <c r="L179" s="154"/>
      <c r="M179" s="154"/>
      <c r="N179" s="154"/>
      <c r="O179" s="154"/>
      <c r="P179" s="154"/>
    </row>
    <row r="180" spans="1:16" s="556" customFormat="1" ht="15" customHeight="1">
      <c r="A180" s="550"/>
      <c r="B180" s="550"/>
      <c r="C180" s="567"/>
      <c r="D180" s="552"/>
      <c r="E180" s="552"/>
      <c r="F180" s="553">
        <f t="shared" si="16"/>
        <v>0</v>
      </c>
      <c r="G180" s="554"/>
      <c r="H180" s="557"/>
      <c r="I180" s="557"/>
      <c r="J180" s="568"/>
      <c r="K180" s="153"/>
      <c r="L180" s="153"/>
      <c r="M180" s="153"/>
      <c r="N180" s="153"/>
      <c r="O180" s="153"/>
      <c r="P180" s="153"/>
    </row>
    <row r="181" spans="1:16" s="556" customFormat="1" ht="15" customHeight="1">
      <c r="A181" s="550"/>
      <c r="B181" s="550"/>
      <c r="C181" s="567"/>
      <c r="D181" s="552"/>
      <c r="E181" s="552"/>
      <c r="F181" s="553">
        <f t="shared" si="16"/>
        <v>0</v>
      </c>
      <c r="G181" s="554"/>
      <c r="H181" s="557"/>
      <c r="I181" s="557"/>
      <c r="J181" s="568"/>
      <c r="K181" s="153"/>
      <c r="L181" s="153"/>
      <c r="M181" s="153"/>
      <c r="N181" s="153"/>
      <c r="O181" s="153"/>
      <c r="P181" s="153"/>
    </row>
    <row r="182" spans="1:16" s="556" customFormat="1" ht="15" customHeight="1">
      <c r="A182" s="550" t="s">
        <v>1454</v>
      </c>
      <c r="B182" s="550"/>
      <c r="C182" s="559" t="s">
        <v>1455</v>
      </c>
      <c r="D182" s="552">
        <v>2</v>
      </c>
      <c r="E182" s="552"/>
      <c r="F182" s="553">
        <f t="shared" si="16"/>
        <v>2</v>
      </c>
      <c r="G182" s="554" t="s">
        <v>143</v>
      </c>
      <c r="H182" s="171"/>
      <c r="I182" s="171"/>
      <c r="J182" s="555"/>
      <c r="K182" s="153">
        <f>PRODUCT($E182*H182)</f>
        <v>0</v>
      </c>
      <c r="L182" s="153">
        <f>PRODUCT($E182*I182)</f>
        <v>0</v>
      </c>
      <c r="M182" s="153"/>
      <c r="N182" s="153">
        <f>PRODUCT($F182*H182)</f>
        <v>0</v>
      </c>
      <c r="O182" s="153">
        <f>PRODUCT($F182*I182)</f>
        <v>0</v>
      </c>
      <c r="P182" s="153"/>
    </row>
    <row r="183" spans="1:16" s="556" customFormat="1" ht="15" customHeight="1">
      <c r="A183" s="550"/>
      <c r="B183" s="569" t="s">
        <v>1373</v>
      </c>
      <c r="C183" s="559" t="s">
        <v>1431</v>
      </c>
      <c r="D183" s="552">
        <f>SUM(D182:D182)</f>
        <v>2</v>
      </c>
      <c r="E183" s="552"/>
      <c r="F183" s="553">
        <f t="shared" si="16"/>
        <v>2</v>
      </c>
      <c r="G183" s="554" t="s">
        <v>143</v>
      </c>
      <c r="H183" s="171"/>
      <c r="I183" s="171"/>
      <c r="J183" s="555"/>
      <c r="K183" s="153">
        <f>PRODUCT($E183*H183)</f>
        <v>0</v>
      </c>
      <c r="L183" s="153">
        <f>PRODUCT($E183*I183)</f>
        <v>0</v>
      </c>
      <c r="M183" s="153"/>
      <c r="N183" s="153">
        <f>PRODUCT($F183*H183)</f>
        <v>0</v>
      </c>
      <c r="O183" s="153">
        <f>PRODUCT($F183*I183)</f>
        <v>0</v>
      </c>
      <c r="P183" s="153"/>
    </row>
    <row r="184" spans="1:16" s="556" customFormat="1" ht="15" customHeight="1">
      <c r="A184" s="570"/>
      <c r="B184" s="570"/>
      <c r="C184" s="561" t="s">
        <v>1432</v>
      </c>
      <c r="D184" s="572"/>
      <c r="E184" s="572"/>
      <c r="F184" s="573">
        <f t="shared" si="16"/>
        <v>0</v>
      </c>
      <c r="G184" s="574"/>
      <c r="H184" s="575"/>
      <c r="I184" s="575"/>
      <c r="J184" s="576">
        <f>SUM(H182:I183)</f>
        <v>0</v>
      </c>
      <c r="K184" s="155"/>
      <c r="L184" s="155"/>
      <c r="M184" s="155">
        <f>SUM(K182:L183)</f>
        <v>0</v>
      </c>
      <c r="N184" s="155"/>
      <c r="O184" s="155"/>
      <c r="P184" s="155">
        <f>SUM(N182:O183)</f>
        <v>0</v>
      </c>
    </row>
    <row r="185" spans="1:16" s="556" customFormat="1" ht="15" customHeight="1">
      <c r="A185" s="550"/>
      <c r="B185" s="550"/>
      <c r="C185" s="567"/>
      <c r="D185" s="552"/>
      <c r="E185" s="552"/>
      <c r="F185" s="553">
        <f t="shared" si="16"/>
        <v>0</v>
      </c>
      <c r="G185" s="554"/>
      <c r="H185" s="557"/>
      <c r="I185" s="557"/>
      <c r="J185" s="568"/>
      <c r="K185" s="153"/>
      <c r="L185" s="153"/>
      <c r="M185" s="153"/>
      <c r="N185" s="153"/>
      <c r="O185" s="153"/>
      <c r="P185" s="153"/>
    </row>
    <row r="186" spans="1:16" s="556" customFormat="1" ht="15" customHeight="1">
      <c r="A186" s="550" t="s">
        <v>1456</v>
      </c>
      <c r="B186" s="550"/>
      <c r="C186" s="559" t="s">
        <v>1457</v>
      </c>
      <c r="D186" s="552">
        <v>4</v>
      </c>
      <c r="E186" s="552"/>
      <c r="F186" s="553">
        <f t="shared" si="16"/>
        <v>4</v>
      </c>
      <c r="G186" s="554" t="s">
        <v>143</v>
      </c>
      <c r="H186" s="596" t="s">
        <v>1451</v>
      </c>
      <c r="I186" s="596"/>
      <c r="J186" s="596"/>
      <c r="K186" s="596"/>
      <c r="L186" s="596"/>
      <c r="M186" s="153"/>
      <c r="N186" s="596"/>
      <c r="O186" s="596"/>
      <c r="P186" s="153"/>
    </row>
    <row r="187" spans="1:16" s="556" customFormat="1" ht="15" customHeight="1">
      <c r="A187" s="550"/>
      <c r="B187" s="550" t="s">
        <v>1378</v>
      </c>
      <c r="C187" s="559" t="s">
        <v>1379</v>
      </c>
      <c r="D187" s="552">
        <v>4</v>
      </c>
      <c r="E187" s="552"/>
      <c r="F187" s="553">
        <f t="shared" si="16"/>
        <v>4</v>
      </c>
      <c r="G187" s="554" t="s">
        <v>143</v>
      </c>
      <c r="H187" s="596" t="s">
        <v>1451</v>
      </c>
      <c r="I187" s="596"/>
      <c r="J187" s="596"/>
      <c r="K187" s="596"/>
      <c r="L187" s="596"/>
      <c r="M187" s="153"/>
      <c r="N187" s="596"/>
      <c r="O187" s="596"/>
      <c r="P187" s="153"/>
    </row>
    <row r="188" spans="1:16" s="542" customFormat="1" ht="15" customHeight="1">
      <c r="A188" s="560"/>
      <c r="B188" s="560"/>
      <c r="C188" s="561" t="s">
        <v>1458</v>
      </c>
      <c r="D188" s="562"/>
      <c r="E188" s="562"/>
      <c r="F188" s="563">
        <f t="shared" si="16"/>
        <v>0</v>
      </c>
      <c r="G188" s="564"/>
      <c r="H188" s="565"/>
      <c r="I188" s="565"/>
      <c r="J188" s="566"/>
      <c r="K188" s="154"/>
      <c r="L188" s="154"/>
      <c r="M188" s="154"/>
      <c r="N188" s="154"/>
      <c r="O188" s="154"/>
      <c r="P188" s="154"/>
    </row>
    <row r="189" spans="1:16" s="556" customFormat="1" ht="15" customHeight="1">
      <c r="A189" s="550"/>
      <c r="B189" s="550"/>
      <c r="C189" s="567"/>
      <c r="D189" s="552"/>
      <c r="E189" s="552"/>
      <c r="F189" s="553">
        <f t="shared" si="16"/>
        <v>0</v>
      </c>
      <c r="G189" s="554"/>
      <c r="H189" s="557"/>
      <c r="I189" s="557"/>
      <c r="J189" s="568"/>
      <c r="K189" s="153"/>
      <c r="L189" s="153"/>
      <c r="M189" s="153"/>
      <c r="N189" s="153"/>
      <c r="O189" s="153"/>
      <c r="P189" s="153"/>
    </row>
    <row r="190" spans="1:16" s="556" customFormat="1" ht="15" customHeight="1">
      <c r="A190" s="550" t="s">
        <v>1459</v>
      </c>
      <c r="B190" s="550"/>
      <c r="C190" s="559" t="s">
        <v>1460</v>
      </c>
      <c r="D190" s="552">
        <v>2</v>
      </c>
      <c r="E190" s="552"/>
      <c r="F190" s="553">
        <f t="shared" si="16"/>
        <v>2</v>
      </c>
      <c r="G190" s="554" t="s">
        <v>143</v>
      </c>
      <c r="H190" s="596" t="s">
        <v>1451</v>
      </c>
      <c r="I190" s="596"/>
      <c r="J190" s="596"/>
      <c r="K190" s="596"/>
      <c r="L190" s="596"/>
      <c r="M190" s="153"/>
      <c r="N190" s="596"/>
      <c r="O190" s="596"/>
      <c r="P190" s="153"/>
    </row>
    <row r="191" spans="1:16" s="556" customFormat="1" ht="15" customHeight="1">
      <c r="A191" s="550"/>
      <c r="B191" s="550" t="s">
        <v>1383</v>
      </c>
      <c r="C191" s="559" t="s">
        <v>1390</v>
      </c>
      <c r="D191" s="552">
        <v>2</v>
      </c>
      <c r="E191" s="552"/>
      <c r="F191" s="553">
        <f t="shared" si="16"/>
        <v>2</v>
      </c>
      <c r="G191" s="554" t="s">
        <v>143</v>
      </c>
      <c r="H191" s="596" t="s">
        <v>1451</v>
      </c>
      <c r="I191" s="596"/>
      <c r="J191" s="596"/>
      <c r="K191" s="596"/>
      <c r="L191" s="596"/>
      <c r="M191" s="153"/>
      <c r="N191" s="596"/>
      <c r="O191" s="596"/>
      <c r="P191" s="153"/>
    </row>
    <row r="192" spans="1:16" s="542" customFormat="1" ht="15" customHeight="1">
      <c r="A192" s="560"/>
      <c r="B192" s="560"/>
      <c r="C192" s="561" t="s">
        <v>1461</v>
      </c>
      <c r="D192" s="562"/>
      <c r="E192" s="562"/>
      <c r="F192" s="563">
        <f t="shared" si="16"/>
        <v>0</v>
      </c>
      <c r="G192" s="564"/>
      <c r="H192" s="565"/>
      <c r="I192" s="565"/>
      <c r="J192" s="566"/>
      <c r="K192" s="154"/>
      <c r="L192" s="154"/>
      <c r="M192" s="154"/>
      <c r="N192" s="154"/>
      <c r="O192" s="154"/>
      <c r="P192" s="154"/>
    </row>
    <row r="193" spans="1:16" s="556" customFormat="1" ht="15" customHeight="1">
      <c r="A193" s="550"/>
      <c r="B193" s="550"/>
      <c r="C193" s="559"/>
      <c r="D193" s="552"/>
      <c r="E193" s="552"/>
      <c r="F193" s="553">
        <f t="shared" si="16"/>
        <v>0</v>
      </c>
      <c r="G193" s="554"/>
      <c r="H193" s="557"/>
      <c r="I193" s="557"/>
      <c r="J193" s="555"/>
      <c r="K193" s="153"/>
      <c r="L193" s="153"/>
      <c r="M193" s="153"/>
      <c r="N193" s="153"/>
      <c r="O193" s="153"/>
      <c r="P193" s="153"/>
    </row>
    <row r="194" spans="1:16" s="556" customFormat="1" ht="15" customHeight="1">
      <c r="A194" s="550" t="s">
        <v>1462</v>
      </c>
      <c r="B194" s="550"/>
      <c r="C194" s="559" t="s">
        <v>1463</v>
      </c>
      <c r="D194" s="552">
        <v>1</v>
      </c>
      <c r="E194" s="552"/>
      <c r="F194" s="553">
        <f t="shared" si="16"/>
        <v>1</v>
      </c>
      <c r="G194" s="554" t="s">
        <v>143</v>
      </c>
      <c r="H194" s="596" t="s">
        <v>1451</v>
      </c>
      <c r="I194" s="596"/>
      <c r="J194" s="596"/>
      <c r="K194" s="596"/>
      <c r="L194" s="596"/>
      <c r="M194" s="153"/>
      <c r="N194" s="596"/>
      <c r="O194" s="596"/>
      <c r="P194" s="153"/>
    </row>
    <row r="195" spans="1:16" s="556" customFormat="1" ht="15" customHeight="1">
      <c r="A195" s="550"/>
      <c r="B195" s="550" t="s">
        <v>1383</v>
      </c>
      <c r="C195" s="559" t="s">
        <v>1397</v>
      </c>
      <c r="D195" s="552">
        <v>1</v>
      </c>
      <c r="E195" s="552"/>
      <c r="F195" s="553">
        <f t="shared" si="16"/>
        <v>1</v>
      </c>
      <c r="G195" s="554" t="s">
        <v>143</v>
      </c>
      <c r="H195" s="596" t="s">
        <v>1451</v>
      </c>
      <c r="I195" s="596"/>
      <c r="J195" s="596"/>
      <c r="K195" s="596"/>
      <c r="L195" s="596"/>
      <c r="M195" s="153"/>
      <c r="N195" s="596"/>
      <c r="O195" s="596"/>
      <c r="P195" s="153"/>
    </row>
    <row r="196" spans="1:16" s="542" customFormat="1" ht="15" customHeight="1">
      <c r="A196" s="560"/>
      <c r="B196" s="560"/>
      <c r="C196" s="561" t="s">
        <v>1385</v>
      </c>
      <c r="D196" s="562"/>
      <c r="E196" s="562"/>
      <c r="F196" s="563">
        <f t="shared" si="16"/>
        <v>0</v>
      </c>
      <c r="G196" s="564"/>
      <c r="H196" s="565"/>
      <c r="I196" s="565"/>
      <c r="J196" s="566"/>
      <c r="K196" s="154"/>
      <c r="L196" s="154"/>
      <c r="M196" s="154"/>
      <c r="N196" s="154"/>
      <c r="O196" s="154"/>
      <c r="P196" s="154"/>
    </row>
    <row r="197" spans="1:16" s="556" customFormat="1" ht="15" customHeight="1">
      <c r="A197" s="550"/>
      <c r="B197" s="550"/>
      <c r="C197" s="567"/>
      <c r="D197" s="552"/>
      <c r="E197" s="552"/>
      <c r="F197" s="553">
        <f t="shared" si="16"/>
        <v>0</v>
      </c>
      <c r="G197" s="554"/>
      <c r="H197" s="557"/>
      <c r="I197" s="557"/>
      <c r="J197" s="568"/>
      <c r="K197" s="153"/>
      <c r="L197" s="153"/>
      <c r="M197" s="153"/>
      <c r="N197" s="153"/>
      <c r="O197" s="153"/>
      <c r="P197" s="153"/>
    </row>
    <row r="198" spans="1:16" s="542" customFormat="1" ht="15" customHeight="1">
      <c r="A198" s="586"/>
      <c r="B198" s="586"/>
      <c r="C198" s="582" t="s">
        <v>1464</v>
      </c>
      <c r="D198" s="583">
        <v>10</v>
      </c>
      <c r="E198" s="583"/>
      <c r="F198" s="584">
        <f t="shared" si="16"/>
        <v>10</v>
      </c>
      <c r="G198" s="579" t="s">
        <v>68</v>
      </c>
      <c r="H198" s="596" t="s">
        <v>1451</v>
      </c>
      <c r="I198" s="596"/>
      <c r="J198" s="596"/>
      <c r="K198" s="596"/>
      <c r="L198" s="596"/>
      <c r="M198" s="156"/>
      <c r="N198" s="596"/>
      <c r="O198" s="596"/>
      <c r="P198" s="156"/>
    </row>
    <row r="199" spans="1:16" s="542" customFormat="1" ht="39.950000000000003" customHeight="1">
      <c r="A199" s="597"/>
      <c r="B199" s="586"/>
      <c r="C199" s="598" t="s">
        <v>1465</v>
      </c>
      <c r="D199" s="583"/>
      <c r="E199" s="583"/>
      <c r="F199" s="584">
        <f t="shared" si="16"/>
        <v>0</v>
      </c>
      <c r="G199" s="580"/>
      <c r="H199" s="158"/>
      <c r="I199" s="158"/>
      <c r="J199" s="599"/>
      <c r="K199" s="156"/>
      <c r="L199" s="156"/>
      <c r="M199" s="156"/>
      <c r="N199" s="156"/>
      <c r="O199" s="156"/>
      <c r="P199" s="156"/>
    </row>
    <row r="200" spans="1:16" s="542" customFormat="1" ht="15" customHeight="1">
      <c r="A200" s="586"/>
      <c r="B200" s="579" t="s">
        <v>1466</v>
      </c>
      <c r="C200" s="582" t="s">
        <v>1467</v>
      </c>
      <c r="D200" s="583">
        <v>10</v>
      </c>
      <c r="E200" s="583"/>
      <c r="F200" s="584">
        <f t="shared" si="16"/>
        <v>10</v>
      </c>
      <c r="G200" s="579" t="s">
        <v>68</v>
      </c>
      <c r="H200" s="596" t="s">
        <v>1451</v>
      </c>
      <c r="I200" s="596"/>
      <c r="J200" s="596"/>
      <c r="K200" s="596"/>
      <c r="L200" s="596"/>
      <c r="M200" s="156"/>
      <c r="N200" s="596"/>
      <c r="O200" s="596"/>
      <c r="P200" s="156"/>
    </row>
    <row r="201" spans="1:16" s="542" customFormat="1" ht="15" customHeight="1">
      <c r="A201" s="560"/>
      <c r="B201" s="560"/>
      <c r="C201" s="561" t="s">
        <v>1468</v>
      </c>
      <c r="D201" s="562"/>
      <c r="E201" s="562"/>
      <c r="F201" s="563">
        <f t="shared" si="16"/>
        <v>0</v>
      </c>
      <c r="G201" s="564"/>
      <c r="H201" s="565"/>
      <c r="I201" s="565"/>
      <c r="J201" s="566"/>
      <c r="K201" s="154"/>
      <c r="L201" s="154"/>
      <c r="M201" s="154"/>
      <c r="N201" s="154"/>
      <c r="O201" s="154"/>
      <c r="P201" s="154"/>
    </row>
    <row r="202" spans="1:16" s="556" customFormat="1" ht="15" customHeight="1">
      <c r="A202" s="550"/>
      <c r="B202" s="550"/>
      <c r="C202" s="567"/>
      <c r="D202" s="552"/>
      <c r="E202" s="552"/>
      <c r="F202" s="553">
        <f t="shared" si="16"/>
        <v>0</v>
      </c>
      <c r="G202" s="554"/>
      <c r="H202" s="557"/>
      <c r="I202" s="557"/>
      <c r="J202" s="568"/>
      <c r="K202" s="153"/>
      <c r="L202" s="153"/>
      <c r="M202" s="153"/>
      <c r="N202" s="153"/>
      <c r="O202" s="153"/>
      <c r="P202" s="153"/>
    </row>
    <row r="203" spans="1:16" s="556" customFormat="1" ht="15" customHeight="1">
      <c r="A203" s="577"/>
      <c r="B203" s="550"/>
      <c r="C203" s="578" t="s">
        <v>1469</v>
      </c>
      <c r="D203" s="552">
        <v>5</v>
      </c>
      <c r="E203" s="552"/>
      <c r="F203" s="553">
        <f t="shared" si="16"/>
        <v>5</v>
      </c>
      <c r="G203" s="569" t="s">
        <v>68</v>
      </c>
      <c r="H203" s="171"/>
      <c r="I203" s="171"/>
      <c r="J203" s="568"/>
      <c r="K203" s="153">
        <f t="shared" ref="K203:L206" si="17">PRODUCT($E203*H203)</f>
        <v>0</v>
      </c>
      <c r="L203" s="153">
        <f t="shared" si="17"/>
        <v>0</v>
      </c>
      <c r="M203" s="153"/>
      <c r="N203" s="153">
        <f t="shared" ref="N203:O206" si="18">PRODUCT($F203*H203)</f>
        <v>0</v>
      </c>
      <c r="O203" s="153">
        <f t="shared" si="18"/>
        <v>0</v>
      </c>
      <c r="P203" s="153"/>
    </row>
    <row r="204" spans="1:16" s="556" customFormat="1" ht="15" customHeight="1">
      <c r="A204" s="577"/>
      <c r="B204" s="550"/>
      <c r="C204" s="578" t="s">
        <v>1470</v>
      </c>
      <c r="D204" s="552">
        <v>20</v>
      </c>
      <c r="E204" s="552"/>
      <c r="F204" s="553">
        <f t="shared" si="16"/>
        <v>20</v>
      </c>
      <c r="G204" s="569" t="s">
        <v>68</v>
      </c>
      <c r="H204" s="171"/>
      <c r="I204" s="171"/>
      <c r="J204" s="568"/>
      <c r="K204" s="153">
        <f t="shared" si="17"/>
        <v>0</v>
      </c>
      <c r="L204" s="153">
        <f t="shared" si="17"/>
        <v>0</v>
      </c>
      <c r="M204" s="153"/>
      <c r="N204" s="153">
        <f t="shared" si="18"/>
        <v>0</v>
      </c>
      <c r="O204" s="153">
        <f t="shared" si="18"/>
        <v>0</v>
      </c>
      <c r="P204" s="153"/>
    </row>
    <row r="205" spans="1:16" s="556" customFormat="1" ht="15" customHeight="1">
      <c r="A205" s="577"/>
      <c r="B205" s="550"/>
      <c r="C205" s="578" t="s">
        <v>1471</v>
      </c>
      <c r="D205" s="552">
        <v>2</v>
      </c>
      <c r="E205" s="552"/>
      <c r="F205" s="553">
        <f t="shared" si="16"/>
        <v>2</v>
      </c>
      <c r="G205" s="569" t="s">
        <v>68</v>
      </c>
      <c r="H205" s="171"/>
      <c r="I205" s="171"/>
      <c r="J205" s="568"/>
      <c r="K205" s="153">
        <f t="shared" si="17"/>
        <v>0</v>
      </c>
      <c r="L205" s="153">
        <f t="shared" si="17"/>
        <v>0</v>
      </c>
      <c r="M205" s="153"/>
      <c r="N205" s="153">
        <f t="shared" si="18"/>
        <v>0</v>
      </c>
      <c r="O205" s="153">
        <f t="shared" si="18"/>
        <v>0</v>
      </c>
      <c r="P205" s="153"/>
    </row>
    <row r="206" spans="1:16" s="556" customFormat="1" ht="15" customHeight="1">
      <c r="A206" s="550"/>
      <c r="B206" s="579" t="s">
        <v>1402</v>
      </c>
      <c r="C206" s="578" t="s">
        <v>1403</v>
      </c>
      <c r="D206" s="552">
        <f>SUM(D203:D205)</f>
        <v>27</v>
      </c>
      <c r="E206" s="552"/>
      <c r="F206" s="553">
        <f t="shared" ref="F206:F269" si="19">D206-E206</f>
        <v>27</v>
      </c>
      <c r="G206" s="569" t="s">
        <v>68</v>
      </c>
      <c r="H206" s="171"/>
      <c r="I206" s="171"/>
      <c r="J206" s="568"/>
      <c r="K206" s="153">
        <f t="shared" si="17"/>
        <v>0</v>
      </c>
      <c r="L206" s="153">
        <f t="shared" si="17"/>
        <v>0</v>
      </c>
      <c r="M206" s="153"/>
      <c r="N206" s="153">
        <f t="shared" si="18"/>
        <v>0</v>
      </c>
      <c r="O206" s="153">
        <f t="shared" si="18"/>
        <v>0</v>
      </c>
      <c r="P206" s="153"/>
    </row>
    <row r="207" spans="1:16" s="542" customFormat="1" ht="15" customHeight="1">
      <c r="A207" s="560"/>
      <c r="B207" s="560"/>
      <c r="C207" s="561" t="s">
        <v>1404</v>
      </c>
      <c r="D207" s="562"/>
      <c r="E207" s="562"/>
      <c r="F207" s="563">
        <f t="shared" si="19"/>
        <v>0</v>
      </c>
      <c r="G207" s="564"/>
      <c r="H207" s="173"/>
      <c r="I207" s="173"/>
      <c r="J207" s="566">
        <f>SUM(H203:I206)</f>
        <v>0</v>
      </c>
      <c r="K207" s="154"/>
      <c r="L207" s="154"/>
      <c r="M207" s="154">
        <f>SUM(K203:L206)</f>
        <v>0</v>
      </c>
      <c r="N207" s="154"/>
      <c r="O207" s="154"/>
      <c r="P207" s="154">
        <f>SUM(N203:O206)</f>
        <v>0</v>
      </c>
    </row>
    <row r="208" spans="1:16" s="556" customFormat="1" ht="15" customHeight="1">
      <c r="A208" s="550"/>
      <c r="B208" s="550"/>
      <c r="C208" s="567"/>
      <c r="D208" s="552"/>
      <c r="E208" s="552"/>
      <c r="F208" s="553">
        <f t="shared" si="19"/>
        <v>0</v>
      </c>
      <c r="G208" s="554"/>
      <c r="H208" s="172"/>
      <c r="I208" s="172"/>
      <c r="J208" s="568"/>
      <c r="K208" s="153"/>
      <c r="L208" s="153"/>
      <c r="M208" s="153"/>
      <c r="N208" s="153"/>
      <c r="O208" s="153"/>
      <c r="P208" s="153"/>
    </row>
    <row r="209" spans="1:16" s="556" customFormat="1" ht="15" customHeight="1">
      <c r="A209" s="550"/>
      <c r="B209" s="550"/>
      <c r="C209" s="567"/>
      <c r="D209" s="552"/>
      <c r="E209" s="552"/>
      <c r="F209" s="553">
        <f t="shared" si="19"/>
        <v>0</v>
      </c>
      <c r="G209" s="554"/>
      <c r="H209" s="172"/>
      <c r="I209" s="172"/>
      <c r="J209" s="568"/>
      <c r="K209" s="153"/>
      <c r="L209" s="153"/>
      <c r="M209" s="153"/>
      <c r="N209" s="153"/>
      <c r="O209" s="153"/>
      <c r="P209" s="153"/>
    </row>
    <row r="210" spans="1:16" s="556" customFormat="1" ht="15" customHeight="1">
      <c r="A210" s="550"/>
      <c r="B210" s="550"/>
      <c r="C210" s="567"/>
      <c r="D210" s="552"/>
      <c r="E210" s="552"/>
      <c r="F210" s="553">
        <f t="shared" si="19"/>
        <v>0</v>
      </c>
      <c r="G210" s="554"/>
      <c r="H210" s="172"/>
      <c r="I210" s="172"/>
      <c r="J210" s="568"/>
      <c r="K210" s="153"/>
      <c r="L210" s="153"/>
      <c r="M210" s="153"/>
      <c r="N210" s="153"/>
      <c r="O210" s="153"/>
      <c r="P210" s="153"/>
    </row>
    <row r="211" spans="1:16" s="556" customFormat="1" ht="15" customHeight="1">
      <c r="A211" s="550"/>
      <c r="B211" s="550"/>
      <c r="C211" s="578" t="s">
        <v>1472</v>
      </c>
      <c r="D211" s="552">
        <v>1</v>
      </c>
      <c r="E211" s="552"/>
      <c r="F211" s="553">
        <f t="shared" si="19"/>
        <v>1</v>
      </c>
      <c r="G211" s="569" t="s">
        <v>1406</v>
      </c>
      <c r="H211" s="171"/>
      <c r="I211" s="171"/>
      <c r="J211" s="568"/>
      <c r="K211" s="153">
        <f>PRODUCT($E211*H211)</f>
        <v>0</v>
      </c>
      <c r="L211" s="153">
        <f>PRODUCT($E211*I211)</f>
        <v>0</v>
      </c>
      <c r="M211" s="153"/>
      <c r="N211" s="153">
        <f>PRODUCT($F211*H211)</f>
        <v>0</v>
      </c>
      <c r="O211" s="153">
        <f>PRODUCT($F211*I211)</f>
        <v>0</v>
      </c>
      <c r="P211" s="153"/>
    </row>
    <row r="212" spans="1:16" s="556" customFormat="1" ht="15" customHeight="1">
      <c r="A212" s="550"/>
      <c r="B212" s="550" t="s">
        <v>1410</v>
      </c>
      <c r="C212" s="578" t="s">
        <v>1411</v>
      </c>
      <c r="D212" s="552">
        <f>SUM(D211:D211)</f>
        <v>1</v>
      </c>
      <c r="E212" s="552"/>
      <c r="F212" s="553">
        <f t="shared" si="19"/>
        <v>1</v>
      </c>
      <c r="G212" s="569" t="s">
        <v>1406</v>
      </c>
      <c r="H212" s="171"/>
      <c r="I212" s="171"/>
      <c r="J212" s="568"/>
      <c r="K212" s="153">
        <f>PRODUCT($E212*H212)</f>
        <v>0</v>
      </c>
      <c r="L212" s="153">
        <f>PRODUCT($E212*I212)</f>
        <v>0</v>
      </c>
      <c r="M212" s="153"/>
      <c r="N212" s="153">
        <f>PRODUCT($F212*H212)</f>
        <v>0</v>
      </c>
      <c r="O212" s="153">
        <f>PRODUCT($F212*I212)</f>
        <v>0</v>
      </c>
      <c r="P212" s="153"/>
    </row>
    <row r="213" spans="1:16" s="542" customFormat="1" ht="15" customHeight="1">
      <c r="A213" s="560"/>
      <c r="B213" s="560"/>
      <c r="C213" s="561" t="s">
        <v>1412</v>
      </c>
      <c r="D213" s="562"/>
      <c r="E213" s="562"/>
      <c r="F213" s="563">
        <f t="shared" si="19"/>
        <v>0</v>
      </c>
      <c r="G213" s="564"/>
      <c r="H213" s="565"/>
      <c r="I213" s="565"/>
      <c r="J213" s="566">
        <f>SUM(H211:I212)</f>
        <v>0</v>
      </c>
      <c r="K213" s="154"/>
      <c r="L213" s="154"/>
      <c r="M213" s="154">
        <f>SUM(K211:L212)</f>
        <v>0</v>
      </c>
      <c r="N213" s="154"/>
      <c r="O213" s="154"/>
      <c r="P213" s="154">
        <f>SUM(N211:O212)</f>
        <v>0</v>
      </c>
    </row>
    <row r="214" spans="1:16" s="556" customFormat="1" ht="15" customHeight="1">
      <c r="A214" s="550"/>
      <c r="B214" s="550"/>
      <c r="C214" s="567"/>
      <c r="D214" s="552"/>
      <c r="E214" s="552"/>
      <c r="F214" s="553">
        <f t="shared" si="19"/>
        <v>0</v>
      </c>
      <c r="G214" s="554"/>
      <c r="H214" s="557"/>
      <c r="I214" s="557"/>
      <c r="J214" s="568"/>
      <c r="K214" s="153"/>
      <c r="L214" s="153"/>
      <c r="M214" s="153"/>
      <c r="N214" s="153"/>
      <c r="O214" s="153"/>
      <c r="P214" s="153"/>
    </row>
    <row r="215" spans="1:16" s="542" customFormat="1" ht="15" customHeight="1">
      <c r="A215" s="580"/>
      <c r="B215" s="581"/>
      <c r="C215" s="582" t="s">
        <v>1447</v>
      </c>
      <c r="D215" s="583">
        <v>10</v>
      </c>
      <c r="E215" s="583"/>
      <c r="F215" s="584">
        <f t="shared" si="19"/>
        <v>10</v>
      </c>
      <c r="G215" s="579" t="s">
        <v>1414</v>
      </c>
      <c r="H215" s="596" t="s">
        <v>1451</v>
      </c>
      <c r="I215" s="596"/>
      <c r="J215" s="596"/>
      <c r="K215" s="596"/>
      <c r="L215" s="596"/>
      <c r="M215" s="157"/>
      <c r="N215" s="596"/>
      <c r="O215" s="596"/>
      <c r="P215" s="157"/>
    </row>
    <row r="216" spans="1:16" s="542" customFormat="1" ht="15" customHeight="1">
      <c r="A216" s="586"/>
      <c r="B216" s="581"/>
      <c r="C216" s="587" t="s">
        <v>1415</v>
      </c>
      <c r="D216" s="583">
        <v>10</v>
      </c>
      <c r="E216" s="583"/>
      <c r="F216" s="584">
        <f t="shared" si="19"/>
        <v>10</v>
      </c>
      <c r="G216" s="579" t="s">
        <v>1414</v>
      </c>
      <c r="H216" s="596" t="s">
        <v>1451</v>
      </c>
      <c r="I216" s="596"/>
      <c r="J216" s="596"/>
      <c r="K216" s="596"/>
      <c r="L216" s="596"/>
      <c r="M216" s="156"/>
      <c r="N216" s="596"/>
      <c r="O216" s="596"/>
      <c r="P216" s="156"/>
    </row>
    <row r="217" spans="1:16" s="542" customFormat="1" ht="15" customHeight="1">
      <c r="A217" s="560"/>
      <c r="B217" s="560"/>
      <c r="C217" s="561" t="s">
        <v>1448</v>
      </c>
      <c r="D217" s="562"/>
      <c r="E217" s="562"/>
      <c r="F217" s="563">
        <f t="shared" si="19"/>
        <v>0</v>
      </c>
      <c r="G217" s="564"/>
      <c r="H217" s="565"/>
      <c r="I217" s="565"/>
      <c r="J217" s="566">
        <f>SUM(H215:I216)</f>
        <v>0</v>
      </c>
      <c r="K217" s="154"/>
      <c r="L217" s="154"/>
      <c r="M217" s="154">
        <f>SUM(K215:L216)</f>
        <v>0</v>
      </c>
      <c r="N217" s="154"/>
      <c r="O217" s="154"/>
      <c r="P217" s="154">
        <f>SUM(N215:O216)</f>
        <v>0</v>
      </c>
    </row>
    <row r="218" spans="1:16" s="556" customFormat="1" ht="15" customHeight="1">
      <c r="A218" s="550"/>
      <c r="B218" s="550"/>
      <c r="C218" s="567"/>
      <c r="D218" s="552"/>
      <c r="E218" s="552"/>
      <c r="F218" s="553">
        <f t="shared" si="19"/>
        <v>0</v>
      </c>
      <c r="G218" s="554"/>
      <c r="H218" s="557"/>
      <c r="I218" s="557"/>
      <c r="J218" s="568"/>
      <c r="K218" s="153"/>
      <c r="L218" s="153"/>
      <c r="M218" s="153"/>
      <c r="N218" s="153"/>
      <c r="O218" s="153"/>
      <c r="P218" s="153"/>
    </row>
    <row r="219" spans="1:16" s="542" customFormat="1" ht="15" customHeight="1">
      <c r="A219" s="580"/>
      <c r="B219" s="581"/>
      <c r="C219" s="582" t="s">
        <v>1417</v>
      </c>
      <c r="D219" s="583">
        <v>20</v>
      </c>
      <c r="E219" s="583"/>
      <c r="F219" s="584">
        <f t="shared" si="19"/>
        <v>20</v>
      </c>
      <c r="G219" s="579" t="s">
        <v>1414</v>
      </c>
      <c r="H219" s="171"/>
      <c r="I219" s="176"/>
      <c r="J219" s="585"/>
      <c r="K219" s="153">
        <f>PRODUCT($E219*H219)</f>
        <v>0</v>
      </c>
      <c r="L219" s="153">
        <f>PRODUCT($E219*I219)</f>
        <v>0</v>
      </c>
      <c r="M219" s="157"/>
      <c r="N219" s="153">
        <f>PRODUCT($F219*H219)</f>
        <v>0</v>
      </c>
      <c r="O219" s="153">
        <f>PRODUCT($F219*I219)</f>
        <v>0</v>
      </c>
      <c r="P219" s="157"/>
    </row>
    <row r="220" spans="1:16" s="542" customFormat="1" ht="15" customHeight="1">
      <c r="A220" s="586"/>
      <c r="B220" s="581"/>
      <c r="C220" s="587" t="s">
        <v>1418</v>
      </c>
      <c r="D220" s="583">
        <v>20</v>
      </c>
      <c r="E220" s="583"/>
      <c r="F220" s="584">
        <f t="shared" si="19"/>
        <v>20</v>
      </c>
      <c r="G220" s="579" t="s">
        <v>1414</v>
      </c>
      <c r="H220" s="175"/>
      <c r="I220" s="171"/>
      <c r="J220" s="588"/>
      <c r="K220" s="153">
        <f>PRODUCT($E220*H220)</f>
        <v>0</v>
      </c>
      <c r="L220" s="153">
        <f>PRODUCT($E220*I220)</f>
        <v>0</v>
      </c>
      <c r="M220" s="156"/>
      <c r="N220" s="153">
        <f>PRODUCT($F220*H220)</f>
        <v>0</v>
      </c>
      <c r="O220" s="153">
        <f>PRODUCT($F220*I220)</f>
        <v>0</v>
      </c>
      <c r="P220" s="156"/>
    </row>
    <row r="221" spans="1:16" s="542" customFormat="1" ht="15" customHeight="1">
      <c r="A221" s="560"/>
      <c r="B221" s="560"/>
      <c r="C221" s="561" t="s">
        <v>1412</v>
      </c>
      <c r="D221" s="562"/>
      <c r="E221" s="562"/>
      <c r="F221" s="563">
        <f t="shared" si="19"/>
        <v>0</v>
      </c>
      <c r="G221" s="564"/>
      <c r="H221" s="173"/>
      <c r="I221" s="173"/>
      <c r="J221" s="566">
        <f>SUM(H219:I220)</f>
        <v>0</v>
      </c>
      <c r="K221" s="154"/>
      <c r="L221" s="154"/>
      <c r="M221" s="154">
        <f>SUM(K219:L220)</f>
        <v>0</v>
      </c>
      <c r="N221" s="154"/>
      <c r="O221" s="154"/>
      <c r="P221" s="154">
        <f>SUM(N219:O220)</f>
        <v>0</v>
      </c>
    </row>
    <row r="222" spans="1:16" s="556" customFormat="1" ht="15" customHeight="1">
      <c r="A222" s="550"/>
      <c r="B222" s="550"/>
      <c r="C222" s="589"/>
      <c r="D222" s="552"/>
      <c r="E222" s="552"/>
      <c r="F222" s="553">
        <f t="shared" si="19"/>
        <v>0</v>
      </c>
      <c r="G222" s="554"/>
      <c r="H222" s="172"/>
      <c r="I222" s="172"/>
      <c r="J222" s="568"/>
      <c r="K222" s="153"/>
      <c r="L222" s="153"/>
      <c r="M222" s="153"/>
      <c r="N222" s="153"/>
      <c r="O222" s="153"/>
      <c r="P222" s="153"/>
    </row>
    <row r="223" spans="1:16" s="542" customFormat="1" ht="15" customHeight="1">
      <c r="A223" s="547" t="s">
        <v>1473</v>
      </c>
      <c r="B223" s="548"/>
      <c r="C223" s="549"/>
      <c r="D223" s="548"/>
      <c r="E223" s="548"/>
      <c r="F223" s="590">
        <f t="shared" si="19"/>
        <v>0</v>
      </c>
      <c r="G223" s="548"/>
      <c r="H223" s="170"/>
      <c r="I223" s="170"/>
      <c r="J223" s="548"/>
      <c r="K223" s="151"/>
      <c r="L223" s="151"/>
      <c r="M223" s="152"/>
      <c r="N223" s="151"/>
      <c r="O223" s="151"/>
      <c r="P223" s="152"/>
    </row>
    <row r="224" spans="1:16" s="556" customFormat="1" ht="15" customHeight="1">
      <c r="A224" s="550"/>
      <c r="B224" s="550"/>
      <c r="C224" s="578" t="s">
        <v>1474</v>
      </c>
      <c r="D224" s="552">
        <v>15</v>
      </c>
      <c r="E224" s="552"/>
      <c r="F224" s="553">
        <f t="shared" si="19"/>
        <v>15</v>
      </c>
      <c r="G224" s="569" t="s">
        <v>1406</v>
      </c>
      <c r="H224" s="171"/>
      <c r="I224" s="171"/>
      <c r="J224" s="568"/>
      <c r="K224" s="153">
        <f t="shared" ref="K224:L226" si="20">PRODUCT($E224*H224)</f>
        <v>0</v>
      </c>
      <c r="L224" s="153">
        <f t="shared" si="20"/>
        <v>0</v>
      </c>
      <c r="M224" s="153"/>
      <c r="N224" s="153">
        <f t="shared" ref="N224:O226" si="21">PRODUCT($F224*H224)</f>
        <v>0</v>
      </c>
      <c r="O224" s="153">
        <f t="shared" si="21"/>
        <v>0</v>
      </c>
      <c r="P224" s="153"/>
    </row>
    <row r="225" spans="1:16" s="556" customFormat="1" ht="15" customHeight="1">
      <c r="A225" s="550"/>
      <c r="B225" s="550"/>
      <c r="C225" s="578" t="s">
        <v>1475</v>
      </c>
      <c r="D225" s="552">
        <v>25</v>
      </c>
      <c r="E225" s="552"/>
      <c r="F225" s="553">
        <f t="shared" si="19"/>
        <v>25</v>
      </c>
      <c r="G225" s="569" t="s">
        <v>1406</v>
      </c>
      <c r="H225" s="171"/>
      <c r="I225" s="171"/>
      <c r="J225" s="568"/>
      <c r="K225" s="153">
        <f t="shared" si="20"/>
        <v>0</v>
      </c>
      <c r="L225" s="153">
        <f t="shared" si="20"/>
        <v>0</v>
      </c>
      <c r="M225" s="153"/>
      <c r="N225" s="153">
        <f t="shared" si="21"/>
        <v>0</v>
      </c>
      <c r="O225" s="153">
        <f t="shared" si="21"/>
        <v>0</v>
      </c>
      <c r="P225" s="153"/>
    </row>
    <row r="226" spans="1:16" s="556" customFormat="1" ht="15" customHeight="1">
      <c r="A226" s="550"/>
      <c r="B226" s="550" t="s">
        <v>1410</v>
      </c>
      <c r="C226" s="578" t="s">
        <v>1411</v>
      </c>
      <c r="D226" s="552">
        <f>SUM(D224:D225)</f>
        <v>40</v>
      </c>
      <c r="E226" s="552"/>
      <c r="F226" s="553">
        <f t="shared" si="19"/>
        <v>40</v>
      </c>
      <c r="G226" s="569" t="s">
        <v>1406</v>
      </c>
      <c r="H226" s="171"/>
      <c r="I226" s="171"/>
      <c r="J226" s="568"/>
      <c r="K226" s="153">
        <f t="shared" si="20"/>
        <v>0</v>
      </c>
      <c r="L226" s="153">
        <f t="shared" si="20"/>
        <v>0</v>
      </c>
      <c r="M226" s="153"/>
      <c r="N226" s="153">
        <f t="shared" si="21"/>
        <v>0</v>
      </c>
      <c r="O226" s="153">
        <f t="shared" si="21"/>
        <v>0</v>
      </c>
      <c r="P226" s="153"/>
    </row>
    <row r="227" spans="1:16" s="542" customFormat="1" ht="15" customHeight="1">
      <c r="A227" s="560"/>
      <c r="B227" s="560"/>
      <c r="C227" s="561" t="s">
        <v>1412</v>
      </c>
      <c r="D227" s="562"/>
      <c r="E227" s="562"/>
      <c r="F227" s="563">
        <f t="shared" si="19"/>
        <v>0</v>
      </c>
      <c r="G227" s="564"/>
      <c r="H227" s="173"/>
      <c r="I227" s="173"/>
      <c r="J227" s="566">
        <f>SUM(H224:I226)</f>
        <v>0</v>
      </c>
      <c r="K227" s="154"/>
      <c r="L227" s="154"/>
      <c r="M227" s="154">
        <f>SUM(K224:L226)</f>
        <v>0</v>
      </c>
      <c r="N227" s="154"/>
      <c r="O227" s="154"/>
      <c r="P227" s="154">
        <f>SUM(N224:O226)</f>
        <v>0</v>
      </c>
    </row>
    <row r="228" spans="1:16" s="556" customFormat="1" ht="15" customHeight="1">
      <c r="A228" s="550"/>
      <c r="B228" s="550"/>
      <c r="C228" s="567"/>
      <c r="D228" s="552"/>
      <c r="E228" s="552"/>
      <c r="F228" s="553">
        <f t="shared" si="19"/>
        <v>0</v>
      </c>
      <c r="G228" s="554"/>
      <c r="H228" s="172"/>
      <c r="I228" s="172"/>
      <c r="J228" s="568"/>
      <c r="K228" s="153"/>
      <c r="L228" s="153"/>
      <c r="M228" s="153"/>
      <c r="N228" s="153"/>
      <c r="O228" s="153"/>
      <c r="P228" s="153"/>
    </row>
    <row r="229" spans="1:16" s="542" customFormat="1" ht="15" customHeight="1">
      <c r="A229" s="580"/>
      <c r="B229" s="581"/>
      <c r="C229" s="582" t="s">
        <v>2267</v>
      </c>
      <c r="D229" s="583">
        <v>2</v>
      </c>
      <c r="E229" s="583">
        <v>2</v>
      </c>
      <c r="F229" s="584">
        <f t="shared" si="19"/>
        <v>0</v>
      </c>
      <c r="G229" s="579" t="s">
        <v>143</v>
      </c>
      <c r="H229" s="171"/>
      <c r="I229" s="176"/>
      <c r="J229" s="585"/>
      <c r="K229" s="153">
        <f>PRODUCT($E229*H229)</f>
        <v>0</v>
      </c>
      <c r="L229" s="153">
        <f>PRODUCT($E229*I229)</f>
        <v>0</v>
      </c>
      <c r="M229" s="157"/>
      <c r="N229" s="153">
        <f>PRODUCT($F229*H229)</f>
        <v>0</v>
      </c>
      <c r="O229" s="153">
        <f>PRODUCT($F229*I229)</f>
        <v>0</v>
      </c>
      <c r="P229" s="157"/>
    </row>
    <row r="230" spans="1:16" s="542" customFormat="1" ht="15" customHeight="1">
      <c r="A230" s="586"/>
      <c r="B230" s="581"/>
      <c r="C230" s="587" t="s">
        <v>2268</v>
      </c>
      <c r="D230" s="583">
        <v>2</v>
      </c>
      <c r="E230" s="583">
        <v>2</v>
      </c>
      <c r="F230" s="584">
        <f t="shared" si="19"/>
        <v>0</v>
      </c>
      <c r="G230" s="579" t="s">
        <v>143</v>
      </c>
      <c r="H230" s="175"/>
      <c r="I230" s="171"/>
      <c r="J230" s="588"/>
      <c r="K230" s="153">
        <f>PRODUCT($E230*H230)</f>
        <v>0</v>
      </c>
      <c r="L230" s="153">
        <f>PRODUCT($E230*I230)</f>
        <v>0</v>
      </c>
      <c r="M230" s="156"/>
      <c r="N230" s="153">
        <f>PRODUCT($F230*H230)</f>
        <v>0</v>
      </c>
      <c r="O230" s="153">
        <f>PRODUCT($F230*I230)</f>
        <v>0</v>
      </c>
      <c r="P230" s="156"/>
    </row>
    <row r="231" spans="1:16" s="542" customFormat="1" ht="15" customHeight="1">
      <c r="A231" s="560"/>
      <c r="B231" s="560"/>
      <c r="C231" s="561" t="s">
        <v>2269</v>
      </c>
      <c r="D231" s="562"/>
      <c r="E231" s="562"/>
      <c r="F231" s="563">
        <f t="shared" si="19"/>
        <v>0</v>
      </c>
      <c r="G231" s="564"/>
      <c r="H231" s="173"/>
      <c r="I231" s="173"/>
      <c r="J231" s="566">
        <f>SUM(H229:I230)</f>
        <v>0</v>
      </c>
      <c r="K231" s="154"/>
      <c r="L231" s="154"/>
      <c r="M231" s="154">
        <f>SUM(K229:L230)</f>
        <v>0</v>
      </c>
      <c r="N231" s="154"/>
      <c r="O231" s="154"/>
      <c r="P231" s="154">
        <f>SUM(N229:O230)</f>
        <v>0</v>
      </c>
    </row>
    <row r="232" spans="1:16" s="556" customFormat="1" ht="15" customHeight="1">
      <c r="A232" s="550"/>
      <c r="B232" s="550"/>
      <c r="C232" s="567"/>
      <c r="D232" s="552"/>
      <c r="E232" s="552"/>
      <c r="F232" s="553">
        <f t="shared" si="19"/>
        <v>0</v>
      </c>
      <c r="G232" s="554"/>
      <c r="H232" s="172"/>
      <c r="I232" s="172"/>
      <c r="J232" s="568"/>
      <c r="K232" s="153"/>
      <c r="L232" s="153"/>
      <c r="M232" s="153"/>
      <c r="N232" s="153"/>
      <c r="O232" s="153"/>
      <c r="P232" s="153"/>
    </row>
    <row r="233" spans="1:16" s="542" customFormat="1" ht="15" customHeight="1">
      <c r="A233" s="580"/>
      <c r="B233" s="581"/>
      <c r="C233" s="582" t="s">
        <v>1417</v>
      </c>
      <c r="D233" s="583">
        <v>1</v>
      </c>
      <c r="E233" s="583">
        <v>1</v>
      </c>
      <c r="F233" s="584">
        <f t="shared" si="19"/>
        <v>0</v>
      </c>
      <c r="G233" s="579" t="s">
        <v>1414</v>
      </c>
      <c r="H233" s="171"/>
      <c r="I233" s="176"/>
      <c r="J233" s="585"/>
      <c r="K233" s="153">
        <f>PRODUCT($E233*H233)</f>
        <v>0</v>
      </c>
      <c r="L233" s="153">
        <f>PRODUCT($E233*I233)</f>
        <v>0</v>
      </c>
      <c r="M233" s="157"/>
      <c r="N233" s="153">
        <f>PRODUCT($F233*H233)</f>
        <v>0</v>
      </c>
      <c r="O233" s="153">
        <f>PRODUCT($F233*I233)</f>
        <v>0</v>
      </c>
      <c r="P233" s="157"/>
    </row>
    <row r="234" spans="1:16" s="542" customFormat="1" ht="15" customHeight="1">
      <c r="A234" s="586"/>
      <c r="B234" s="581"/>
      <c r="C234" s="587" t="s">
        <v>1418</v>
      </c>
      <c r="D234" s="583">
        <v>1</v>
      </c>
      <c r="E234" s="583">
        <v>1</v>
      </c>
      <c r="F234" s="584">
        <f t="shared" si="19"/>
        <v>0</v>
      </c>
      <c r="G234" s="579" t="s">
        <v>1414</v>
      </c>
      <c r="H234" s="175"/>
      <c r="I234" s="171"/>
      <c r="J234" s="588"/>
      <c r="K234" s="153">
        <f>PRODUCT($E234*H234)</f>
        <v>0</v>
      </c>
      <c r="L234" s="153">
        <f>PRODUCT($E234*I234)</f>
        <v>0</v>
      </c>
      <c r="M234" s="156"/>
      <c r="N234" s="153">
        <f>PRODUCT($F234*H234)</f>
        <v>0</v>
      </c>
      <c r="O234" s="153">
        <f>PRODUCT($F234*I234)</f>
        <v>0</v>
      </c>
      <c r="P234" s="156"/>
    </row>
    <row r="235" spans="1:16" s="542" customFormat="1" ht="15" customHeight="1">
      <c r="A235" s="560"/>
      <c r="B235" s="560"/>
      <c r="C235" s="561" t="s">
        <v>1412</v>
      </c>
      <c r="D235" s="562"/>
      <c r="E235" s="562"/>
      <c r="F235" s="563">
        <f t="shared" si="19"/>
        <v>0</v>
      </c>
      <c r="G235" s="564"/>
      <c r="H235" s="173"/>
      <c r="I235" s="173"/>
      <c r="J235" s="566">
        <f>SUM(H233:I234)</f>
        <v>0</v>
      </c>
      <c r="K235" s="154"/>
      <c r="L235" s="154"/>
      <c r="M235" s="154">
        <f>SUM(K233:L234)</f>
        <v>0</v>
      </c>
      <c r="N235" s="154"/>
      <c r="O235" s="154"/>
      <c r="P235" s="154">
        <f>SUM(N233:O234)</f>
        <v>0</v>
      </c>
    </row>
    <row r="236" spans="1:16" s="556" customFormat="1" ht="15" customHeight="1">
      <c r="A236" s="550"/>
      <c r="B236" s="550"/>
      <c r="C236" s="589"/>
      <c r="D236" s="552"/>
      <c r="E236" s="552"/>
      <c r="F236" s="553">
        <f t="shared" si="19"/>
        <v>0</v>
      </c>
      <c r="G236" s="554"/>
      <c r="H236" s="172"/>
      <c r="I236" s="172"/>
      <c r="J236" s="568"/>
      <c r="K236" s="153"/>
      <c r="L236" s="153"/>
      <c r="M236" s="153"/>
      <c r="N236" s="153"/>
      <c r="O236" s="153"/>
      <c r="P236" s="153"/>
    </row>
    <row r="237" spans="1:16" s="542" customFormat="1" ht="15" customHeight="1">
      <c r="A237" s="547" t="s">
        <v>1476</v>
      </c>
      <c r="B237" s="548"/>
      <c r="C237" s="549"/>
      <c r="D237" s="548"/>
      <c r="E237" s="548"/>
      <c r="F237" s="590">
        <f t="shared" si="19"/>
        <v>0</v>
      </c>
      <c r="G237" s="548"/>
      <c r="H237" s="170"/>
      <c r="I237" s="170"/>
      <c r="J237" s="548"/>
      <c r="K237" s="151"/>
      <c r="L237" s="151"/>
      <c r="M237" s="152"/>
      <c r="N237" s="151"/>
      <c r="O237" s="151"/>
      <c r="P237" s="152"/>
    </row>
    <row r="238" spans="1:16" s="542" customFormat="1" ht="15" customHeight="1">
      <c r="A238" s="586" t="s">
        <v>1477</v>
      </c>
      <c r="B238" s="586"/>
      <c r="C238" s="587" t="s">
        <v>1478</v>
      </c>
      <c r="D238" s="583">
        <v>1</v>
      </c>
      <c r="E238" s="583"/>
      <c r="F238" s="584">
        <f t="shared" si="19"/>
        <v>1</v>
      </c>
      <c r="G238" s="580" t="s">
        <v>143</v>
      </c>
      <c r="H238" s="171"/>
      <c r="I238" s="175"/>
      <c r="J238" s="599"/>
      <c r="K238" s="153">
        <f>PRODUCT($E238*H238)</f>
        <v>0</v>
      </c>
      <c r="L238" s="153">
        <f>PRODUCT($E238*I238)</f>
        <v>0</v>
      </c>
      <c r="M238" s="156"/>
      <c r="N238" s="153">
        <f>PRODUCT($F238*H238)</f>
        <v>0</v>
      </c>
      <c r="O238" s="153">
        <f>PRODUCT($F238*I238)</f>
        <v>0</v>
      </c>
      <c r="P238" s="156"/>
    </row>
    <row r="239" spans="1:16" s="542" customFormat="1" ht="39.950000000000003" customHeight="1">
      <c r="A239" s="586"/>
      <c r="B239" s="586"/>
      <c r="C239" s="598" t="s">
        <v>1479</v>
      </c>
      <c r="D239" s="583"/>
      <c r="E239" s="583"/>
      <c r="F239" s="584">
        <f t="shared" si="19"/>
        <v>0</v>
      </c>
      <c r="G239" s="580"/>
      <c r="H239" s="178"/>
      <c r="I239" s="178"/>
      <c r="J239" s="599"/>
      <c r="K239" s="156"/>
      <c r="L239" s="156"/>
      <c r="M239" s="156"/>
      <c r="N239" s="156"/>
      <c r="O239" s="156"/>
      <c r="P239" s="156"/>
    </row>
    <row r="240" spans="1:16" s="542" customFormat="1" ht="15" customHeight="1">
      <c r="A240" s="586"/>
      <c r="B240" s="569" t="s">
        <v>1480</v>
      </c>
      <c r="C240" s="587" t="s">
        <v>1481</v>
      </c>
      <c r="D240" s="583">
        <v>1</v>
      </c>
      <c r="E240" s="583"/>
      <c r="F240" s="584">
        <f t="shared" si="19"/>
        <v>1</v>
      </c>
      <c r="G240" s="580" t="s">
        <v>143</v>
      </c>
      <c r="H240" s="176"/>
      <c r="I240" s="171"/>
      <c r="J240" s="585"/>
      <c r="K240" s="153">
        <f>PRODUCT($E240*H240)</f>
        <v>0</v>
      </c>
      <c r="L240" s="153">
        <f>PRODUCT($E240*I240)</f>
        <v>0</v>
      </c>
      <c r="M240" s="157"/>
      <c r="N240" s="153">
        <f>PRODUCT($F240*H240)</f>
        <v>0</v>
      </c>
      <c r="O240" s="153">
        <f>PRODUCT($F240*I240)</f>
        <v>0</v>
      </c>
      <c r="P240" s="157"/>
    </row>
    <row r="241" spans="1:16" s="542" customFormat="1" ht="15" customHeight="1">
      <c r="A241" s="560"/>
      <c r="B241" s="560"/>
      <c r="C241" s="561" t="s">
        <v>1482</v>
      </c>
      <c r="D241" s="562"/>
      <c r="E241" s="562"/>
      <c r="F241" s="563">
        <f t="shared" si="19"/>
        <v>0</v>
      </c>
      <c r="G241" s="564"/>
      <c r="H241" s="173"/>
      <c r="I241" s="173"/>
      <c r="J241" s="566">
        <f>SUM(H238:I240)</f>
        <v>0</v>
      </c>
      <c r="K241" s="154"/>
      <c r="L241" s="154"/>
      <c r="M241" s="154">
        <f>SUM(K238:L240)</f>
        <v>0</v>
      </c>
      <c r="N241" s="154"/>
      <c r="O241" s="154"/>
      <c r="P241" s="154">
        <f>SUM(N238:O240)</f>
        <v>0</v>
      </c>
    </row>
    <row r="242" spans="1:16" s="556" customFormat="1" ht="15" customHeight="1">
      <c r="A242" s="550"/>
      <c r="B242" s="550"/>
      <c r="C242" s="559"/>
      <c r="D242" s="552"/>
      <c r="E242" s="552"/>
      <c r="F242" s="553">
        <f t="shared" si="19"/>
        <v>0</v>
      </c>
      <c r="G242" s="554"/>
      <c r="H242" s="172"/>
      <c r="I242" s="172"/>
      <c r="J242" s="555"/>
      <c r="K242" s="153"/>
      <c r="L242" s="153"/>
      <c r="M242" s="153"/>
      <c r="N242" s="153"/>
      <c r="O242" s="153"/>
      <c r="P242" s="153"/>
    </row>
    <row r="243" spans="1:16" s="556" customFormat="1" ht="15" customHeight="1">
      <c r="A243" s="550" t="s">
        <v>1483</v>
      </c>
      <c r="B243" s="550"/>
      <c r="C243" s="559" t="s">
        <v>1430</v>
      </c>
      <c r="D243" s="552">
        <v>1</v>
      </c>
      <c r="E243" s="552"/>
      <c r="F243" s="553">
        <f t="shared" si="19"/>
        <v>1</v>
      </c>
      <c r="G243" s="554" t="s">
        <v>143</v>
      </c>
      <c r="H243" s="171"/>
      <c r="I243" s="171"/>
      <c r="J243" s="555"/>
      <c r="K243" s="153">
        <f>PRODUCT($E243*H243)</f>
        <v>0</v>
      </c>
      <c r="L243" s="153">
        <f>PRODUCT($E243*I243)</f>
        <v>0</v>
      </c>
      <c r="M243" s="153"/>
      <c r="N243" s="153">
        <f>PRODUCT($F243*H243)</f>
        <v>0</v>
      </c>
      <c r="O243" s="153">
        <f>PRODUCT($F243*I243)</f>
        <v>0</v>
      </c>
      <c r="P243" s="153"/>
    </row>
    <row r="244" spans="1:16" s="556" customFormat="1" ht="15" customHeight="1">
      <c r="A244" s="550"/>
      <c r="B244" s="569" t="s">
        <v>1373</v>
      </c>
      <c r="C244" s="559" t="s">
        <v>1431</v>
      </c>
      <c r="D244" s="552">
        <v>1</v>
      </c>
      <c r="E244" s="552"/>
      <c r="F244" s="553">
        <f t="shared" si="19"/>
        <v>1</v>
      </c>
      <c r="G244" s="554" t="s">
        <v>143</v>
      </c>
      <c r="H244" s="171"/>
      <c r="I244" s="171"/>
      <c r="J244" s="555"/>
      <c r="K244" s="153">
        <f>PRODUCT($E244*H244)</f>
        <v>0</v>
      </c>
      <c r="L244" s="153">
        <f>PRODUCT($E244*I244)</f>
        <v>0</v>
      </c>
      <c r="M244" s="153"/>
      <c r="N244" s="153">
        <f>PRODUCT($F244*H244)</f>
        <v>0</v>
      </c>
      <c r="O244" s="153">
        <f>PRODUCT($F244*I244)</f>
        <v>0</v>
      </c>
      <c r="P244" s="153"/>
    </row>
    <row r="245" spans="1:16" s="556" customFormat="1" ht="15" customHeight="1">
      <c r="A245" s="570"/>
      <c r="B245" s="570"/>
      <c r="C245" s="561" t="s">
        <v>1432</v>
      </c>
      <c r="D245" s="572"/>
      <c r="E245" s="572"/>
      <c r="F245" s="573">
        <f t="shared" si="19"/>
        <v>0</v>
      </c>
      <c r="G245" s="574"/>
      <c r="H245" s="174"/>
      <c r="I245" s="174"/>
      <c r="J245" s="576">
        <f>SUM(H243:I244)</f>
        <v>0</v>
      </c>
      <c r="K245" s="155"/>
      <c r="L245" s="155"/>
      <c r="M245" s="155">
        <f>SUM(K243:L244)</f>
        <v>0</v>
      </c>
      <c r="N245" s="155"/>
      <c r="O245" s="155"/>
      <c r="P245" s="155">
        <f>SUM(N243:O244)</f>
        <v>0</v>
      </c>
    </row>
    <row r="246" spans="1:16" s="556" customFormat="1" ht="15" customHeight="1">
      <c r="A246" s="550"/>
      <c r="B246" s="550"/>
      <c r="C246" s="559"/>
      <c r="D246" s="552"/>
      <c r="E246" s="552"/>
      <c r="F246" s="553">
        <f t="shared" si="19"/>
        <v>0</v>
      </c>
      <c r="G246" s="554"/>
      <c r="H246" s="172"/>
      <c r="I246" s="172"/>
      <c r="J246" s="555"/>
      <c r="K246" s="153"/>
      <c r="L246" s="153"/>
      <c r="M246" s="153"/>
      <c r="N246" s="153"/>
      <c r="O246" s="153"/>
      <c r="P246" s="153"/>
    </row>
    <row r="247" spans="1:16" s="556" customFormat="1" ht="15" customHeight="1">
      <c r="A247" s="550" t="s">
        <v>1484</v>
      </c>
      <c r="B247" s="550"/>
      <c r="C247" s="559" t="s">
        <v>1436</v>
      </c>
      <c r="D247" s="552">
        <v>3</v>
      </c>
      <c r="E247" s="552"/>
      <c r="F247" s="553">
        <f t="shared" si="19"/>
        <v>3</v>
      </c>
      <c r="G247" s="554" t="s">
        <v>143</v>
      </c>
      <c r="H247" s="171"/>
      <c r="I247" s="171"/>
      <c r="J247" s="555"/>
      <c r="K247" s="153">
        <f t="shared" ref="K247:L249" si="22">PRODUCT($E247*H247)</f>
        <v>0</v>
      </c>
      <c r="L247" s="153">
        <f t="shared" si="22"/>
        <v>0</v>
      </c>
      <c r="M247" s="153"/>
      <c r="N247" s="153">
        <f t="shared" ref="N247:O249" si="23">PRODUCT($F247*H247)</f>
        <v>0</v>
      </c>
      <c r="O247" s="153">
        <f t="shared" si="23"/>
        <v>0</v>
      </c>
      <c r="P247" s="153"/>
    </row>
    <row r="248" spans="1:16" s="556" customFormat="1" ht="15" customHeight="1">
      <c r="A248" s="550" t="s">
        <v>1485</v>
      </c>
      <c r="B248" s="550"/>
      <c r="C248" s="559" t="s">
        <v>1438</v>
      </c>
      <c r="D248" s="552">
        <v>1</v>
      </c>
      <c r="E248" s="552"/>
      <c r="F248" s="553">
        <f t="shared" si="19"/>
        <v>1</v>
      </c>
      <c r="G248" s="554" t="s">
        <v>143</v>
      </c>
      <c r="H248" s="171"/>
      <c r="I248" s="171"/>
      <c r="J248" s="555"/>
      <c r="K248" s="153">
        <f t="shared" si="22"/>
        <v>0</v>
      </c>
      <c r="L248" s="153">
        <f t="shared" si="22"/>
        <v>0</v>
      </c>
      <c r="M248" s="153"/>
      <c r="N248" s="153">
        <f t="shared" si="23"/>
        <v>0</v>
      </c>
      <c r="O248" s="153">
        <f t="shared" si="23"/>
        <v>0</v>
      </c>
      <c r="P248" s="153"/>
    </row>
    <row r="249" spans="1:16" s="556" customFormat="1" ht="15" customHeight="1">
      <c r="A249" s="550"/>
      <c r="B249" s="550" t="s">
        <v>1383</v>
      </c>
      <c r="C249" s="559" t="s">
        <v>1439</v>
      </c>
      <c r="D249" s="552">
        <f>SUM(D247:D248)</f>
        <v>4</v>
      </c>
      <c r="E249" s="552"/>
      <c r="F249" s="553">
        <f t="shared" si="19"/>
        <v>4</v>
      </c>
      <c r="G249" s="554" t="s">
        <v>143</v>
      </c>
      <c r="H249" s="171"/>
      <c r="I249" s="171"/>
      <c r="J249" s="555"/>
      <c r="K249" s="153">
        <f t="shared" si="22"/>
        <v>0</v>
      </c>
      <c r="L249" s="153">
        <f t="shared" si="22"/>
        <v>0</v>
      </c>
      <c r="M249" s="153"/>
      <c r="N249" s="153">
        <f t="shared" si="23"/>
        <v>0</v>
      </c>
      <c r="O249" s="153">
        <f t="shared" si="23"/>
        <v>0</v>
      </c>
      <c r="P249" s="153"/>
    </row>
    <row r="250" spans="1:16" s="542" customFormat="1" ht="15" customHeight="1">
      <c r="A250" s="560"/>
      <c r="B250" s="560"/>
      <c r="C250" s="561" t="s">
        <v>1486</v>
      </c>
      <c r="D250" s="562"/>
      <c r="E250" s="562"/>
      <c r="F250" s="563">
        <f t="shared" si="19"/>
        <v>0</v>
      </c>
      <c r="G250" s="564"/>
      <c r="H250" s="173"/>
      <c r="I250" s="173"/>
      <c r="J250" s="566">
        <f>SUM(H248:I249)</f>
        <v>0</v>
      </c>
      <c r="K250" s="154"/>
      <c r="L250" s="154"/>
      <c r="M250" s="154">
        <f>SUM(K247:L249)</f>
        <v>0</v>
      </c>
      <c r="N250" s="154"/>
      <c r="O250" s="154"/>
      <c r="P250" s="154">
        <f>SUM(N247:O249)</f>
        <v>0</v>
      </c>
    </row>
    <row r="251" spans="1:16" s="556" customFormat="1" ht="15" customHeight="1">
      <c r="A251" s="550"/>
      <c r="B251" s="550"/>
      <c r="C251" s="559"/>
      <c r="D251" s="552"/>
      <c r="E251" s="552"/>
      <c r="F251" s="553">
        <f t="shared" si="19"/>
        <v>0</v>
      </c>
      <c r="G251" s="554"/>
      <c r="H251" s="172"/>
      <c r="I251" s="172"/>
      <c r="J251" s="555"/>
      <c r="K251" s="153"/>
      <c r="L251" s="153"/>
      <c r="M251" s="153"/>
      <c r="N251" s="153"/>
      <c r="O251" s="153"/>
      <c r="P251" s="153"/>
    </row>
    <row r="252" spans="1:16" s="556" customFormat="1" ht="15" customHeight="1">
      <c r="A252" s="550"/>
      <c r="B252" s="550"/>
      <c r="C252" s="559"/>
      <c r="D252" s="552"/>
      <c r="E252" s="552"/>
      <c r="F252" s="553">
        <f t="shared" si="19"/>
        <v>0</v>
      </c>
      <c r="G252" s="554"/>
      <c r="H252" s="172"/>
      <c r="I252" s="172"/>
      <c r="J252" s="555"/>
      <c r="K252" s="153"/>
      <c r="L252" s="153"/>
      <c r="M252" s="153"/>
      <c r="N252" s="153"/>
      <c r="O252" s="153"/>
      <c r="P252" s="153"/>
    </row>
    <row r="253" spans="1:16" s="556" customFormat="1" ht="15" customHeight="1">
      <c r="A253" s="550"/>
      <c r="B253" s="550"/>
      <c r="C253" s="559"/>
      <c r="D253" s="552"/>
      <c r="E253" s="552"/>
      <c r="F253" s="553">
        <f t="shared" si="19"/>
        <v>0</v>
      </c>
      <c r="G253" s="554"/>
      <c r="H253" s="172"/>
      <c r="I253" s="172"/>
      <c r="J253" s="555"/>
      <c r="K253" s="153"/>
      <c r="L253" s="153"/>
      <c r="M253" s="153"/>
      <c r="N253" s="153"/>
      <c r="O253" s="153"/>
      <c r="P253" s="153"/>
    </row>
    <row r="254" spans="1:16" s="556" customFormat="1" ht="15" customHeight="1">
      <c r="A254" s="550"/>
      <c r="B254" s="550"/>
      <c r="C254" s="559"/>
      <c r="D254" s="552"/>
      <c r="E254" s="552"/>
      <c r="F254" s="553">
        <f t="shared" si="19"/>
        <v>0</v>
      </c>
      <c r="G254" s="554"/>
      <c r="H254" s="172"/>
      <c r="I254" s="172"/>
      <c r="J254" s="555"/>
      <c r="K254" s="153"/>
      <c r="L254" s="153"/>
      <c r="M254" s="153"/>
      <c r="N254" s="153"/>
      <c r="O254" s="153"/>
      <c r="P254" s="153"/>
    </row>
    <row r="255" spans="1:16" s="556" customFormat="1" ht="15" customHeight="1">
      <c r="A255" s="550"/>
      <c r="B255" s="550"/>
      <c r="C255" s="559"/>
      <c r="D255" s="552"/>
      <c r="E255" s="552"/>
      <c r="F255" s="553">
        <f t="shared" si="19"/>
        <v>0</v>
      </c>
      <c r="G255" s="554"/>
      <c r="H255" s="172"/>
      <c r="I255" s="172"/>
      <c r="J255" s="555"/>
      <c r="K255" s="153"/>
      <c r="L255" s="153"/>
      <c r="M255" s="153"/>
      <c r="N255" s="153"/>
      <c r="O255" s="153"/>
      <c r="P255" s="153"/>
    </row>
    <row r="256" spans="1:16" s="542" customFormat="1" ht="15" customHeight="1">
      <c r="A256" s="586"/>
      <c r="B256" s="586"/>
      <c r="C256" s="582" t="s">
        <v>1487</v>
      </c>
      <c r="D256" s="583">
        <v>5</v>
      </c>
      <c r="E256" s="583"/>
      <c r="F256" s="584">
        <f t="shared" si="19"/>
        <v>5</v>
      </c>
      <c r="G256" s="579" t="s">
        <v>68</v>
      </c>
      <c r="H256" s="171"/>
      <c r="I256" s="175"/>
      <c r="J256" s="600"/>
      <c r="K256" s="153">
        <f>PRODUCT($E256*H256)</f>
        <v>0</v>
      </c>
      <c r="L256" s="153">
        <f>PRODUCT($E256*I256)</f>
        <v>0</v>
      </c>
      <c r="M256" s="156"/>
      <c r="N256" s="153">
        <f>PRODUCT($F256*H256)</f>
        <v>0</v>
      </c>
      <c r="O256" s="153">
        <f>PRODUCT($F256*I256)</f>
        <v>0</v>
      </c>
      <c r="P256" s="156"/>
    </row>
    <row r="257" spans="1:16" s="542" customFormat="1" ht="15" customHeight="1">
      <c r="A257" s="586"/>
      <c r="B257" s="586"/>
      <c r="C257" s="582" t="s">
        <v>1488</v>
      </c>
      <c r="D257" s="583">
        <v>2</v>
      </c>
      <c r="E257" s="583"/>
      <c r="F257" s="584">
        <f t="shared" si="19"/>
        <v>2</v>
      </c>
      <c r="G257" s="579" t="s">
        <v>68</v>
      </c>
      <c r="H257" s="171"/>
      <c r="I257" s="175"/>
      <c r="J257" s="600"/>
      <c r="K257" s="153">
        <f>PRODUCT($E257*H257)</f>
        <v>0</v>
      </c>
      <c r="L257" s="153">
        <f>PRODUCT($E257*I257)</f>
        <v>0</v>
      </c>
      <c r="M257" s="156"/>
      <c r="N257" s="153">
        <f>PRODUCT($F257*H257)</f>
        <v>0</v>
      </c>
      <c r="O257" s="153">
        <f>PRODUCT($F257*I257)</f>
        <v>0</v>
      </c>
      <c r="P257" s="156"/>
    </row>
    <row r="258" spans="1:16" s="542" customFormat="1" ht="39.950000000000003" customHeight="1">
      <c r="A258" s="597"/>
      <c r="B258" s="586"/>
      <c r="C258" s="598" t="s">
        <v>1465</v>
      </c>
      <c r="D258" s="583"/>
      <c r="E258" s="583"/>
      <c r="F258" s="584">
        <f t="shared" si="19"/>
        <v>0</v>
      </c>
      <c r="G258" s="580"/>
      <c r="H258" s="178"/>
      <c r="I258" s="178"/>
      <c r="J258" s="599"/>
      <c r="K258" s="156"/>
      <c r="L258" s="156"/>
      <c r="M258" s="156"/>
      <c r="N258" s="156"/>
      <c r="O258" s="156"/>
      <c r="P258" s="156"/>
    </row>
    <row r="259" spans="1:16" s="542" customFormat="1" ht="15" customHeight="1">
      <c r="A259" s="586"/>
      <c r="B259" s="579" t="s">
        <v>1466</v>
      </c>
      <c r="C259" s="582" t="s">
        <v>1467</v>
      </c>
      <c r="D259" s="583">
        <f>SUM(D256:D258)</f>
        <v>7</v>
      </c>
      <c r="E259" s="583"/>
      <c r="F259" s="584">
        <f t="shared" si="19"/>
        <v>7</v>
      </c>
      <c r="G259" s="579" t="s">
        <v>68</v>
      </c>
      <c r="H259" s="175"/>
      <c r="I259" s="171"/>
      <c r="J259" s="600"/>
      <c r="K259" s="153">
        <f>PRODUCT($E259*H259)</f>
        <v>0</v>
      </c>
      <c r="L259" s="153">
        <f>PRODUCT($E259*I259)</f>
        <v>0</v>
      </c>
      <c r="M259" s="156"/>
      <c r="N259" s="153">
        <f>PRODUCT($F259*H259)</f>
        <v>0</v>
      </c>
      <c r="O259" s="153">
        <f>PRODUCT($F259*I259)</f>
        <v>0</v>
      </c>
      <c r="P259" s="156"/>
    </row>
    <row r="260" spans="1:16" s="542" customFormat="1" ht="15" customHeight="1">
      <c r="A260" s="560"/>
      <c r="B260" s="560"/>
      <c r="C260" s="561" t="s">
        <v>1468</v>
      </c>
      <c r="D260" s="562"/>
      <c r="E260" s="562"/>
      <c r="F260" s="563">
        <f t="shared" si="19"/>
        <v>0</v>
      </c>
      <c r="G260" s="564"/>
      <c r="H260" s="173"/>
      <c r="I260" s="173"/>
      <c r="J260" s="566">
        <f>SUM(H256:I259)</f>
        <v>0</v>
      </c>
      <c r="K260" s="154"/>
      <c r="L260" s="154"/>
      <c r="M260" s="154">
        <f>SUM(K256:L259)</f>
        <v>0</v>
      </c>
      <c r="N260" s="154"/>
      <c r="O260" s="154"/>
      <c r="P260" s="154">
        <f>SUM(N256:O259)</f>
        <v>0</v>
      </c>
    </row>
    <row r="261" spans="1:16" s="556" customFormat="1" ht="15" customHeight="1">
      <c r="A261" s="550"/>
      <c r="B261" s="550"/>
      <c r="C261" s="559"/>
      <c r="D261" s="552"/>
      <c r="E261" s="552"/>
      <c r="F261" s="553">
        <f t="shared" si="19"/>
        <v>0</v>
      </c>
      <c r="G261" s="554"/>
      <c r="H261" s="172"/>
      <c r="I261" s="172"/>
      <c r="J261" s="555"/>
      <c r="K261" s="153"/>
      <c r="L261" s="153"/>
      <c r="M261" s="153"/>
      <c r="N261" s="153"/>
      <c r="O261" s="153"/>
      <c r="P261" s="153"/>
    </row>
    <row r="262" spans="1:16" s="542" customFormat="1" ht="15" customHeight="1">
      <c r="A262" s="586"/>
      <c r="B262" s="586"/>
      <c r="C262" s="582" t="s">
        <v>1489</v>
      </c>
      <c r="D262" s="583">
        <v>3</v>
      </c>
      <c r="E262" s="583"/>
      <c r="F262" s="584">
        <f t="shared" si="19"/>
        <v>3</v>
      </c>
      <c r="G262" s="579" t="s">
        <v>68</v>
      </c>
      <c r="H262" s="171"/>
      <c r="I262" s="175"/>
      <c r="J262" s="600"/>
      <c r="K262" s="153">
        <f t="shared" ref="K262:L265" si="24">PRODUCT($E262*H262)</f>
        <v>0</v>
      </c>
      <c r="L262" s="153">
        <f t="shared" si="24"/>
        <v>0</v>
      </c>
      <c r="M262" s="156"/>
      <c r="N262" s="153">
        <f t="shared" ref="N262:O265" si="25">PRODUCT($F262*H262)</f>
        <v>0</v>
      </c>
      <c r="O262" s="153">
        <f t="shared" si="25"/>
        <v>0</v>
      </c>
      <c r="P262" s="156"/>
    </row>
    <row r="263" spans="1:16" s="542" customFormat="1" ht="15" customHeight="1">
      <c r="A263" s="586"/>
      <c r="B263" s="586"/>
      <c r="C263" s="582" t="s">
        <v>1490</v>
      </c>
      <c r="D263" s="583">
        <v>3</v>
      </c>
      <c r="E263" s="583"/>
      <c r="F263" s="584">
        <f t="shared" si="19"/>
        <v>3</v>
      </c>
      <c r="G263" s="579" t="s">
        <v>68</v>
      </c>
      <c r="H263" s="171"/>
      <c r="I263" s="175"/>
      <c r="J263" s="600"/>
      <c r="K263" s="153">
        <f t="shared" si="24"/>
        <v>0</v>
      </c>
      <c r="L263" s="153">
        <f t="shared" si="24"/>
        <v>0</v>
      </c>
      <c r="M263" s="156"/>
      <c r="N263" s="153">
        <f t="shared" si="25"/>
        <v>0</v>
      </c>
      <c r="O263" s="153">
        <f t="shared" si="25"/>
        <v>0</v>
      </c>
      <c r="P263" s="156"/>
    </row>
    <row r="264" spans="1:16" s="542" customFormat="1" ht="15" customHeight="1">
      <c r="A264" s="586"/>
      <c r="B264" s="586"/>
      <c r="C264" s="582" t="s">
        <v>1445</v>
      </c>
      <c r="D264" s="583">
        <v>3</v>
      </c>
      <c r="E264" s="583"/>
      <c r="F264" s="584">
        <f t="shared" si="19"/>
        <v>3</v>
      </c>
      <c r="G264" s="579" t="s">
        <v>68</v>
      </c>
      <c r="H264" s="171"/>
      <c r="I264" s="175"/>
      <c r="J264" s="600"/>
      <c r="K264" s="153">
        <f t="shared" si="24"/>
        <v>0</v>
      </c>
      <c r="L264" s="153">
        <f t="shared" si="24"/>
        <v>0</v>
      </c>
      <c r="M264" s="156"/>
      <c r="N264" s="153">
        <f t="shared" si="25"/>
        <v>0</v>
      </c>
      <c r="O264" s="153">
        <f t="shared" si="25"/>
        <v>0</v>
      </c>
      <c r="P264" s="156"/>
    </row>
    <row r="265" spans="1:16" s="542" customFormat="1" ht="15" customHeight="1">
      <c r="A265" s="586"/>
      <c r="B265" s="579" t="s">
        <v>1402</v>
      </c>
      <c r="C265" s="582" t="s">
        <v>1403</v>
      </c>
      <c r="D265" s="583">
        <f>SUM(D262:D264)</f>
        <v>9</v>
      </c>
      <c r="E265" s="583"/>
      <c r="F265" s="584">
        <f t="shared" si="19"/>
        <v>9</v>
      </c>
      <c r="G265" s="579" t="s">
        <v>68</v>
      </c>
      <c r="H265" s="175"/>
      <c r="I265" s="171"/>
      <c r="J265" s="600"/>
      <c r="K265" s="153">
        <f t="shared" si="24"/>
        <v>0</v>
      </c>
      <c r="L265" s="153">
        <f t="shared" si="24"/>
        <v>0</v>
      </c>
      <c r="M265" s="156"/>
      <c r="N265" s="153">
        <f t="shared" si="25"/>
        <v>0</v>
      </c>
      <c r="O265" s="153">
        <f t="shared" si="25"/>
        <v>0</v>
      </c>
      <c r="P265" s="156"/>
    </row>
    <row r="266" spans="1:16" s="542" customFormat="1" ht="15" customHeight="1">
      <c r="A266" s="560"/>
      <c r="B266" s="560"/>
      <c r="C266" s="561" t="s">
        <v>1468</v>
      </c>
      <c r="D266" s="562"/>
      <c r="E266" s="562"/>
      <c r="F266" s="563">
        <f t="shared" si="19"/>
        <v>0</v>
      </c>
      <c r="G266" s="564"/>
      <c r="H266" s="173"/>
      <c r="I266" s="173"/>
      <c r="J266" s="566">
        <f>SUM(H262:I265)</f>
        <v>0</v>
      </c>
      <c r="K266" s="154"/>
      <c r="L266" s="154"/>
      <c r="M266" s="154">
        <f>SUM(K262:L265)</f>
        <v>0</v>
      </c>
      <c r="N266" s="154"/>
      <c r="O266" s="154"/>
      <c r="P266" s="154">
        <f>SUM(N262:O265)</f>
        <v>0</v>
      </c>
    </row>
    <row r="267" spans="1:16" s="542" customFormat="1" ht="15" customHeight="1">
      <c r="A267" s="586"/>
      <c r="B267" s="586"/>
      <c r="C267" s="582"/>
      <c r="D267" s="583"/>
      <c r="E267" s="583"/>
      <c r="F267" s="584">
        <f t="shared" si="19"/>
        <v>0</v>
      </c>
      <c r="G267" s="580"/>
      <c r="H267" s="178"/>
      <c r="I267" s="178"/>
      <c r="J267" s="599"/>
      <c r="K267" s="156"/>
      <c r="L267" s="156"/>
      <c r="M267" s="156"/>
      <c r="N267" s="156"/>
      <c r="O267" s="156"/>
      <c r="P267" s="156"/>
    </row>
    <row r="268" spans="1:16" s="542" customFormat="1" ht="15" customHeight="1">
      <c r="A268" s="580"/>
      <c r="B268" s="581"/>
      <c r="C268" s="582" t="s">
        <v>1447</v>
      </c>
      <c r="D268" s="583">
        <v>2</v>
      </c>
      <c r="E268" s="583"/>
      <c r="F268" s="584">
        <f t="shared" si="19"/>
        <v>2</v>
      </c>
      <c r="G268" s="579" t="s">
        <v>1414</v>
      </c>
      <c r="H268" s="171"/>
      <c r="I268" s="176"/>
      <c r="J268" s="585"/>
      <c r="K268" s="153">
        <f>PRODUCT($E268*H268)</f>
        <v>0</v>
      </c>
      <c r="L268" s="153">
        <f>PRODUCT($E268*I268)</f>
        <v>0</v>
      </c>
      <c r="M268" s="157"/>
      <c r="N268" s="153">
        <f>PRODUCT($F268*H268)</f>
        <v>0</v>
      </c>
      <c r="O268" s="153">
        <f>PRODUCT($F268*I268)</f>
        <v>0</v>
      </c>
      <c r="P268" s="157"/>
    </row>
    <row r="269" spans="1:16" s="542" customFormat="1" ht="15" customHeight="1">
      <c r="A269" s="586"/>
      <c r="B269" s="581"/>
      <c r="C269" s="587" t="s">
        <v>1415</v>
      </c>
      <c r="D269" s="583">
        <v>2</v>
      </c>
      <c r="E269" s="583"/>
      <c r="F269" s="584">
        <f t="shared" si="19"/>
        <v>2</v>
      </c>
      <c r="G269" s="579" t="s">
        <v>1414</v>
      </c>
      <c r="H269" s="175"/>
      <c r="I269" s="171"/>
      <c r="J269" s="588"/>
      <c r="K269" s="153">
        <f>PRODUCT($E269*H269)</f>
        <v>0</v>
      </c>
      <c r="L269" s="153">
        <f>PRODUCT($E269*I269)</f>
        <v>0</v>
      </c>
      <c r="M269" s="156"/>
      <c r="N269" s="153">
        <f>PRODUCT($F269*H269)</f>
        <v>0</v>
      </c>
      <c r="O269" s="153">
        <f>PRODUCT($F269*I269)</f>
        <v>0</v>
      </c>
      <c r="P269" s="156"/>
    </row>
    <row r="270" spans="1:16" s="542" customFormat="1" ht="15" customHeight="1">
      <c r="A270" s="560"/>
      <c r="B270" s="560"/>
      <c r="C270" s="561" t="s">
        <v>1448</v>
      </c>
      <c r="D270" s="562"/>
      <c r="E270" s="562"/>
      <c r="F270" s="563">
        <f t="shared" ref="F270:F333" si="26">D270-E270</f>
        <v>0</v>
      </c>
      <c r="G270" s="564"/>
      <c r="H270" s="173"/>
      <c r="I270" s="173"/>
      <c r="J270" s="566">
        <f>SUM(H268:I269)</f>
        <v>0</v>
      </c>
      <c r="K270" s="154"/>
      <c r="L270" s="154"/>
      <c r="M270" s="154">
        <f>SUM(K268:L269)</f>
        <v>0</v>
      </c>
      <c r="N270" s="154"/>
      <c r="O270" s="154"/>
      <c r="P270" s="154">
        <f>SUM(N268:O269)</f>
        <v>0</v>
      </c>
    </row>
    <row r="271" spans="1:16" s="556" customFormat="1" ht="15" customHeight="1">
      <c r="A271" s="550"/>
      <c r="B271" s="550"/>
      <c r="C271" s="589"/>
      <c r="D271" s="552"/>
      <c r="E271" s="552"/>
      <c r="F271" s="553">
        <f t="shared" si="26"/>
        <v>0</v>
      </c>
      <c r="G271" s="554"/>
      <c r="H271" s="172"/>
      <c r="I271" s="172"/>
      <c r="J271" s="568"/>
      <c r="K271" s="153"/>
      <c r="L271" s="153"/>
      <c r="M271" s="153"/>
      <c r="N271" s="153"/>
      <c r="O271" s="153"/>
      <c r="P271" s="153"/>
    </row>
    <row r="272" spans="1:16" s="556" customFormat="1" ht="15" customHeight="1">
      <c r="A272" s="550"/>
      <c r="B272" s="550"/>
      <c r="C272" s="589"/>
      <c r="D272" s="552"/>
      <c r="E272" s="552"/>
      <c r="F272" s="553">
        <f t="shared" si="26"/>
        <v>0</v>
      </c>
      <c r="G272" s="554"/>
      <c r="H272" s="172"/>
      <c r="I272" s="172"/>
      <c r="J272" s="568"/>
      <c r="K272" s="153"/>
      <c r="L272" s="153"/>
      <c r="M272" s="153"/>
      <c r="N272" s="153"/>
      <c r="O272" s="153"/>
      <c r="P272" s="153"/>
    </row>
    <row r="273" spans="1:16" s="542" customFormat="1" ht="15" customHeight="1">
      <c r="A273" s="547" t="s">
        <v>1491</v>
      </c>
      <c r="B273" s="548"/>
      <c r="C273" s="549"/>
      <c r="D273" s="548"/>
      <c r="E273" s="548"/>
      <c r="F273" s="590">
        <f t="shared" si="26"/>
        <v>0</v>
      </c>
      <c r="G273" s="548"/>
      <c r="H273" s="170"/>
      <c r="I273" s="170"/>
      <c r="J273" s="548"/>
      <c r="K273" s="151"/>
      <c r="L273" s="151"/>
      <c r="M273" s="152"/>
      <c r="N273" s="151"/>
      <c r="O273" s="151"/>
      <c r="P273" s="152"/>
    </row>
    <row r="274" spans="1:16" s="542" customFormat="1" ht="15" customHeight="1">
      <c r="A274" s="586" t="s">
        <v>1492</v>
      </c>
      <c r="B274" s="586"/>
      <c r="C274" s="587" t="s">
        <v>1478</v>
      </c>
      <c r="D274" s="583">
        <v>1</v>
      </c>
      <c r="E274" s="583"/>
      <c r="F274" s="584">
        <f t="shared" si="26"/>
        <v>1</v>
      </c>
      <c r="G274" s="580" t="s">
        <v>143</v>
      </c>
      <c r="H274" s="171"/>
      <c r="I274" s="175"/>
      <c r="J274" s="599"/>
      <c r="K274" s="153">
        <f>PRODUCT($E274*H274)</f>
        <v>0</v>
      </c>
      <c r="L274" s="153">
        <f>PRODUCT($E274*I274)</f>
        <v>0</v>
      </c>
      <c r="M274" s="156"/>
      <c r="N274" s="153">
        <f>PRODUCT($F274*H274)</f>
        <v>0</v>
      </c>
      <c r="O274" s="153">
        <f>PRODUCT($F274*I274)</f>
        <v>0</v>
      </c>
      <c r="P274" s="156"/>
    </row>
    <row r="275" spans="1:16" s="542" customFormat="1" ht="39.950000000000003" customHeight="1">
      <c r="A275" s="586"/>
      <c r="B275" s="586"/>
      <c r="C275" s="598" t="s">
        <v>1479</v>
      </c>
      <c r="D275" s="583"/>
      <c r="E275" s="583"/>
      <c r="F275" s="584">
        <f t="shared" si="26"/>
        <v>0</v>
      </c>
      <c r="G275" s="580"/>
      <c r="H275" s="178"/>
      <c r="I275" s="178"/>
      <c r="J275" s="599"/>
      <c r="K275" s="156"/>
      <c r="L275" s="156"/>
      <c r="M275" s="156"/>
      <c r="N275" s="156"/>
      <c r="O275" s="156"/>
      <c r="P275" s="156"/>
    </row>
    <row r="276" spans="1:16" s="542" customFormat="1" ht="15" customHeight="1">
      <c r="A276" s="586"/>
      <c r="B276" s="569" t="s">
        <v>1480</v>
      </c>
      <c r="C276" s="587" t="s">
        <v>1481</v>
      </c>
      <c r="D276" s="583">
        <v>1</v>
      </c>
      <c r="E276" s="583"/>
      <c r="F276" s="584">
        <f t="shared" si="26"/>
        <v>1</v>
      </c>
      <c r="G276" s="580" t="s">
        <v>143</v>
      </c>
      <c r="H276" s="176"/>
      <c r="I276" s="171"/>
      <c r="J276" s="585"/>
      <c r="K276" s="153">
        <f>PRODUCT($E276*H276)</f>
        <v>0</v>
      </c>
      <c r="L276" s="153">
        <f>PRODUCT($E276*I276)</f>
        <v>0</v>
      </c>
      <c r="M276" s="157"/>
      <c r="N276" s="153">
        <f>PRODUCT($F276*H276)</f>
        <v>0</v>
      </c>
      <c r="O276" s="153">
        <f>PRODUCT($F276*I276)</f>
        <v>0</v>
      </c>
      <c r="P276" s="157"/>
    </row>
    <row r="277" spans="1:16" s="542" customFormat="1" ht="15" customHeight="1">
      <c r="A277" s="560"/>
      <c r="B277" s="560"/>
      <c r="C277" s="561" t="s">
        <v>1482</v>
      </c>
      <c r="D277" s="562"/>
      <c r="E277" s="562"/>
      <c r="F277" s="563">
        <f t="shared" si="26"/>
        <v>0</v>
      </c>
      <c r="G277" s="564"/>
      <c r="H277" s="173"/>
      <c r="I277" s="173"/>
      <c r="J277" s="566">
        <f>SUM(H274:I276)</f>
        <v>0</v>
      </c>
      <c r="K277" s="154"/>
      <c r="L277" s="154"/>
      <c r="M277" s="154">
        <f>SUM(K274:L276)</f>
        <v>0</v>
      </c>
      <c r="N277" s="154"/>
      <c r="O277" s="154"/>
      <c r="P277" s="154">
        <f>SUM(N274:O276)</f>
        <v>0</v>
      </c>
    </row>
    <row r="278" spans="1:16" s="556" customFormat="1" ht="15" customHeight="1">
      <c r="A278" s="550"/>
      <c r="B278" s="550"/>
      <c r="C278" s="559"/>
      <c r="D278" s="552"/>
      <c r="E278" s="552"/>
      <c r="F278" s="553">
        <f t="shared" si="26"/>
        <v>0</v>
      </c>
      <c r="G278" s="554"/>
      <c r="H278" s="172"/>
      <c r="I278" s="172"/>
      <c r="J278" s="555"/>
      <c r="K278" s="153"/>
      <c r="L278" s="153"/>
      <c r="M278" s="153"/>
      <c r="N278" s="153"/>
      <c r="O278" s="153"/>
      <c r="P278" s="153"/>
    </row>
    <row r="279" spans="1:16" s="556" customFormat="1" ht="15" customHeight="1">
      <c r="A279" s="550" t="s">
        <v>1493</v>
      </c>
      <c r="B279" s="550"/>
      <c r="C279" s="559" t="s">
        <v>1430</v>
      </c>
      <c r="D279" s="552">
        <v>1</v>
      </c>
      <c r="E279" s="552"/>
      <c r="F279" s="553">
        <f t="shared" si="26"/>
        <v>1</v>
      </c>
      <c r="G279" s="554" t="s">
        <v>143</v>
      </c>
      <c r="H279" s="171"/>
      <c r="I279" s="171"/>
      <c r="J279" s="555"/>
      <c r="K279" s="153">
        <f>PRODUCT($E279*H279)</f>
        <v>0</v>
      </c>
      <c r="L279" s="153">
        <f>PRODUCT($E279*I279)</f>
        <v>0</v>
      </c>
      <c r="M279" s="153"/>
      <c r="N279" s="153">
        <f>PRODUCT($F279*H279)</f>
        <v>0</v>
      </c>
      <c r="O279" s="153">
        <f>PRODUCT($F279*I279)</f>
        <v>0</v>
      </c>
      <c r="P279" s="153"/>
    </row>
    <row r="280" spans="1:16" s="556" customFormat="1" ht="15" customHeight="1">
      <c r="A280" s="550"/>
      <c r="B280" s="569" t="s">
        <v>1373</v>
      </c>
      <c r="C280" s="559" t="s">
        <v>1431</v>
      </c>
      <c r="D280" s="552">
        <v>1</v>
      </c>
      <c r="E280" s="552"/>
      <c r="F280" s="553">
        <f t="shared" si="26"/>
        <v>1</v>
      </c>
      <c r="G280" s="554" t="s">
        <v>143</v>
      </c>
      <c r="H280" s="171"/>
      <c r="I280" s="171"/>
      <c r="J280" s="555"/>
      <c r="K280" s="153">
        <f>PRODUCT($E280*H280)</f>
        <v>0</v>
      </c>
      <c r="L280" s="153">
        <f>PRODUCT($E280*I280)</f>
        <v>0</v>
      </c>
      <c r="M280" s="153"/>
      <c r="N280" s="153">
        <f>PRODUCT($F280*H280)</f>
        <v>0</v>
      </c>
      <c r="O280" s="153">
        <f>PRODUCT($F280*I280)</f>
        <v>0</v>
      </c>
      <c r="P280" s="153"/>
    </row>
    <row r="281" spans="1:16" s="556" customFormat="1" ht="15" customHeight="1">
      <c r="A281" s="570"/>
      <c r="B281" s="570"/>
      <c r="C281" s="561" t="s">
        <v>1432</v>
      </c>
      <c r="D281" s="572"/>
      <c r="E281" s="572"/>
      <c r="F281" s="573">
        <f t="shared" si="26"/>
        <v>0</v>
      </c>
      <c r="G281" s="574"/>
      <c r="H281" s="174"/>
      <c r="I281" s="174"/>
      <c r="J281" s="576">
        <f>SUM(H279:I280)</f>
        <v>0</v>
      </c>
      <c r="K281" s="155"/>
      <c r="L281" s="155"/>
      <c r="M281" s="155">
        <f>SUM(K279:L280)</f>
        <v>0</v>
      </c>
      <c r="N281" s="155"/>
      <c r="O281" s="155"/>
      <c r="P281" s="155">
        <f>SUM(N279:O280)</f>
        <v>0</v>
      </c>
    </row>
    <row r="282" spans="1:16" s="556" customFormat="1" ht="15" customHeight="1">
      <c r="A282" s="550"/>
      <c r="B282" s="550"/>
      <c r="C282" s="559"/>
      <c r="D282" s="552"/>
      <c r="E282" s="552"/>
      <c r="F282" s="553">
        <f t="shared" si="26"/>
        <v>0</v>
      </c>
      <c r="G282" s="554"/>
      <c r="H282" s="172"/>
      <c r="I282" s="172"/>
      <c r="J282" s="555"/>
      <c r="K282" s="153"/>
      <c r="L282" s="153"/>
      <c r="M282" s="153"/>
      <c r="N282" s="153"/>
      <c r="O282" s="153"/>
      <c r="P282" s="153"/>
    </row>
    <row r="283" spans="1:16" s="556" customFormat="1" ht="15" customHeight="1">
      <c r="A283" s="550" t="s">
        <v>1494</v>
      </c>
      <c r="B283" s="550"/>
      <c r="C283" s="559" t="s">
        <v>1436</v>
      </c>
      <c r="D283" s="552">
        <v>6</v>
      </c>
      <c r="E283" s="552"/>
      <c r="F283" s="553">
        <f t="shared" si="26"/>
        <v>6</v>
      </c>
      <c r="G283" s="554" t="s">
        <v>143</v>
      </c>
      <c r="H283" s="171"/>
      <c r="I283" s="171"/>
      <c r="J283" s="555"/>
      <c r="K283" s="153">
        <f>PRODUCT($E283*H283)</f>
        <v>0</v>
      </c>
      <c r="L283" s="153">
        <f>PRODUCT($E283*I283)</f>
        <v>0</v>
      </c>
      <c r="M283" s="153"/>
      <c r="N283" s="153">
        <f>PRODUCT($F283*H283)</f>
        <v>0</v>
      </c>
      <c r="O283" s="153">
        <f>PRODUCT($F283*I283)</f>
        <v>0</v>
      </c>
      <c r="P283" s="153"/>
    </row>
    <row r="284" spans="1:16" s="556" customFormat="1" ht="15" customHeight="1">
      <c r="A284" s="550"/>
      <c r="B284" s="550" t="s">
        <v>1383</v>
      </c>
      <c r="C284" s="559" t="s">
        <v>1439</v>
      </c>
      <c r="D284" s="552">
        <f>SUM(D283:D283)</f>
        <v>6</v>
      </c>
      <c r="E284" s="552"/>
      <c r="F284" s="553">
        <f t="shared" si="26"/>
        <v>6</v>
      </c>
      <c r="G284" s="554" t="s">
        <v>143</v>
      </c>
      <c r="H284" s="171"/>
      <c r="I284" s="171"/>
      <c r="J284" s="555"/>
      <c r="K284" s="153">
        <f>PRODUCT($E284*H284)</f>
        <v>0</v>
      </c>
      <c r="L284" s="153">
        <f>PRODUCT($E284*I284)</f>
        <v>0</v>
      </c>
      <c r="M284" s="153"/>
      <c r="N284" s="153">
        <f>PRODUCT($F284*H284)</f>
        <v>0</v>
      </c>
      <c r="O284" s="153">
        <f>PRODUCT($F284*I284)</f>
        <v>0</v>
      </c>
      <c r="P284" s="153"/>
    </row>
    <row r="285" spans="1:16" s="542" customFormat="1" ht="15" customHeight="1">
      <c r="A285" s="560"/>
      <c r="B285" s="560"/>
      <c r="C285" s="561" t="s">
        <v>1486</v>
      </c>
      <c r="D285" s="562"/>
      <c r="E285" s="562"/>
      <c r="F285" s="563">
        <f t="shared" si="26"/>
        <v>0</v>
      </c>
      <c r="G285" s="564"/>
      <c r="H285" s="173"/>
      <c r="I285" s="173"/>
      <c r="J285" s="566">
        <f>SUM(H283:I284)</f>
        <v>0</v>
      </c>
      <c r="K285" s="154"/>
      <c r="L285" s="154"/>
      <c r="M285" s="154">
        <f>SUM(K283:L284)</f>
        <v>0</v>
      </c>
      <c r="N285" s="154"/>
      <c r="O285" s="154"/>
      <c r="P285" s="154">
        <f>SUM(N283:O284)</f>
        <v>0</v>
      </c>
    </row>
    <row r="286" spans="1:16" s="556" customFormat="1" ht="15" customHeight="1">
      <c r="A286" s="550"/>
      <c r="B286" s="550"/>
      <c r="C286" s="559"/>
      <c r="D286" s="552"/>
      <c r="E286" s="552"/>
      <c r="F286" s="553">
        <f t="shared" si="26"/>
        <v>0</v>
      </c>
      <c r="G286" s="554"/>
      <c r="H286" s="172"/>
      <c r="I286" s="172"/>
      <c r="J286" s="555"/>
      <c r="K286" s="153"/>
      <c r="L286" s="153"/>
      <c r="M286" s="153"/>
      <c r="N286" s="153"/>
      <c r="O286" s="153"/>
      <c r="P286" s="153"/>
    </row>
    <row r="287" spans="1:16" s="542" customFormat="1" ht="15" customHeight="1">
      <c r="A287" s="586"/>
      <c r="B287" s="586"/>
      <c r="C287" s="582" t="s">
        <v>1487</v>
      </c>
      <c r="D287" s="583">
        <v>9</v>
      </c>
      <c r="E287" s="583"/>
      <c r="F287" s="584">
        <f t="shared" si="26"/>
        <v>9</v>
      </c>
      <c r="G287" s="579" t="s">
        <v>68</v>
      </c>
      <c r="H287" s="171"/>
      <c r="I287" s="175"/>
      <c r="J287" s="600"/>
      <c r="K287" s="153">
        <f>PRODUCT($E287*H287)</f>
        <v>0</v>
      </c>
      <c r="L287" s="153">
        <f>PRODUCT($E287*I287)</f>
        <v>0</v>
      </c>
      <c r="M287" s="156"/>
      <c r="N287" s="153">
        <f>PRODUCT($F287*H287)</f>
        <v>0</v>
      </c>
      <c r="O287" s="153">
        <f>PRODUCT($F287*I287)</f>
        <v>0</v>
      </c>
      <c r="P287" s="156"/>
    </row>
    <row r="288" spans="1:16" s="542" customFormat="1" ht="39.950000000000003" customHeight="1">
      <c r="A288" s="597"/>
      <c r="B288" s="586"/>
      <c r="C288" s="598" t="s">
        <v>1465</v>
      </c>
      <c r="D288" s="583"/>
      <c r="E288" s="583"/>
      <c r="F288" s="584">
        <f t="shared" si="26"/>
        <v>0</v>
      </c>
      <c r="G288" s="580"/>
      <c r="H288" s="178"/>
      <c r="I288" s="178"/>
      <c r="J288" s="599"/>
      <c r="K288" s="156"/>
      <c r="L288" s="156"/>
      <c r="M288" s="156"/>
      <c r="N288" s="156"/>
      <c r="O288" s="156"/>
      <c r="P288" s="156"/>
    </row>
    <row r="289" spans="1:16" s="542" customFormat="1" ht="15" customHeight="1">
      <c r="A289" s="586"/>
      <c r="B289" s="579" t="s">
        <v>1466</v>
      </c>
      <c r="C289" s="582" t="s">
        <v>1467</v>
      </c>
      <c r="D289" s="583">
        <f>SUM(D287:D288)</f>
        <v>9</v>
      </c>
      <c r="E289" s="583"/>
      <c r="F289" s="584">
        <f t="shared" si="26"/>
        <v>9</v>
      </c>
      <c r="G289" s="579" t="s">
        <v>68</v>
      </c>
      <c r="H289" s="175"/>
      <c r="I289" s="171"/>
      <c r="J289" s="600"/>
      <c r="K289" s="153">
        <f>PRODUCT($E289*H289)</f>
        <v>0</v>
      </c>
      <c r="L289" s="153">
        <f>PRODUCT($E289*I289)</f>
        <v>0</v>
      </c>
      <c r="M289" s="156"/>
      <c r="N289" s="153">
        <f>PRODUCT($F289*H289)</f>
        <v>0</v>
      </c>
      <c r="O289" s="153">
        <f>PRODUCT($F289*I289)</f>
        <v>0</v>
      </c>
      <c r="P289" s="156"/>
    </row>
    <row r="290" spans="1:16" s="542" customFormat="1" ht="15" customHeight="1">
      <c r="A290" s="560"/>
      <c r="B290" s="560"/>
      <c r="C290" s="561" t="s">
        <v>1468</v>
      </c>
      <c r="D290" s="562"/>
      <c r="E290" s="562"/>
      <c r="F290" s="563">
        <f t="shared" si="26"/>
        <v>0</v>
      </c>
      <c r="G290" s="564"/>
      <c r="H290" s="173"/>
      <c r="I290" s="173"/>
      <c r="J290" s="566">
        <f>SUM(H287:I289)</f>
        <v>0</v>
      </c>
      <c r="K290" s="154"/>
      <c r="L290" s="154"/>
      <c r="M290" s="154">
        <f>SUM(K287:L289)</f>
        <v>0</v>
      </c>
      <c r="N290" s="154"/>
      <c r="O290" s="154"/>
      <c r="P290" s="154">
        <f>SUM(N287:O289)</f>
        <v>0</v>
      </c>
    </row>
    <row r="291" spans="1:16" s="556" customFormat="1" ht="15" customHeight="1">
      <c r="A291" s="550"/>
      <c r="B291" s="550"/>
      <c r="C291" s="559"/>
      <c r="D291" s="552"/>
      <c r="E291" s="552"/>
      <c r="F291" s="553">
        <f t="shared" si="26"/>
        <v>0</v>
      </c>
      <c r="G291" s="554"/>
      <c r="H291" s="172"/>
      <c r="I291" s="172"/>
      <c r="J291" s="555"/>
      <c r="K291" s="153"/>
      <c r="L291" s="153"/>
      <c r="M291" s="153"/>
      <c r="N291" s="153"/>
      <c r="O291" s="153"/>
      <c r="P291" s="153"/>
    </row>
    <row r="292" spans="1:16" s="542" customFormat="1" ht="15" customHeight="1">
      <c r="A292" s="586"/>
      <c r="B292" s="586"/>
      <c r="C292" s="582" t="s">
        <v>1489</v>
      </c>
      <c r="D292" s="583">
        <v>7</v>
      </c>
      <c r="E292" s="583"/>
      <c r="F292" s="584">
        <f t="shared" si="26"/>
        <v>7</v>
      </c>
      <c r="G292" s="579" t="s">
        <v>68</v>
      </c>
      <c r="H292" s="171"/>
      <c r="I292" s="175"/>
      <c r="J292" s="600"/>
      <c r="K292" s="153">
        <f t="shared" ref="K292:L295" si="27">PRODUCT($E292*H292)</f>
        <v>0</v>
      </c>
      <c r="L292" s="153">
        <f t="shared" si="27"/>
        <v>0</v>
      </c>
      <c r="M292" s="156"/>
      <c r="N292" s="153">
        <f t="shared" ref="N292:O295" si="28">PRODUCT($F292*H292)</f>
        <v>0</v>
      </c>
      <c r="O292" s="153">
        <f t="shared" si="28"/>
        <v>0</v>
      </c>
      <c r="P292" s="156"/>
    </row>
    <row r="293" spans="1:16" s="542" customFormat="1" ht="15" customHeight="1">
      <c r="A293" s="586"/>
      <c r="B293" s="586"/>
      <c r="C293" s="582" t="s">
        <v>1495</v>
      </c>
      <c r="D293" s="583">
        <v>1</v>
      </c>
      <c r="E293" s="583"/>
      <c r="F293" s="584">
        <f t="shared" si="26"/>
        <v>1</v>
      </c>
      <c r="G293" s="579" t="s">
        <v>68</v>
      </c>
      <c r="H293" s="171"/>
      <c r="I293" s="175"/>
      <c r="J293" s="600"/>
      <c r="K293" s="153">
        <f t="shared" si="27"/>
        <v>0</v>
      </c>
      <c r="L293" s="153">
        <f t="shared" si="27"/>
        <v>0</v>
      </c>
      <c r="M293" s="156"/>
      <c r="N293" s="153">
        <f t="shared" si="28"/>
        <v>0</v>
      </c>
      <c r="O293" s="153">
        <f t="shared" si="28"/>
        <v>0</v>
      </c>
      <c r="P293" s="156"/>
    </row>
    <row r="294" spans="1:16" s="542" customFormat="1" ht="15" customHeight="1">
      <c r="A294" s="586"/>
      <c r="B294" s="586"/>
      <c r="C294" s="582" t="s">
        <v>1496</v>
      </c>
      <c r="D294" s="583">
        <v>5</v>
      </c>
      <c r="E294" s="583"/>
      <c r="F294" s="584">
        <f t="shared" si="26"/>
        <v>5</v>
      </c>
      <c r="G294" s="579" t="s">
        <v>68</v>
      </c>
      <c r="H294" s="171"/>
      <c r="I294" s="175"/>
      <c r="J294" s="600"/>
      <c r="K294" s="153">
        <f t="shared" si="27"/>
        <v>0</v>
      </c>
      <c r="L294" s="153">
        <f t="shared" si="27"/>
        <v>0</v>
      </c>
      <c r="M294" s="156"/>
      <c r="N294" s="153">
        <f t="shared" si="28"/>
        <v>0</v>
      </c>
      <c r="O294" s="153">
        <f t="shared" si="28"/>
        <v>0</v>
      </c>
      <c r="P294" s="156"/>
    </row>
    <row r="295" spans="1:16" s="542" customFormat="1" ht="15" customHeight="1">
      <c r="A295" s="586"/>
      <c r="B295" s="579" t="s">
        <v>1402</v>
      </c>
      <c r="C295" s="582" t="s">
        <v>1403</v>
      </c>
      <c r="D295" s="583">
        <f>SUM(D292:D294)</f>
        <v>13</v>
      </c>
      <c r="E295" s="583"/>
      <c r="F295" s="584">
        <f t="shared" si="26"/>
        <v>13</v>
      </c>
      <c r="G295" s="579" t="s">
        <v>68</v>
      </c>
      <c r="H295" s="175"/>
      <c r="I295" s="171"/>
      <c r="J295" s="600"/>
      <c r="K295" s="153">
        <f t="shared" si="27"/>
        <v>0</v>
      </c>
      <c r="L295" s="153">
        <f t="shared" si="27"/>
        <v>0</v>
      </c>
      <c r="M295" s="156"/>
      <c r="N295" s="153">
        <f t="shared" si="28"/>
        <v>0</v>
      </c>
      <c r="O295" s="153">
        <f t="shared" si="28"/>
        <v>0</v>
      </c>
      <c r="P295" s="156"/>
    </row>
    <row r="296" spans="1:16" s="542" customFormat="1" ht="15" customHeight="1">
      <c r="A296" s="560"/>
      <c r="B296" s="560"/>
      <c r="C296" s="561" t="s">
        <v>1468</v>
      </c>
      <c r="D296" s="562"/>
      <c r="E296" s="562"/>
      <c r="F296" s="563">
        <f t="shared" si="26"/>
        <v>0</v>
      </c>
      <c r="G296" s="564"/>
      <c r="H296" s="173"/>
      <c r="I296" s="173"/>
      <c r="J296" s="566">
        <f>SUM(H292:I295)</f>
        <v>0</v>
      </c>
      <c r="K296" s="154"/>
      <c r="L296" s="154"/>
      <c r="M296" s="154">
        <f>SUM(K292:L295)</f>
        <v>0</v>
      </c>
      <c r="N296" s="154"/>
      <c r="O296" s="154"/>
      <c r="P296" s="154">
        <f>SUM(N292:O295)</f>
        <v>0</v>
      </c>
    </row>
    <row r="297" spans="1:16" s="542" customFormat="1" ht="15" customHeight="1">
      <c r="A297" s="586"/>
      <c r="B297" s="586"/>
      <c r="C297" s="582"/>
      <c r="D297" s="583"/>
      <c r="E297" s="583"/>
      <c r="F297" s="584">
        <f t="shared" si="26"/>
        <v>0</v>
      </c>
      <c r="G297" s="580"/>
      <c r="H297" s="178"/>
      <c r="I297" s="178"/>
      <c r="J297" s="599"/>
      <c r="K297" s="156"/>
      <c r="L297" s="156"/>
      <c r="M297" s="156"/>
      <c r="N297" s="156"/>
      <c r="O297" s="156"/>
      <c r="P297" s="156"/>
    </row>
    <row r="298" spans="1:16" s="542" customFormat="1" ht="15" customHeight="1">
      <c r="A298" s="580"/>
      <c r="B298" s="581"/>
      <c r="C298" s="582" t="s">
        <v>1447</v>
      </c>
      <c r="D298" s="583">
        <v>2</v>
      </c>
      <c r="E298" s="583"/>
      <c r="F298" s="584">
        <f t="shared" si="26"/>
        <v>2</v>
      </c>
      <c r="G298" s="579" t="s">
        <v>1414</v>
      </c>
      <c r="H298" s="171"/>
      <c r="I298" s="176"/>
      <c r="J298" s="585"/>
      <c r="K298" s="153">
        <f>PRODUCT($E298*H298)</f>
        <v>0</v>
      </c>
      <c r="L298" s="153">
        <f>PRODUCT($E298*I298)</f>
        <v>0</v>
      </c>
      <c r="M298" s="157"/>
      <c r="N298" s="153">
        <f>PRODUCT($F298*H298)</f>
        <v>0</v>
      </c>
      <c r="O298" s="153">
        <f>PRODUCT($F298*I298)</f>
        <v>0</v>
      </c>
      <c r="P298" s="157"/>
    </row>
    <row r="299" spans="1:16" s="542" customFormat="1" ht="15" customHeight="1">
      <c r="A299" s="586"/>
      <c r="B299" s="581"/>
      <c r="C299" s="587" t="s">
        <v>1415</v>
      </c>
      <c r="D299" s="583">
        <v>2</v>
      </c>
      <c r="E299" s="583"/>
      <c r="F299" s="584">
        <f t="shared" si="26"/>
        <v>2</v>
      </c>
      <c r="G299" s="579" t="s">
        <v>1414</v>
      </c>
      <c r="H299" s="175"/>
      <c r="I299" s="171"/>
      <c r="J299" s="588"/>
      <c r="K299" s="153">
        <f>PRODUCT($E299*H299)</f>
        <v>0</v>
      </c>
      <c r="L299" s="153">
        <f>PRODUCT($E299*I299)</f>
        <v>0</v>
      </c>
      <c r="M299" s="156"/>
      <c r="N299" s="153">
        <f>PRODUCT($F299*H299)</f>
        <v>0</v>
      </c>
      <c r="O299" s="153">
        <f>PRODUCT($F299*I299)</f>
        <v>0</v>
      </c>
      <c r="P299" s="156"/>
    </row>
    <row r="300" spans="1:16" s="542" customFormat="1" ht="15" customHeight="1">
      <c r="A300" s="560"/>
      <c r="B300" s="560"/>
      <c r="C300" s="561" t="s">
        <v>1448</v>
      </c>
      <c r="D300" s="562"/>
      <c r="E300" s="562"/>
      <c r="F300" s="563">
        <f t="shared" si="26"/>
        <v>0</v>
      </c>
      <c r="G300" s="564"/>
      <c r="H300" s="173"/>
      <c r="I300" s="173"/>
      <c r="J300" s="566">
        <f>SUM(H298:I299)</f>
        <v>0</v>
      </c>
      <c r="K300" s="154"/>
      <c r="L300" s="154"/>
      <c r="M300" s="154">
        <f>SUM(K298:L299)</f>
        <v>0</v>
      </c>
      <c r="N300" s="154"/>
      <c r="O300" s="154"/>
      <c r="P300" s="154">
        <f>SUM(N298:O299)</f>
        <v>0</v>
      </c>
    </row>
    <row r="301" spans="1:16" s="556" customFormat="1" ht="15" customHeight="1">
      <c r="A301" s="550"/>
      <c r="B301" s="550"/>
      <c r="C301" s="589"/>
      <c r="D301" s="552"/>
      <c r="E301" s="552"/>
      <c r="F301" s="553">
        <f t="shared" si="26"/>
        <v>0</v>
      </c>
      <c r="G301" s="554"/>
      <c r="H301" s="172"/>
      <c r="I301" s="172"/>
      <c r="J301" s="568"/>
      <c r="K301" s="153"/>
      <c r="L301" s="153"/>
      <c r="M301" s="153"/>
      <c r="N301" s="153"/>
      <c r="O301" s="153"/>
      <c r="P301" s="153"/>
    </row>
    <row r="302" spans="1:16" s="542" customFormat="1" ht="15" customHeight="1">
      <c r="A302" s="547" t="s">
        <v>1497</v>
      </c>
      <c r="B302" s="548"/>
      <c r="C302" s="549"/>
      <c r="D302" s="548"/>
      <c r="E302" s="548"/>
      <c r="F302" s="590">
        <f t="shared" si="26"/>
        <v>0</v>
      </c>
      <c r="G302" s="548"/>
      <c r="H302" s="170"/>
      <c r="I302" s="170"/>
      <c r="J302" s="548"/>
      <c r="K302" s="151"/>
      <c r="L302" s="151"/>
      <c r="M302" s="152"/>
      <c r="N302" s="151"/>
      <c r="O302" s="151"/>
      <c r="P302" s="152"/>
    </row>
    <row r="303" spans="1:16" s="542" customFormat="1" ht="15" customHeight="1">
      <c r="A303" s="586" t="s">
        <v>1498</v>
      </c>
      <c r="B303" s="586"/>
      <c r="C303" s="587" t="s">
        <v>1499</v>
      </c>
      <c r="D303" s="583">
        <v>1</v>
      </c>
      <c r="E303" s="583"/>
      <c r="F303" s="584">
        <f t="shared" si="26"/>
        <v>1</v>
      </c>
      <c r="G303" s="580" t="s">
        <v>143</v>
      </c>
      <c r="H303" s="171"/>
      <c r="I303" s="175"/>
      <c r="J303" s="599"/>
      <c r="K303" s="153">
        <f>PRODUCT($E303*H303)</f>
        <v>0</v>
      </c>
      <c r="L303" s="153">
        <f>PRODUCT($E303*I303)</f>
        <v>0</v>
      </c>
      <c r="M303" s="156"/>
      <c r="N303" s="153">
        <f>PRODUCT($F303*H303)</f>
        <v>0</v>
      </c>
      <c r="O303" s="153">
        <f>PRODUCT($F303*I303)</f>
        <v>0</v>
      </c>
      <c r="P303" s="156"/>
    </row>
    <row r="304" spans="1:16" s="542" customFormat="1" ht="39.950000000000003" customHeight="1">
      <c r="A304" s="586"/>
      <c r="B304" s="586"/>
      <c r="C304" s="598" t="s">
        <v>1479</v>
      </c>
      <c r="D304" s="583"/>
      <c r="E304" s="583"/>
      <c r="F304" s="584">
        <f t="shared" si="26"/>
        <v>0</v>
      </c>
      <c r="G304" s="580"/>
      <c r="H304" s="178"/>
      <c r="I304" s="178"/>
      <c r="J304" s="599"/>
      <c r="K304" s="156"/>
      <c r="L304" s="156"/>
      <c r="M304" s="156"/>
      <c r="N304" s="156"/>
      <c r="O304" s="156"/>
      <c r="P304" s="156"/>
    </row>
    <row r="305" spans="1:16" s="542" customFormat="1" ht="15" customHeight="1">
      <c r="A305" s="586"/>
      <c r="B305" s="569" t="s">
        <v>1480</v>
      </c>
      <c r="C305" s="587" t="s">
        <v>1481</v>
      </c>
      <c r="D305" s="583">
        <v>1</v>
      </c>
      <c r="E305" s="583"/>
      <c r="F305" s="584">
        <f t="shared" si="26"/>
        <v>1</v>
      </c>
      <c r="G305" s="580" t="s">
        <v>143</v>
      </c>
      <c r="H305" s="176"/>
      <c r="I305" s="171"/>
      <c r="J305" s="585"/>
      <c r="K305" s="153">
        <f>PRODUCT($E305*H305)</f>
        <v>0</v>
      </c>
      <c r="L305" s="153">
        <f>PRODUCT($E305*I305)</f>
        <v>0</v>
      </c>
      <c r="M305" s="157"/>
      <c r="N305" s="153">
        <f>PRODUCT($F305*H305)</f>
        <v>0</v>
      </c>
      <c r="O305" s="153">
        <f>PRODUCT($F305*I305)</f>
        <v>0</v>
      </c>
      <c r="P305" s="157"/>
    </row>
    <row r="306" spans="1:16" s="542" customFormat="1" ht="15" customHeight="1">
      <c r="A306" s="560"/>
      <c r="B306" s="560"/>
      <c r="C306" s="561" t="s">
        <v>1482</v>
      </c>
      <c r="D306" s="562"/>
      <c r="E306" s="562"/>
      <c r="F306" s="563">
        <f t="shared" si="26"/>
        <v>0</v>
      </c>
      <c r="G306" s="564"/>
      <c r="H306" s="173"/>
      <c r="I306" s="173"/>
      <c r="J306" s="566">
        <f>SUM(H303:I305)</f>
        <v>0</v>
      </c>
      <c r="K306" s="154"/>
      <c r="L306" s="154"/>
      <c r="M306" s="154">
        <f>SUM(K303:L305)</f>
        <v>0</v>
      </c>
      <c r="N306" s="154"/>
      <c r="O306" s="154"/>
      <c r="P306" s="154">
        <f>SUM(N303:O305)</f>
        <v>0</v>
      </c>
    </row>
    <row r="307" spans="1:16" s="556" customFormat="1" ht="15" customHeight="1">
      <c r="A307" s="550"/>
      <c r="B307" s="550"/>
      <c r="C307" s="559"/>
      <c r="D307" s="552"/>
      <c r="E307" s="552"/>
      <c r="F307" s="553">
        <f t="shared" si="26"/>
        <v>0</v>
      </c>
      <c r="G307" s="554"/>
      <c r="H307" s="172"/>
      <c r="I307" s="172"/>
      <c r="J307" s="555"/>
      <c r="K307" s="153"/>
      <c r="L307" s="153"/>
      <c r="M307" s="153"/>
      <c r="N307" s="153"/>
      <c r="O307" s="153"/>
      <c r="P307" s="153"/>
    </row>
    <row r="308" spans="1:16" s="556" customFormat="1" ht="15" customHeight="1">
      <c r="A308" s="550" t="s">
        <v>1500</v>
      </c>
      <c r="B308" s="550"/>
      <c r="C308" s="559" t="s">
        <v>1430</v>
      </c>
      <c r="D308" s="552">
        <v>1</v>
      </c>
      <c r="E308" s="552"/>
      <c r="F308" s="553">
        <f t="shared" si="26"/>
        <v>1</v>
      </c>
      <c r="G308" s="554" t="s">
        <v>143</v>
      </c>
      <c r="H308" s="171"/>
      <c r="I308" s="171"/>
      <c r="J308" s="555"/>
      <c r="K308" s="153">
        <f>PRODUCT($E308*H308)</f>
        <v>0</v>
      </c>
      <c r="L308" s="153">
        <f>PRODUCT($E308*I308)</f>
        <v>0</v>
      </c>
      <c r="M308" s="153"/>
      <c r="N308" s="153">
        <f>PRODUCT($F308*H308)</f>
        <v>0</v>
      </c>
      <c r="O308" s="153">
        <f>PRODUCT($F308*I308)</f>
        <v>0</v>
      </c>
      <c r="P308" s="153"/>
    </row>
    <row r="309" spans="1:16" s="556" customFormat="1" ht="15" customHeight="1">
      <c r="A309" s="550"/>
      <c r="B309" s="569" t="s">
        <v>1373</v>
      </c>
      <c r="C309" s="559" t="s">
        <v>1431</v>
      </c>
      <c r="D309" s="552">
        <v>1</v>
      </c>
      <c r="E309" s="552"/>
      <c r="F309" s="553">
        <f t="shared" si="26"/>
        <v>1</v>
      </c>
      <c r="G309" s="554" t="s">
        <v>143</v>
      </c>
      <c r="H309" s="171"/>
      <c r="I309" s="171"/>
      <c r="J309" s="555"/>
      <c r="K309" s="153">
        <f>PRODUCT($E309*H309)</f>
        <v>0</v>
      </c>
      <c r="L309" s="153">
        <f>PRODUCT($E309*I309)</f>
        <v>0</v>
      </c>
      <c r="M309" s="153"/>
      <c r="N309" s="153">
        <f>PRODUCT($F309*H309)</f>
        <v>0</v>
      </c>
      <c r="O309" s="153">
        <f>PRODUCT($F309*I309)</f>
        <v>0</v>
      </c>
      <c r="P309" s="153"/>
    </row>
    <row r="310" spans="1:16" s="556" customFormat="1" ht="15" customHeight="1">
      <c r="A310" s="570"/>
      <c r="B310" s="570"/>
      <c r="C310" s="561" t="s">
        <v>1432</v>
      </c>
      <c r="D310" s="572"/>
      <c r="E310" s="572"/>
      <c r="F310" s="573">
        <f t="shared" si="26"/>
        <v>0</v>
      </c>
      <c r="G310" s="574"/>
      <c r="H310" s="174"/>
      <c r="I310" s="174"/>
      <c r="J310" s="576">
        <f>SUM(H308:I309)</f>
        <v>0</v>
      </c>
      <c r="K310" s="155"/>
      <c r="L310" s="155"/>
      <c r="M310" s="155">
        <f>SUM(K308:L309)</f>
        <v>0</v>
      </c>
      <c r="N310" s="155"/>
      <c r="O310" s="155"/>
      <c r="P310" s="155">
        <f>SUM(N308:O309)</f>
        <v>0</v>
      </c>
    </row>
    <row r="311" spans="1:16" s="556" customFormat="1" ht="15" customHeight="1">
      <c r="A311" s="550"/>
      <c r="B311" s="550"/>
      <c r="C311" s="559"/>
      <c r="D311" s="552"/>
      <c r="E311" s="552"/>
      <c r="F311" s="553">
        <f t="shared" si="26"/>
        <v>0</v>
      </c>
      <c r="G311" s="554"/>
      <c r="H311" s="172"/>
      <c r="I311" s="172"/>
      <c r="J311" s="555"/>
      <c r="K311" s="153"/>
      <c r="L311" s="153"/>
      <c r="M311" s="153"/>
      <c r="N311" s="153"/>
      <c r="O311" s="153"/>
      <c r="P311" s="153"/>
    </row>
    <row r="312" spans="1:16" s="556" customFormat="1" ht="15" customHeight="1">
      <c r="A312" s="550" t="s">
        <v>1501</v>
      </c>
      <c r="B312" s="550"/>
      <c r="C312" s="559" t="s">
        <v>1436</v>
      </c>
      <c r="D312" s="552">
        <v>4</v>
      </c>
      <c r="E312" s="552"/>
      <c r="F312" s="553">
        <f t="shared" si="26"/>
        <v>4</v>
      </c>
      <c r="G312" s="554" t="s">
        <v>143</v>
      </c>
      <c r="H312" s="171"/>
      <c r="I312" s="171"/>
      <c r="J312" s="555"/>
      <c r="K312" s="153">
        <f t="shared" ref="K312:L314" si="29">PRODUCT($E312*H312)</f>
        <v>0</v>
      </c>
      <c r="L312" s="153">
        <f t="shared" si="29"/>
        <v>0</v>
      </c>
      <c r="M312" s="153"/>
      <c r="N312" s="153">
        <f t="shared" ref="N312:O314" si="30">PRODUCT($F312*H312)</f>
        <v>0</v>
      </c>
      <c r="O312" s="153">
        <f t="shared" si="30"/>
        <v>0</v>
      </c>
      <c r="P312" s="153"/>
    </row>
    <row r="313" spans="1:16" s="556" customFormat="1" ht="15" customHeight="1">
      <c r="A313" s="550" t="s">
        <v>1502</v>
      </c>
      <c r="B313" s="550"/>
      <c r="C313" s="559" t="s">
        <v>1438</v>
      </c>
      <c r="D313" s="552">
        <v>1</v>
      </c>
      <c r="E313" s="552"/>
      <c r="F313" s="553">
        <f t="shared" si="26"/>
        <v>1</v>
      </c>
      <c r="G313" s="554" t="s">
        <v>143</v>
      </c>
      <c r="H313" s="171"/>
      <c r="I313" s="171"/>
      <c r="J313" s="555"/>
      <c r="K313" s="153">
        <f t="shared" si="29"/>
        <v>0</v>
      </c>
      <c r="L313" s="153">
        <f t="shared" si="29"/>
        <v>0</v>
      </c>
      <c r="M313" s="153"/>
      <c r="N313" s="153">
        <f t="shared" si="30"/>
        <v>0</v>
      </c>
      <c r="O313" s="153">
        <f t="shared" si="30"/>
        <v>0</v>
      </c>
      <c r="P313" s="153"/>
    </row>
    <row r="314" spans="1:16" s="556" customFormat="1" ht="15" customHeight="1">
      <c r="A314" s="550"/>
      <c r="B314" s="550" t="s">
        <v>1383</v>
      </c>
      <c r="C314" s="559" t="s">
        <v>1439</v>
      </c>
      <c r="D314" s="552">
        <f>SUM(D312:D313)</f>
        <v>5</v>
      </c>
      <c r="E314" s="552"/>
      <c r="F314" s="553">
        <f t="shared" si="26"/>
        <v>5</v>
      </c>
      <c r="G314" s="554" t="s">
        <v>143</v>
      </c>
      <c r="H314" s="171"/>
      <c r="I314" s="171"/>
      <c r="J314" s="555"/>
      <c r="K314" s="153">
        <f t="shared" si="29"/>
        <v>0</v>
      </c>
      <c r="L314" s="153">
        <f t="shared" si="29"/>
        <v>0</v>
      </c>
      <c r="M314" s="153"/>
      <c r="N314" s="153">
        <f t="shared" si="30"/>
        <v>0</v>
      </c>
      <c r="O314" s="153">
        <f t="shared" si="30"/>
        <v>0</v>
      </c>
      <c r="P314" s="153"/>
    </row>
    <row r="315" spans="1:16" s="542" customFormat="1" ht="15" customHeight="1">
      <c r="A315" s="560"/>
      <c r="B315" s="560"/>
      <c r="C315" s="561" t="s">
        <v>1486</v>
      </c>
      <c r="D315" s="562"/>
      <c r="E315" s="562"/>
      <c r="F315" s="563">
        <f t="shared" si="26"/>
        <v>0</v>
      </c>
      <c r="G315" s="564"/>
      <c r="H315" s="173"/>
      <c r="I315" s="173"/>
      <c r="J315" s="566">
        <f>SUM(H312:I314)</f>
        <v>0</v>
      </c>
      <c r="K315" s="154"/>
      <c r="L315" s="154"/>
      <c r="M315" s="154">
        <f>SUM(K312:L314)</f>
        <v>0</v>
      </c>
      <c r="N315" s="154"/>
      <c r="O315" s="154"/>
      <c r="P315" s="154">
        <f>SUM(N312:O314)</f>
        <v>0</v>
      </c>
    </row>
    <row r="316" spans="1:16" s="556" customFormat="1" ht="15" customHeight="1">
      <c r="A316" s="550"/>
      <c r="B316" s="550"/>
      <c r="C316" s="559"/>
      <c r="D316" s="552"/>
      <c r="E316" s="552"/>
      <c r="F316" s="553">
        <f t="shared" si="26"/>
        <v>0</v>
      </c>
      <c r="G316" s="554"/>
      <c r="H316" s="172"/>
      <c r="I316" s="172"/>
      <c r="J316" s="555"/>
      <c r="K316" s="153"/>
      <c r="L316" s="153"/>
      <c r="M316" s="153"/>
      <c r="N316" s="153"/>
      <c r="O316" s="153"/>
      <c r="P316" s="153"/>
    </row>
    <row r="317" spans="1:16" s="542" customFormat="1" ht="15" customHeight="1">
      <c r="A317" s="586"/>
      <c r="B317" s="586"/>
      <c r="C317" s="582" t="s">
        <v>1487</v>
      </c>
      <c r="D317" s="583">
        <v>6</v>
      </c>
      <c r="E317" s="583"/>
      <c r="F317" s="584">
        <f t="shared" si="26"/>
        <v>6</v>
      </c>
      <c r="G317" s="579" t="s">
        <v>68</v>
      </c>
      <c r="H317" s="171"/>
      <c r="I317" s="175"/>
      <c r="J317" s="600"/>
      <c r="K317" s="153">
        <f>PRODUCT($E317*H317)</f>
        <v>0</v>
      </c>
      <c r="L317" s="153">
        <f>PRODUCT($E317*I317)</f>
        <v>0</v>
      </c>
      <c r="M317" s="156"/>
      <c r="N317" s="153">
        <f>PRODUCT($F317*H317)</f>
        <v>0</v>
      </c>
      <c r="O317" s="153">
        <f>PRODUCT($F317*I317)</f>
        <v>0</v>
      </c>
      <c r="P317" s="156"/>
    </row>
    <row r="318" spans="1:16" s="542" customFormat="1" ht="15" customHeight="1">
      <c r="A318" s="586"/>
      <c r="B318" s="586"/>
      <c r="C318" s="582" t="s">
        <v>1488</v>
      </c>
      <c r="D318" s="583">
        <v>2</v>
      </c>
      <c r="E318" s="583"/>
      <c r="F318" s="584">
        <f t="shared" si="26"/>
        <v>2</v>
      </c>
      <c r="G318" s="579" t="s">
        <v>68</v>
      </c>
      <c r="H318" s="171"/>
      <c r="I318" s="175"/>
      <c r="J318" s="600"/>
      <c r="K318" s="153">
        <f>PRODUCT($E318*H318)</f>
        <v>0</v>
      </c>
      <c r="L318" s="153">
        <f>PRODUCT($E318*I318)</f>
        <v>0</v>
      </c>
      <c r="M318" s="156"/>
      <c r="N318" s="153">
        <f>PRODUCT($F318*H318)</f>
        <v>0</v>
      </c>
      <c r="O318" s="153">
        <f>PRODUCT($F318*I318)</f>
        <v>0</v>
      </c>
      <c r="P318" s="156"/>
    </row>
    <row r="319" spans="1:16" s="542" customFormat="1" ht="39.950000000000003" customHeight="1">
      <c r="A319" s="597"/>
      <c r="B319" s="586"/>
      <c r="C319" s="598" t="s">
        <v>1465</v>
      </c>
      <c r="D319" s="583"/>
      <c r="E319" s="583"/>
      <c r="F319" s="584">
        <f t="shared" si="26"/>
        <v>0</v>
      </c>
      <c r="G319" s="580"/>
      <c r="H319" s="178"/>
      <c r="I319" s="178"/>
      <c r="J319" s="599"/>
      <c r="K319" s="156"/>
      <c r="L319" s="156"/>
      <c r="M319" s="156"/>
      <c r="N319" s="156"/>
      <c r="O319" s="156"/>
      <c r="P319" s="156"/>
    </row>
    <row r="320" spans="1:16" s="542" customFormat="1" ht="15" customHeight="1">
      <c r="A320" s="586"/>
      <c r="B320" s="579" t="s">
        <v>1466</v>
      </c>
      <c r="C320" s="582" t="s">
        <v>1467</v>
      </c>
      <c r="D320" s="583">
        <f>SUM(D317:D319)</f>
        <v>8</v>
      </c>
      <c r="E320" s="583"/>
      <c r="F320" s="584">
        <f t="shared" si="26"/>
        <v>8</v>
      </c>
      <c r="G320" s="579" t="s">
        <v>68</v>
      </c>
      <c r="H320" s="175"/>
      <c r="I320" s="171"/>
      <c r="J320" s="600"/>
      <c r="K320" s="153">
        <f>PRODUCT($E320*H320)</f>
        <v>0</v>
      </c>
      <c r="L320" s="153">
        <f>PRODUCT($E320*I320)</f>
        <v>0</v>
      </c>
      <c r="M320" s="156"/>
      <c r="N320" s="153">
        <f>PRODUCT($F320*H320)</f>
        <v>0</v>
      </c>
      <c r="O320" s="153">
        <f>PRODUCT($F320*I320)</f>
        <v>0</v>
      </c>
      <c r="P320" s="156"/>
    </row>
    <row r="321" spans="1:16" s="542" customFormat="1" ht="15" customHeight="1">
      <c r="A321" s="560"/>
      <c r="B321" s="560"/>
      <c r="C321" s="561" t="s">
        <v>1468</v>
      </c>
      <c r="D321" s="562"/>
      <c r="E321" s="562"/>
      <c r="F321" s="563">
        <f t="shared" si="26"/>
        <v>0</v>
      </c>
      <c r="G321" s="564"/>
      <c r="H321" s="173"/>
      <c r="I321" s="173"/>
      <c r="J321" s="566">
        <f>SUM(H317:I320)</f>
        <v>0</v>
      </c>
      <c r="K321" s="154"/>
      <c r="L321" s="154"/>
      <c r="M321" s="154">
        <f>SUM(K317:L320)</f>
        <v>0</v>
      </c>
      <c r="N321" s="154"/>
      <c r="O321" s="154"/>
      <c r="P321" s="154">
        <f>SUM(N317:O320)</f>
        <v>0</v>
      </c>
    </row>
    <row r="322" spans="1:16" s="556" customFormat="1" ht="15" customHeight="1">
      <c r="A322" s="550"/>
      <c r="B322" s="550"/>
      <c r="C322" s="559"/>
      <c r="D322" s="552"/>
      <c r="E322" s="552"/>
      <c r="F322" s="553">
        <f t="shared" si="26"/>
        <v>0</v>
      </c>
      <c r="G322" s="554"/>
      <c r="H322" s="172"/>
      <c r="I322" s="172"/>
      <c r="J322" s="555"/>
      <c r="K322" s="153"/>
      <c r="L322" s="153"/>
      <c r="M322" s="153"/>
      <c r="N322" s="153"/>
      <c r="O322" s="153"/>
      <c r="P322" s="153"/>
    </row>
    <row r="323" spans="1:16" s="542" customFormat="1" ht="15" customHeight="1">
      <c r="A323" s="586"/>
      <c r="B323" s="586"/>
      <c r="C323" s="582" t="s">
        <v>1489</v>
      </c>
      <c r="D323" s="583">
        <v>5</v>
      </c>
      <c r="E323" s="583"/>
      <c r="F323" s="584">
        <f t="shared" si="26"/>
        <v>5</v>
      </c>
      <c r="G323" s="579" t="s">
        <v>68</v>
      </c>
      <c r="H323" s="171"/>
      <c r="I323" s="175"/>
      <c r="J323" s="600"/>
      <c r="K323" s="153">
        <f t="shared" ref="K323:L326" si="31">PRODUCT($E323*H323)</f>
        <v>0</v>
      </c>
      <c r="L323" s="153">
        <f t="shared" si="31"/>
        <v>0</v>
      </c>
      <c r="M323" s="156"/>
      <c r="N323" s="153">
        <f t="shared" ref="N323:O326" si="32">PRODUCT($F323*H323)</f>
        <v>0</v>
      </c>
      <c r="O323" s="153">
        <f t="shared" si="32"/>
        <v>0</v>
      </c>
      <c r="P323" s="156"/>
    </row>
    <row r="324" spans="1:16" s="542" customFormat="1" ht="15" customHeight="1">
      <c r="A324" s="586"/>
      <c r="B324" s="586"/>
      <c r="C324" s="582" t="s">
        <v>1490</v>
      </c>
      <c r="D324" s="583">
        <v>3</v>
      </c>
      <c r="E324" s="583"/>
      <c r="F324" s="584">
        <f t="shared" si="26"/>
        <v>3</v>
      </c>
      <c r="G324" s="579" t="s">
        <v>68</v>
      </c>
      <c r="H324" s="171"/>
      <c r="I324" s="175"/>
      <c r="J324" s="600"/>
      <c r="K324" s="153">
        <f t="shared" si="31"/>
        <v>0</v>
      </c>
      <c r="L324" s="153">
        <f t="shared" si="31"/>
        <v>0</v>
      </c>
      <c r="M324" s="156"/>
      <c r="N324" s="153">
        <f t="shared" si="32"/>
        <v>0</v>
      </c>
      <c r="O324" s="153">
        <f t="shared" si="32"/>
        <v>0</v>
      </c>
      <c r="P324" s="156"/>
    </row>
    <row r="325" spans="1:16" s="542" customFormat="1" ht="15" customHeight="1">
      <c r="A325" s="586"/>
      <c r="B325" s="586"/>
      <c r="C325" s="582" t="s">
        <v>1445</v>
      </c>
      <c r="D325" s="583">
        <v>5</v>
      </c>
      <c r="E325" s="583"/>
      <c r="F325" s="584">
        <f t="shared" si="26"/>
        <v>5</v>
      </c>
      <c r="G325" s="579" t="s">
        <v>68</v>
      </c>
      <c r="H325" s="171"/>
      <c r="I325" s="175"/>
      <c r="J325" s="600"/>
      <c r="K325" s="153">
        <f t="shared" si="31"/>
        <v>0</v>
      </c>
      <c r="L325" s="153">
        <f t="shared" si="31"/>
        <v>0</v>
      </c>
      <c r="M325" s="156"/>
      <c r="N325" s="153">
        <f t="shared" si="32"/>
        <v>0</v>
      </c>
      <c r="O325" s="153">
        <f t="shared" si="32"/>
        <v>0</v>
      </c>
      <c r="P325" s="156"/>
    </row>
    <row r="326" spans="1:16" s="542" customFormat="1" ht="15" customHeight="1">
      <c r="A326" s="586"/>
      <c r="B326" s="579" t="s">
        <v>1402</v>
      </c>
      <c r="C326" s="582" t="s">
        <v>1403</v>
      </c>
      <c r="D326" s="583">
        <f>SUM(D323:D325)</f>
        <v>13</v>
      </c>
      <c r="E326" s="583"/>
      <c r="F326" s="584">
        <f t="shared" si="26"/>
        <v>13</v>
      </c>
      <c r="G326" s="579" t="s">
        <v>68</v>
      </c>
      <c r="H326" s="175"/>
      <c r="I326" s="171"/>
      <c r="J326" s="600"/>
      <c r="K326" s="153">
        <f t="shared" si="31"/>
        <v>0</v>
      </c>
      <c r="L326" s="153">
        <f t="shared" si="31"/>
        <v>0</v>
      </c>
      <c r="M326" s="156"/>
      <c r="N326" s="153">
        <f t="shared" si="32"/>
        <v>0</v>
      </c>
      <c r="O326" s="153">
        <f t="shared" si="32"/>
        <v>0</v>
      </c>
      <c r="P326" s="156"/>
    </row>
    <row r="327" spans="1:16" s="542" customFormat="1" ht="15" customHeight="1">
      <c r="A327" s="560"/>
      <c r="B327" s="560"/>
      <c r="C327" s="561" t="s">
        <v>1468</v>
      </c>
      <c r="D327" s="562"/>
      <c r="E327" s="562"/>
      <c r="F327" s="563">
        <f t="shared" si="26"/>
        <v>0</v>
      </c>
      <c r="G327" s="564"/>
      <c r="H327" s="173"/>
      <c r="I327" s="173"/>
      <c r="J327" s="566">
        <f>SUM(H323:I326)</f>
        <v>0</v>
      </c>
      <c r="K327" s="154"/>
      <c r="L327" s="154"/>
      <c r="M327" s="154">
        <f>SUM(K323:L326)</f>
        <v>0</v>
      </c>
      <c r="N327" s="154"/>
      <c r="O327" s="154"/>
      <c r="P327" s="154">
        <f>SUM(N323:O326)</f>
        <v>0</v>
      </c>
    </row>
    <row r="328" spans="1:16" s="542" customFormat="1" ht="15" customHeight="1">
      <c r="A328" s="586"/>
      <c r="B328" s="586"/>
      <c r="C328" s="582"/>
      <c r="D328" s="583"/>
      <c r="E328" s="583"/>
      <c r="F328" s="584">
        <f t="shared" si="26"/>
        <v>0</v>
      </c>
      <c r="G328" s="580"/>
      <c r="H328" s="178"/>
      <c r="I328" s="178"/>
      <c r="J328" s="599"/>
      <c r="K328" s="156"/>
      <c r="L328" s="156"/>
      <c r="M328" s="156"/>
      <c r="N328" s="156"/>
      <c r="O328" s="156"/>
      <c r="P328" s="156"/>
    </row>
    <row r="329" spans="1:16" s="542" customFormat="1" ht="15" customHeight="1">
      <c r="A329" s="580"/>
      <c r="B329" s="581"/>
      <c r="C329" s="582" t="s">
        <v>1447</v>
      </c>
      <c r="D329" s="583">
        <v>2</v>
      </c>
      <c r="E329" s="583"/>
      <c r="F329" s="584">
        <f t="shared" si="26"/>
        <v>2</v>
      </c>
      <c r="G329" s="579" t="s">
        <v>1414</v>
      </c>
      <c r="H329" s="171"/>
      <c r="I329" s="176"/>
      <c r="J329" s="585"/>
      <c r="K329" s="153">
        <f>PRODUCT($E329*H329)</f>
        <v>0</v>
      </c>
      <c r="L329" s="153">
        <f>PRODUCT($E329*I329)</f>
        <v>0</v>
      </c>
      <c r="M329" s="157"/>
      <c r="N329" s="153">
        <f>PRODUCT($F329*H329)</f>
        <v>0</v>
      </c>
      <c r="O329" s="153">
        <f>PRODUCT($F329*I329)</f>
        <v>0</v>
      </c>
      <c r="P329" s="157"/>
    </row>
    <row r="330" spans="1:16" s="542" customFormat="1" ht="15" customHeight="1">
      <c r="A330" s="586"/>
      <c r="B330" s="581"/>
      <c r="C330" s="587" t="s">
        <v>1415</v>
      </c>
      <c r="D330" s="583">
        <v>2</v>
      </c>
      <c r="E330" s="583"/>
      <c r="F330" s="584">
        <f t="shared" si="26"/>
        <v>2</v>
      </c>
      <c r="G330" s="579" t="s">
        <v>1414</v>
      </c>
      <c r="H330" s="175"/>
      <c r="I330" s="171"/>
      <c r="J330" s="588"/>
      <c r="K330" s="153">
        <f>PRODUCT($E330*H330)</f>
        <v>0</v>
      </c>
      <c r="L330" s="153">
        <f>PRODUCT($E330*I330)</f>
        <v>0</v>
      </c>
      <c r="M330" s="156"/>
      <c r="N330" s="153">
        <f>PRODUCT($F330*H330)</f>
        <v>0</v>
      </c>
      <c r="O330" s="153">
        <f>PRODUCT($F330*I330)</f>
        <v>0</v>
      </c>
      <c r="P330" s="156"/>
    </row>
    <row r="331" spans="1:16" s="542" customFormat="1">
      <c r="A331" s="560"/>
      <c r="B331" s="560"/>
      <c r="C331" s="561" t="s">
        <v>1448</v>
      </c>
      <c r="D331" s="562"/>
      <c r="E331" s="562"/>
      <c r="F331" s="563">
        <f t="shared" si="26"/>
        <v>0</v>
      </c>
      <c r="G331" s="564"/>
      <c r="H331" s="173"/>
      <c r="I331" s="173"/>
      <c r="J331" s="566">
        <f>SUM(H329:I330)</f>
        <v>0</v>
      </c>
      <c r="K331" s="154"/>
      <c r="L331" s="154"/>
      <c r="M331" s="154">
        <f>SUM(K329:L330)</f>
        <v>0</v>
      </c>
      <c r="N331" s="154"/>
      <c r="O331" s="154"/>
      <c r="P331" s="154">
        <f>SUM(N329:O330)</f>
        <v>0</v>
      </c>
    </row>
    <row r="332" spans="1:16" s="556" customFormat="1" ht="15" customHeight="1">
      <c r="A332" s="550"/>
      <c r="B332" s="550"/>
      <c r="C332" s="589"/>
      <c r="D332" s="552"/>
      <c r="E332" s="552"/>
      <c r="F332" s="553">
        <f t="shared" si="26"/>
        <v>0</v>
      </c>
      <c r="G332" s="554"/>
      <c r="H332" s="172"/>
      <c r="I332" s="172"/>
      <c r="J332" s="568"/>
      <c r="K332" s="153"/>
      <c r="L332" s="153"/>
      <c r="M332" s="153"/>
      <c r="N332" s="153"/>
      <c r="O332" s="153"/>
      <c r="P332" s="153"/>
    </row>
    <row r="333" spans="1:16" s="542" customFormat="1" ht="15" customHeight="1">
      <c r="A333" s="547" t="s">
        <v>1503</v>
      </c>
      <c r="B333" s="548"/>
      <c r="C333" s="549"/>
      <c r="D333" s="548"/>
      <c r="E333" s="548"/>
      <c r="F333" s="590">
        <f t="shared" si="26"/>
        <v>0</v>
      </c>
      <c r="G333" s="548"/>
      <c r="H333" s="170"/>
      <c r="I333" s="170"/>
      <c r="J333" s="548"/>
      <c r="K333" s="151"/>
      <c r="L333" s="151"/>
      <c r="M333" s="152"/>
      <c r="N333" s="151"/>
      <c r="O333" s="151"/>
      <c r="P333" s="152"/>
    </row>
    <row r="334" spans="1:16" s="542" customFormat="1" ht="15" customHeight="1">
      <c r="A334" s="586" t="s">
        <v>1504</v>
      </c>
      <c r="B334" s="586"/>
      <c r="C334" s="587" t="s">
        <v>1505</v>
      </c>
      <c r="D334" s="583">
        <v>1</v>
      </c>
      <c r="E334" s="583">
        <v>1</v>
      </c>
      <c r="F334" s="584">
        <f t="shared" ref="F334:F377" si="33">D334-E334</f>
        <v>0</v>
      </c>
      <c r="G334" s="580" t="s">
        <v>143</v>
      </c>
      <c r="H334" s="171"/>
      <c r="I334" s="175"/>
      <c r="J334" s="599"/>
      <c r="K334" s="153">
        <f>PRODUCT($E334*H334)</f>
        <v>0</v>
      </c>
      <c r="L334" s="153">
        <f>PRODUCT($E334*I334)</f>
        <v>0</v>
      </c>
      <c r="M334" s="156"/>
      <c r="N334" s="153">
        <f>PRODUCT($F334*H334)</f>
        <v>0</v>
      </c>
      <c r="O334" s="153">
        <f>PRODUCT($F334*I334)</f>
        <v>0</v>
      </c>
      <c r="P334" s="156"/>
    </row>
    <row r="335" spans="1:16" s="542" customFormat="1" ht="24.95" customHeight="1">
      <c r="A335" s="586"/>
      <c r="B335" s="586"/>
      <c r="C335" s="598" t="s">
        <v>1506</v>
      </c>
      <c r="D335" s="583"/>
      <c r="E335" s="583"/>
      <c r="F335" s="584">
        <f t="shared" si="33"/>
        <v>0</v>
      </c>
      <c r="G335" s="580"/>
      <c r="H335" s="178"/>
      <c r="I335" s="178"/>
      <c r="J335" s="599"/>
      <c r="K335" s="156"/>
      <c r="L335" s="156"/>
      <c r="M335" s="156"/>
      <c r="N335" s="156"/>
      <c r="O335" s="156"/>
      <c r="P335" s="156"/>
    </row>
    <row r="336" spans="1:16" s="542" customFormat="1" ht="15" customHeight="1">
      <c r="A336" s="586"/>
      <c r="B336" s="569" t="s">
        <v>1480</v>
      </c>
      <c r="C336" s="587" t="s">
        <v>1481</v>
      </c>
      <c r="D336" s="583">
        <v>1</v>
      </c>
      <c r="E336" s="583">
        <v>1</v>
      </c>
      <c r="F336" s="584">
        <f t="shared" si="33"/>
        <v>0</v>
      </c>
      <c r="G336" s="580" t="s">
        <v>143</v>
      </c>
      <c r="H336" s="176"/>
      <c r="I336" s="171"/>
      <c r="J336" s="585"/>
      <c r="K336" s="153">
        <f>PRODUCT($E336*H336)</f>
        <v>0</v>
      </c>
      <c r="L336" s="153">
        <f>PRODUCT($E336*I336)</f>
        <v>0</v>
      </c>
      <c r="M336" s="157"/>
      <c r="N336" s="153">
        <f>PRODUCT($F336*H336)</f>
        <v>0</v>
      </c>
      <c r="O336" s="153">
        <f>PRODUCT($F336*I336)</f>
        <v>0</v>
      </c>
      <c r="P336" s="157"/>
    </row>
    <row r="337" spans="1:16" s="542" customFormat="1" ht="15" customHeight="1">
      <c r="A337" s="560"/>
      <c r="B337" s="560"/>
      <c r="C337" s="561" t="s">
        <v>1507</v>
      </c>
      <c r="D337" s="562"/>
      <c r="E337" s="562"/>
      <c r="F337" s="563">
        <f t="shared" si="33"/>
        <v>0</v>
      </c>
      <c r="G337" s="564"/>
      <c r="H337" s="173"/>
      <c r="I337" s="173"/>
      <c r="J337" s="566">
        <f>SUM(H334:I336)</f>
        <v>0</v>
      </c>
      <c r="K337" s="154"/>
      <c r="L337" s="154"/>
      <c r="M337" s="154">
        <f>SUM(K334:L336)</f>
        <v>0</v>
      </c>
      <c r="N337" s="154"/>
      <c r="O337" s="154"/>
      <c r="P337" s="154">
        <f>SUM(N334:O336)</f>
        <v>0</v>
      </c>
    </row>
    <row r="338" spans="1:16" s="556" customFormat="1" ht="15" customHeight="1">
      <c r="A338" s="550"/>
      <c r="B338" s="550"/>
      <c r="C338" s="559"/>
      <c r="D338" s="552"/>
      <c r="E338" s="552"/>
      <c r="F338" s="553">
        <f t="shared" si="33"/>
        <v>0</v>
      </c>
      <c r="G338" s="554"/>
      <c r="H338" s="172"/>
      <c r="I338" s="172"/>
      <c r="J338" s="555"/>
      <c r="K338" s="153"/>
      <c r="L338" s="153"/>
      <c r="M338" s="153"/>
      <c r="N338" s="153"/>
      <c r="O338" s="153"/>
      <c r="P338" s="153"/>
    </row>
    <row r="339" spans="1:16" s="556" customFormat="1" ht="15" customHeight="1">
      <c r="A339" s="550" t="s">
        <v>1508</v>
      </c>
      <c r="B339" s="550"/>
      <c r="C339" s="559" t="s">
        <v>1509</v>
      </c>
      <c r="D339" s="552">
        <v>1</v>
      </c>
      <c r="E339" s="552">
        <v>1</v>
      </c>
      <c r="F339" s="553">
        <f t="shared" si="33"/>
        <v>0</v>
      </c>
      <c r="G339" s="554" t="s">
        <v>143</v>
      </c>
      <c r="H339" s="171"/>
      <c r="I339" s="171"/>
      <c r="J339" s="555"/>
      <c r="K339" s="153">
        <f>PRODUCT($E339*H339)</f>
        <v>0</v>
      </c>
      <c r="L339" s="153">
        <f>PRODUCT($E339*I339)</f>
        <v>0</v>
      </c>
      <c r="M339" s="153"/>
      <c r="N339" s="153">
        <f>PRODUCT($F339*H339)</f>
        <v>0</v>
      </c>
      <c r="O339" s="153">
        <f>PRODUCT($F339*I339)</f>
        <v>0</v>
      </c>
      <c r="P339" s="153"/>
    </row>
    <row r="340" spans="1:16" s="556" customFormat="1" ht="15" customHeight="1">
      <c r="A340" s="550"/>
      <c r="B340" s="569" t="s">
        <v>1373</v>
      </c>
      <c r="C340" s="559" t="s">
        <v>1442</v>
      </c>
      <c r="D340" s="552">
        <v>1</v>
      </c>
      <c r="E340" s="552">
        <v>1</v>
      </c>
      <c r="F340" s="553">
        <f t="shared" si="33"/>
        <v>0</v>
      </c>
      <c r="G340" s="554" t="s">
        <v>143</v>
      </c>
      <c r="H340" s="171"/>
      <c r="I340" s="171"/>
      <c r="J340" s="555"/>
      <c r="K340" s="153">
        <f>PRODUCT($E340*H340)</f>
        <v>0</v>
      </c>
      <c r="L340" s="153">
        <f>PRODUCT($E340*I340)</f>
        <v>0</v>
      </c>
      <c r="M340" s="153"/>
      <c r="N340" s="153">
        <f>PRODUCT($F340*H340)</f>
        <v>0</v>
      </c>
      <c r="O340" s="153">
        <f>PRODUCT($F340*I340)</f>
        <v>0</v>
      </c>
      <c r="P340" s="153"/>
    </row>
    <row r="341" spans="1:16" s="556" customFormat="1" ht="15" customHeight="1">
      <c r="A341" s="570"/>
      <c r="B341" s="570"/>
      <c r="C341" s="561" t="s">
        <v>1510</v>
      </c>
      <c r="D341" s="572"/>
      <c r="E341" s="572"/>
      <c r="F341" s="573">
        <f t="shared" si="33"/>
        <v>0</v>
      </c>
      <c r="G341" s="574"/>
      <c r="H341" s="174"/>
      <c r="I341" s="174"/>
      <c r="J341" s="576">
        <f>SUM(H339:I340)</f>
        <v>0</v>
      </c>
      <c r="K341" s="155"/>
      <c r="L341" s="155"/>
      <c r="M341" s="155">
        <f>SUM(K339:L340)</f>
        <v>0</v>
      </c>
      <c r="N341" s="155"/>
      <c r="O341" s="155"/>
      <c r="P341" s="155">
        <f>SUM(N339:O340)</f>
        <v>0</v>
      </c>
    </row>
    <row r="342" spans="1:16" s="556" customFormat="1" ht="15" customHeight="1">
      <c r="A342" s="550"/>
      <c r="B342" s="550"/>
      <c r="C342" s="559"/>
      <c r="D342" s="552"/>
      <c r="E342" s="552"/>
      <c r="F342" s="553">
        <f t="shared" si="33"/>
        <v>0</v>
      </c>
      <c r="G342" s="554"/>
      <c r="H342" s="172"/>
      <c r="I342" s="172"/>
      <c r="J342" s="555"/>
      <c r="K342" s="153"/>
      <c r="L342" s="153"/>
      <c r="M342" s="153"/>
      <c r="N342" s="153"/>
      <c r="O342" s="153"/>
      <c r="P342" s="153"/>
    </row>
    <row r="343" spans="1:16" s="542" customFormat="1" ht="15" customHeight="1">
      <c r="A343" s="586"/>
      <c r="B343" s="586"/>
      <c r="C343" s="582" t="s">
        <v>1511</v>
      </c>
      <c r="D343" s="583">
        <v>1</v>
      </c>
      <c r="E343" s="583">
        <v>1</v>
      </c>
      <c r="F343" s="584">
        <f t="shared" si="33"/>
        <v>0</v>
      </c>
      <c r="G343" s="579" t="s">
        <v>68</v>
      </c>
      <c r="H343" s="171"/>
      <c r="I343" s="175"/>
      <c r="J343" s="600"/>
      <c r="K343" s="153">
        <f>PRODUCT($E343*H343)</f>
        <v>0</v>
      </c>
      <c r="L343" s="153">
        <f>PRODUCT($E343*I343)</f>
        <v>0</v>
      </c>
      <c r="M343" s="156"/>
      <c r="N343" s="153">
        <f>PRODUCT($F343*H343)</f>
        <v>0</v>
      </c>
      <c r="O343" s="153">
        <f>PRODUCT($F343*I343)</f>
        <v>0</v>
      </c>
      <c r="P343" s="156"/>
    </row>
    <row r="344" spans="1:16" s="542" customFormat="1" ht="15" customHeight="1">
      <c r="A344" s="586"/>
      <c r="B344" s="579" t="s">
        <v>1402</v>
      </c>
      <c r="C344" s="582" t="s">
        <v>1403</v>
      </c>
      <c r="D344" s="583">
        <v>1</v>
      </c>
      <c r="E344" s="583">
        <v>1</v>
      </c>
      <c r="F344" s="584">
        <f t="shared" si="33"/>
        <v>0</v>
      </c>
      <c r="G344" s="579" t="s">
        <v>68</v>
      </c>
      <c r="H344" s="175"/>
      <c r="I344" s="171"/>
      <c r="J344" s="600"/>
      <c r="K344" s="153">
        <f>PRODUCT($E344*H344)</f>
        <v>0</v>
      </c>
      <c r="L344" s="153">
        <f>PRODUCT($E344*I344)</f>
        <v>0</v>
      </c>
      <c r="M344" s="156"/>
      <c r="N344" s="153">
        <f>PRODUCT($F344*H344)</f>
        <v>0</v>
      </c>
      <c r="O344" s="153">
        <f>PRODUCT($F344*I344)</f>
        <v>0</v>
      </c>
      <c r="P344" s="156"/>
    </row>
    <row r="345" spans="1:16" s="542" customFormat="1" ht="15" customHeight="1">
      <c r="A345" s="560"/>
      <c r="B345" s="560"/>
      <c r="C345" s="561" t="s">
        <v>1512</v>
      </c>
      <c r="D345" s="562"/>
      <c r="E345" s="562"/>
      <c r="F345" s="563">
        <f t="shared" si="33"/>
        <v>0</v>
      </c>
      <c r="G345" s="564"/>
      <c r="H345" s="173"/>
      <c r="I345" s="173"/>
      <c r="J345" s="566">
        <f>SUM(H343:I344)</f>
        <v>0</v>
      </c>
      <c r="K345" s="154"/>
      <c r="L345" s="154"/>
      <c r="M345" s="154">
        <f>SUM(K343:L344)</f>
        <v>0</v>
      </c>
      <c r="N345" s="154"/>
      <c r="O345" s="154"/>
      <c r="P345" s="154">
        <f>SUM(N343:O344)</f>
        <v>0</v>
      </c>
    </row>
    <row r="346" spans="1:16" s="542" customFormat="1" ht="15" customHeight="1">
      <c r="A346" s="586"/>
      <c r="B346" s="586"/>
      <c r="C346" s="582"/>
      <c r="D346" s="583"/>
      <c r="E346" s="583"/>
      <c r="F346" s="584">
        <f t="shared" si="33"/>
        <v>0</v>
      </c>
      <c r="G346" s="580"/>
      <c r="H346" s="178"/>
      <c r="I346" s="178"/>
      <c r="J346" s="599"/>
      <c r="K346" s="156"/>
      <c r="L346" s="156"/>
      <c r="M346" s="156"/>
      <c r="N346" s="156"/>
      <c r="O346" s="156"/>
      <c r="P346" s="156"/>
    </row>
    <row r="347" spans="1:16" s="542" customFormat="1" ht="15" customHeight="1">
      <c r="A347" s="580"/>
      <c r="B347" s="581"/>
      <c r="C347" s="582" t="s">
        <v>1447</v>
      </c>
      <c r="D347" s="583">
        <v>1</v>
      </c>
      <c r="E347" s="583">
        <v>1</v>
      </c>
      <c r="F347" s="584">
        <f t="shared" si="33"/>
        <v>0</v>
      </c>
      <c r="G347" s="579" t="s">
        <v>1414</v>
      </c>
      <c r="H347" s="171"/>
      <c r="I347" s="176"/>
      <c r="J347" s="585"/>
      <c r="K347" s="153">
        <f>PRODUCT($E347*H347)</f>
        <v>0</v>
      </c>
      <c r="L347" s="153">
        <f>PRODUCT($E347*I347)</f>
        <v>0</v>
      </c>
      <c r="M347" s="157"/>
      <c r="N347" s="153">
        <f>PRODUCT($F347*H347)</f>
        <v>0</v>
      </c>
      <c r="O347" s="153">
        <f>PRODUCT($F347*I347)</f>
        <v>0</v>
      </c>
      <c r="P347" s="157"/>
    </row>
    <row r="348" spans="1:16" s="542" customFormat="1" ht="15" customHeight="1">
      <c r="A348" s="586"/>
      <c r="B348" s="581"/>
      <c r="C348" s="587" t="s">
        <v>1415</v>
      </c>
      <c r="D348" s="583">
        <v>1</v>
      </c>
      <c r="E348" s="583">
        <v>1</v>
      </c>
      <c r="F348" s="584">
        <f t="shared" si="33"/>
        <v>0</v>
      </c>
      <c r="G348" s="579" t="s">
        <v>1414</v>
      </c>
      <c r="H348" s="175"/>
      <c r="I348" s="171"/>
      <c r="J348" s="588"/>
      <c r="K348" s="153">
        <f>PRODUCT($E348*H348)</f>
        <v>0</v>
      </c>
      <c r="L348" s="153">
        <f>PRODUCT($E348*I348)</f>
        <v>0</v>
      </c>
      <c r="M348" s="156"/>
      <c r="N348" s="153">
        <f>PRODUCT($F348*H348)</f>
        <v>0</v>
      </c>
      <c r="O348" s="153">
        <f>PRODUCT($F348*I348)</f>
        <v>0</v>
      </c>
      <c r="P348" s="156"/>
    </row>
    <row r="349" spans="1:16" s="542" customFormat="1" ht="15" customHeight="1">
      <c r="A349" s="560"/>
      <c r="B349" s="560"/>
      <c r="C349" s="561" t="s">
        <v>1513</v>
      </c>
      <c r="D349" s="562"/>
      <c r="E349" s="562"/>
      <c r="F349" s="563">
        <f t="shared" si="33"/>
        <v>0</v>
      </c>
      <c r="G349" s="564"/>
      <c r="H349" s="173"/>
      <c r="I349" s="173"/>
      <c r="J349" s="566">
        <f>SUM(H347:I348)</f>
        <v>0</v>
      </c>
      <c r="K349" s="154"/>
      <c r="L349" s="154"/>
      <c r="M349" s="154">
        <f>SUM(K347:L348)</f>
        <v>0</v>
      </c>
      <c r="N349" s="154"/>
      <c r="O349" s="154"/>
      <c r="P349" s="154">
        <f>SUM(N347:O348)</f>
        <v>0</v>
      </c>
    </row>
    <row r="350" spans="1:16" s="556" customFormat="1" ht="15" customHeight="1">
      <c r="A350" s="550"/>
      <c r="B350" s="550"/>
      <c r="C350" s="589"/>
      <c r="D350" s="552"/>
      <c r="E350" s="552"/>
      <c r="F350" s="553">
        <f t="shared" si="33"/>
        <v>0</v>
      </c>
      <c r="G350" s="554"/>
      <c r="H350" s="172"/>
      <c r="I350" s="172"/>
      <c r="J350" s="568"/>
      <c r="K350" s="153"/>
      <c r="L350" s="153"/>
      <c r="M350" s="153"/>
      <c r="N350" s="153"/>
      <c r="O350" s="153"/>
      <c r="P350" s="153"/>
    </row>
    <row r="351" spans="1:16" s="542" customFormat="1" ht="15" customHeight="1">
      <c r="A351" s="547" t="s">
        <v>1514</v>
      </c>
      <c r="B351" s="548"/>
      <c r="C351" s="549"/>
      <c r="D351" s="548"/>
      <c r="E351" s="548"/>
      <c r="F351" s="590">
        <f t="shared" si="33"/>
        <v>0</v>
      </c>
      <c r="G351" s="548"/>
      <c r="H351" s="170"/>
      <c r="I351" s="170"/>
      <c r="J351" s="548"/>
      <c r="K351" s="151"/>
      <c r="L351" s="151"/>
      <c r="M351" s="152"/>
      <c r="N351" s="151"/>
      <c r="O351" s="151"/>
      <c r="P351" s="152"/>
    </row>
    <row r="352" spans="1:16" s="542" customFormat="1" ht="15" customHeight="1">
      <c r="A352" s="586" t="s">
        <v>1515</v>
      </c>
      <c r="B352" s="586"/>
      <c r="C352" s="587" t="s">
        <v>1505</v>
      </c>
      <c r="D352" s="583">
        <v>1</v>
      </c>
      <c r="E352" s="583"/>
      <c r="F352" s="584">
        <f t="shared" si="33"/>
        <v>1</v>
      </c>
      <c r="G352" s="580" t="s">
        <v>143</v>
      </c>
      <c r="H352" s="171"/>
      <c r="I352" s="175"/>
      <c r="J352" s="599"/>
      <c r="K352" s="153">
        <f>PRODUCT($E352*H352)</f>
        <v>0</v>
      </c>
      <c r="L352" s="153">
        <f>PRODUCT($E352*I352)</f>
        <v>0</v>
      </c>
      <c r="M352" s="156"/>
      <c r="N352" s="153">
        <f>PRODUCT($F352*H352)</f>
        <v>0</v>
      </c>
      <c r="O352" s="153">
        <f>PRODUCT($F352*I352)</f>
        <v>0</v>
      </c>
      <c r="P352" s="156"/>
    </row>
    <row r="353" spans="1:16" s="542" customFormat="1" ht="24.95" customHeight="1">
      <c r="A353" s="586"/>
      <c r="B353" s="586"/>
      <c r="C353" s="598" t="s">
        <v>1506</v>
      </c>
      <c r="D353" s="583"/>
      <c r="E353" s="583"/>
      <c r="F353" s="584">
        <f t="shared" si="33"/>
        <v>0</v>
      </c>
      <c r="G353" s="580"/>
      <c r="H353" s="178"/>
      <c r="I353" s="178"/>
      <c r="J353" s="599"/>
      <c r="K353" s="156"/>
      <c r="L353" s="156"/>
      <c r="M353" s="156"/>
      <c r="N353" s="156"/>
      <c r="O353" s="156"/>
      <c r="P353" s="156"/>
    </row>
    <row r="354" spans="1:16" s="542" customFormat="1" ht="15" customHeight="1">
      <c r="A354" s="586"/>
      <c r="B354" s="569" t="s">
        <v>1480</v>
      </c>
      <c r="C354" s="587" t="s">
        <v>1481</v>
      </c>
      <c r="D354" s="583">
        <v>1</v>
      </c>
      <c r="E354" s="583"/>
      <c r="F354" s="584">
        <f t="shared" si="33"/>
        <v>1</v>
      </c>
      <c r="G354" s="580" t="s">
        <v>143</v>
      </c>
      <c r="H354" s="176"/>
      <c r="I354" s="171"/>
      <c r="J354" s="585"/>
      <c r="K354" s="153">
        <f>PRODUCT($E354*H354)</f>
        <v>0</v>
      </c>
      <c r="L354" s="153">
        <f>PRODUCT($E354*I354)</f>
        <v>0</v>
      </c>
      <c r="M354" s="157"/>
      <c r="N354" s="153">
        <f>PRODUCT($F354*H354)</f>
        <v>0</v>
      </c>
      <c r="O354" s="153">
        <f>PRODUCT($F354*I354)</f>
        <v>0</v>
      </c>
      <c r="P354" s="157"/>
    </row>
    <row r="355" spans="1:16" s="542" customFormat="1" ht="15" customHeight="1">
      <c r="A355" s="560"/>
      <c r="B355" s="560"/>
      <c r="C355" s="561" t="s">
        <v>1516</v>
      </c>
      <c r="D355" s="562"/>
      <c r="E355" s="562"/>
      <c r="F355" s="563">
        <f t="shared" si="33"/>
        <v>0</v>
      </c>
      <c r="G355" s="564"/>
      <c r="H355" s="173"/>
      <c r="I355" s="173"/>
      <c r="J355" s="566">
        <f>SUM(H352:I354)</f>
        <v>0</v>
      </c>
      <c r="K355" s="154"/>
      <c r="L355" s="154"/>
      <c r="M355" s="154">
        <f>SUM(K352:L354)</f>
        <v>0</v>
      </c>
      <c r="N355" s="154"/>
      <c r="O355" s="154"/>
      <c r="P355" s="154">
        <f>SUM(N352:O354)</f>
        <v>0</v>
      </c>
    </row>
    <row r="356" spans="1:16" s="556" customFormat="1" ht="15" customHeight="1">
      <c r="A356" s="550"/>
      <c r="B356" s="550"/>
      <c r="C356" s="559"/>
      <c r="D356" s="552"/>
      <c r="E356" s="552"/>
      <c r="F356" s="553">
        <f t="shared" si="33"/>
        <v>0</v>
      </c>
      <c r="G356" s="554"/>
      <c r="H356" s="172"/>
      <c r="I356" s="172"/>
      <c r="J356" s="555"/>
      <c r="K356" s="153"/>
      <c r="L356" s="153"/>
      <c r="M356" s="153"/>
      <c r="N356" s="153"/>
      <c r="O356" s="153"/>
      <c r="P356" s="153"/>
    </row>
    <row r="357" spans="1:16" s="556" customFormat="1" ht="15" customHeight="1">
      <c r="A357" s="550" t="s">
        <v>1517</v>
      </c>
      <c r="B357" s="550"/>
      <c r="C357" s="559" t="s">
        <v>1509</v>
      </c>
      <c r="D357" s="552">
        <v>1</v>
      </c>
      <c r="E357" s="552"/>
      <c r="F357" s="553">
        <f t="shared" si="33"/>
        <v>1</v>
      </c>
      <c r="G357" s="554" t="s">
        <v>143</v>
      </c>
      <c r="H357" s="171"/>
      <c r="I357" s="171"/>
      <c r="J357" s="555"/>
      <c r="K357" s="153">
        <f>PRODUCT($E357*H357)</f>
        <v>0</v>
      </c>
      <c r="L357" s="153">
        <f>PRODUCT($E357*I357)</f>
        <v>0</v>
      </c>
      <c r="M357" s="153"/>
      <c r="N357" s="153">
        <f>PRODUCT($F357*H357)</f>
        <v>0</v>
      </c>
      <c r="O357" s="153">
        <f>PRODUCT($F357*I357)</f>
        <v>0</v>
      </c>
      <c r="P357" s="153"/>
    </row>
    <row r="358" spans="1:16" s="556" customFormat="1" ht="15" customHeight="1">
      <c r="A358" s="550"/>
      <c r="B358" s="569" t="s">
        <v>1373</v>
      </c>
      <c r="C358" s="559" t="s">
        <v>1442</v>
      </c>
      <c r="D358" s="552">
        <v>1</v>
      </c>
      <c r="E358" s="552"/>
      <c r="F358" s="553">
        <f t="shared" si="33"/>
        <v>1</v>
      </c>
      <c r="G358" s="554" t="s">
        <v>143</v>
      </c>
      <c r="H358" s="171"/>
      <c r="I358" s="171"/>
      <c r="J358" s="555"/>
      <c r="K358" s="153">
        <f>PRODUCT($E358*H358)</f>
        <v>0</v>
      </c>
      <c r="L358" s="153">
        <f>PRODUCT($E358*I358)</f>
        <v>0</v>
      </c>
      <c r="M358" s="153"/>
      <c r="N358" s="153">
        <f>PRODUCT($F358*H358)</f>
        <v>0</v>
      </c>
      <c r="O358" s="153">
        <f>PRODUCT($F358*I358)</f>
        <v>0</v>
      </c>
      <c r="P358" s="153"/>
    </row>
    <row r="359" spans="1:16" s="556" customFormat="1" ht="15" customHeight="1">
      <c r="A359" s="570"/>
      <c r="B359" s="570"/>
      <c r="C359" s="561" t="s">
        <v>1432</v>
      </c>
      <c r="D359" s="572"/>
      <c r="E359" s="572"/>
      <c r="F359" s="573">
        <f t="shared" si="33"/>
        <v>0</v>
      </c>
      <c r="G359" s="574"/>
      <c r="H359" s="174"/>
      <c r="I359" s="174"/>
      <c r="J359" s="576">
        <f>SUM(H357:I358)</f>
        <v>0</v>
      </c>
      <c r="K359" s="155"/>
      <c r="L359" s="155"/>
      <c r="M359" s="155">
        <f>SUM(K357:L358)</f>
        <v>0</v>
      </c>
      <c r="N359" s="155"/>
      <c r="O359" s="155"/>
      <c r="P359" s="155">
        <f>SUM(N357:O358)</f>
        <v>0</v>
      </c>
    </row>
    <row r="360" spans="1:16" s="556" customFormat="1" ht="15" customHeight="1">
      <c r="A360" s="550"/>
      <c r="B360" s="550"/>
      <c r="C360" s="559"/>
      <c r="D360" s="552"/>
      <c r="E360" s="552"/>
      <c r="F360" s="553">
        <f t="shared" si="33"/>
        <v>0</v>
      </c>
      <c r="G360" s="554"/>
      <c r="H360" s="172"/>
      <c r="I360" s="172"/>
      <c r="J360" s="555"/>
      <c r="K360" s="153"/>
      <c r="L360" s="153"/>
      <c r="M360" s="153"/>
      <c r="N360" s="153"/>
      <c r="O360" s="153"/>
      <c r="P360" s="153"/>
    </row>
    <row r="361" spans="1:16" s="542" customFormat="1" ht="15" customHeight="1">
      <c r="A361" s="586"/>
      <c r="B361" s="586"/>
      <c r="C361" s="582" t="s">
        <v>1511</v>
      </c>
      <c r="D361" s="583">
        <v>2</v>
      </c>
      <c r="E361" s="583"/>
      <c r="F361" s="584">
        <f t="shared" si="33"/>
        <v>2</v>
      </c>
      <c r="G361" s="579" t="s">
        <v>68</v>
      </c>
      <c r="H361" s="171"/>
      <c r="I361" s="175"/>
      <c r="J361" s="600"/>
      <c r="K361" s="153">
        <f>PRODUCT($E361*H361)</f>
        <v>0</v>
      </c>
      <c r="L361" s="153">
        <f>PRODUCT($E361*I361)</f>
        <v>0</v>
      </c>
      <c r="M361" s="156"/>
      <c r="N361" s="153">
        <f>PRODUCT($F361*H361)</f>
        <v>0</v>
      </c>
      <c r="O361" s="153">
        <f>PRODUCT($F361*I361)</f>
        <v>0</v>
      </c>
      <c r="P361" s="156"/>
    </row>
    <row r="362" spans="1:16" s="542" customFormat="1" ht="15" customHeight="1">
      <c r="A362" s="586"/>
      <c r="B362" s="579" t="s">
        <v>1402</v>
      </c>
      <c r="C362" s="582" t="s">
        <v>1403</v>
      </c>
      <c r="D362" s="583">
        <v>2</v>
      </c>
      <c r="E362" s="583"/>
      <c r="F362" s="584">
        <f t="shared" si="33"/>
        <v>2</v>
      </c>
      <c r="G362" s="579" t="s">
        <v>68</v>
      </c>
      <c r="H362" s="175"/>
      <c r="I362" s="171"/>
      <c r="J362" s="600"/>
      <c r="K362" s="153">
        <f>PRODUCT($E362*H362)</f>
        <v>0</v>
      </c>
      <c r="L362" s="153">
        <f>PRODUCT($E362*I362)</f>
        <v>0</v>
      </c>
      <c r="M362" s="156"/>
      <c r="N362" s="153">
        <f>PRODUCT($F362*H362)</f>
        <v>0</v>
      </c>
      <c r="O362" s="153">
        <f>PRODUCT($F362*I362)</f>
        <v>0</v>
      </c>
      <c r="P362" s="156"/>
    </row>
    <row r="363" spans="1:16" s="542" customFormat="1" ht="15" customHeight="1">
      <c r="A363" s="560"/>
      <c r="B363" s="560"/>
      <c r="C363" s="561" t="s">
        <v>1468</v>
      </c>
      <c r="D363" s="562"/>
      <c r="E363" s="562"/>
      <c r="F363" s="563">
        <f t="shared" si="33"/>
        <v>0</v>
      </c>
      <c r="G363" s="564"/>
      <c r="H363" s="173"/>
      <c r="I363" s="173"/>
      <c r="J363" s="566">
        <f>SUM(H361:I362)</f>
        <v>0</v>
      </c>
      <c r="K363" s="154"/>
      <c r="L363" s="154"/>
      <c r="M363" s="154">
        <f>SUM(K361:L362)</f>
        <v>0</v>
      </c>
      <c r="N363" s="154"/>
      <c r="O363" s="154"/>
      <c r="P363" s="154">
        <f>SUM(N361:O362)</f>
        <v>0</v>
      </c>
    </row>
    <row r="364" spans="1:16" s="542" customFormat="1" ht="15" customHeight="1">
      <c r="A364" s="586"/>
      <c r="B364" s="586"/>
      <c r="C364" s="582"/>
      <c r="D364" s="583"/>
      <c r="E364" s="583"/>
      <c r="F364" s="584">
        <f t="shared" si="33"/>
        <v>0</v>
      </c>
      <c r="G364" s="580"/>
      <c r="H364" s="178"/>
      <c r="I364" s="178"/>
      <c r="J364" s="599"/>
      <c r="K364" s="156"/>
      <c r="L364" s="156"/>
      <c r="M364" s="156"/>
      <c r="N364" s="156"/>
      <c r="O364" s="156"/>
      <c r="P364" s="156"/>
    </row>
    <row r="365" spans="1:16" s="542" customFormat="1" ht="15" customHeight="1">
      <c r="A365" s="580"/>
      <c r="B365" s="581"/>
      <c r="C365" s="582" t="s">
        <v>1447</v>
      </c>
      <c r="D365" s="583">
        <v>2</v>
      </c>
      <c r="E365" s="583"/>
      <c r="F365" s="584">
        <f t="shared" si="33"/>
        <v>2</v>
      </c>
      <c r="G365" s="579" t="s">
        <v>1414</v>
      </c>
      <c r="H365" s="171"/>
      <c r="I365" s="176"/>
      <c r="J365" s="585"/>
      <c r="K365" s="153">
        <f>PRODUCT($E365*H365)</f>
        <v>0</v>
      </c>
      <c r="L365" s="153">
        <f>PRODUCT($E365*I365)</f>
        <v>0</v>
      </c>
      <c r="M365" s="157"/>
      <c r="N365" s="153">
        <f>PRODUCT($F365*H365)</f>
        <v>0</v>
      </c>
      <c r="O365" s="153">
        <f>PRODUCT($F365*I365)</f>
        <v>0</v>
      </c>
      <c r="P365" s="157"/>
    </row>
    <row r="366" spans="1:16" s="542" customFormat="1" ht="15" customHeight="1">
      <c r="A366" s="586"/>
      <c r="B366" s="581"/>
      <c r="C366" s="587" t="s">
        <v>1415</v>
      </c>
      <c r="D366" s="583">
        <v>2</v>
      </c>
      <c r="E366" s="583"/>
      <c r="F366" s="584">
        <f t="shared" si="33"/>
        <v>2</v>
      </c>
      <c r="G366" s="579" t="s">
        <v>1414</v>
      </c>
      <c r="H366" s="175"/>
      <c r="I366" s="171"/>
      <c r="J366" s="588"/>
      <c r="K366" s="153">
        <f>PRODUCT($E366*H366)</f>
        <v>0</v>
      </c>
      <c r="L366" s="153">
        <f>PRODUCT($E366*I366)</f>
        <v>0</v>
      </c>
      <c r="M366" s="156"/>
      <c r="N366" s="153">
        <f>PRODUCT($F366*H366)</f>
        <v>0</v>
      </c>
      <c r="O366" s="153">
        <f>PRODUCT($F366*I366)</f>
        <v>0</v>
      </c>
      <c r="P366" s="156"/>
    </row>
    <row r="367" spans="1:16" s="542" customFormat="1" ht="15" customHeight="1">
      <c r="A367" s="560"/>
      <c r="B367" s="560"/>
      <c r="C367" s="561" t="s">
        <v>1448</v>
      </c>
      <c r="D367" s="562"/>
      <c r="E367" s="562"/>
      <c r="F367" s="563">
        <f t="shared" si="33"/>
        <v>0</v>
      </c>
      <c r="G367" s="564"/>
      <c r="H367" s="173"/>
      <c r="I367" s="173"/>
      <c r="J367" s="566">
        <f>SUM(H365:I366)</f>
        <v>0</v>
      </c>
      <c r="K367" s="154"/>
      <c r="L367" s="154"/>
      <c r="M367" s="154">
        <f>SUM(K365:L366)</f>
        <v>0</v>
      </c>
      <c r="N367" s="154"/>
      <c r="O367" s="154"/>
      <c r="P367" s="154">
        <f>SUM(N365:O366)</f>
        <v>0</v>
      </c>
    </row>
    <row r="368" spans="1:16" s="556" customFormat="1" ht="15" customHeight="1">
      <c r="A368" s="550"/>
      <c r="B368" s="550"/>
      <c r="C368" s="589"/>
      <c r="D368" s="552"/>
      <c r="E368" s="552"/>
      <c r="F368" s="553">
        <f t="shared" si="33"/>
        <v>0</v>
      </c>
      <c r="G368" s="554"/>
      <c r="H368" s="172"/>
      <c r="I368" s="172"/>
      <c r="J368" s="568"/>
      <c r="K368" s="153"/>
      <c r="L368" s="153"/>
      <c r="M368" s="153"/>
      <c r="N368" s="153"/>
      <c r="O368" s="153"/>
      <c r="P368" s="153"/>
    </row>
    <row r="369" spans="1:18" s="542" customFormat="1" ht="15" customHeight="1">
      <c r="A369" s="547" t="s">
        <v>1518</v>
      </c>
      <c r="B369" s="548"/>
      <c r="C369" s="549"/>
      <c r="D369" s="548"/>
      <c r="E369" s="548"/>
      <c r="F369" s="590">
        <f t="shared" si="33"/>
        <v>0</v>
      </c>
      <c r="G369" s="548"/>
      <c r="H369" s="170"/>
      <c r="I369" s="170"/>
      <c r="J369" s="548"/>
      <c r="K369" s="151"/>
      <c r="L369" s="151"/>
      <c r="M369" s="152"/>
      <c r="N369" s="151"/>
      <c r="O369" s="151"/>
      <c r="P369" s="152"/>
      <c r="Q369" s="556"/>
      <c r="R369" s="556"/>
    </row>
    <row r="370" spans="1:18" s="542" customFormat="1" ht="15" customHeight="1">
      <c r="A370" s="597"/>
      <c r="B370" s="601"/>
      <c r="C370" s="602" t="s">
        <v>1519</v>
      </c>
      <c r="D370" s="603">
        <v>200</v>
      </c>
      <c r="E370" s="603">
        <v>42</v>
      </c>
      <c r="F370" s="604">
        <f t="shared" si="33"/>
        <v>158</v>
      </c>
      <c r="G370" s="605" t="s">
        <v>412</v>
      </c>
      <c r="H370" s="171"/>
      <c r="I370" s="171"/>
      <c r="J370" s="606">
        <f>H370+I370</f>
        <v>0</v>
      </c>
      <c r="K370" s="153">
        <f t="shared" ref="K370:K377" si="34">PRODUCT($E370*H370)</f>
        <v>0</v>
      </c>
      <c r="L370" s="153">
        <f t="shared" ref="L370:L377" si="35">PRODUCT($E370*I370)</f>
        <v>0</v>
      </c>
      <c r="M370" s="159">
        <f t="shared" ref="M370:M377" si="36">SUM(K370:L370)</f>
        <v>0</v>
      </c>
      <c r="N370" s="153">
        <f t="shared" ref="N370:N377" si="37">PRODUCT($F370*H370)</f>
        <v>0</v>
      </c>
      <c r="O370" s="153">
        <f t="shared" ref="O370:O377" si="38">PRODUCT($F370*I370)</f>
        <v>0</v>
      </c>
      <c r="P370" s="159">
        <f t="shared" ref="P370:P377" si="39">SUM(N370:O370)</f>
        <v>0</v>
      </c>
      <c r="Q370" s="556"/>
      <c r="R370" s="556"/>
    </row>
    <row r="371" spans="1:18" s="542" customFormat="1" ht="15" customHeight="1">
      <c r="A371" s="586"/>
      <c r="B371" s="607"/>
      <c r="C371" s="587" t="s">
        <v>1520</v>
      </c>
      <c r="D371" s="608" t="s">
        <v>142</v>
      </c>
      <c r="E371" s="608" t="s">
        <v>2484</v>
      </c>
      <c r="F371" s="584">
        <f t="shared" si="33"/>
        <v>0.6</v>
      </c>
      <c r="G371" s="580" t="s">
        <v>143</v>
      </c>
      <c r="H371" s="609"/>
      <c r="I371" s="171"/>
      <c r="J371" s="610"/>
      <c r="K371" s="153">
        <f t="shared" si="34"/>
        <v>0</v>
      </c>
      <c r="L371" s="153">
        <f t="shared" si="35"/>
        <v>0</v>
      </c>
      <c r="M371" s="159">
        <f t="shared" si="36"/>
        <v>0</v>
      </c>
      <c r="N371" s="153">
        <f t="shared" si="37"/>
        <v>0</v>
      </c>
      <c r="O371" s="153">
        <f t="shared" si="38"/>
        <v>0</v>
      </c>
      <c r="P371" s="159">
        <f t="shared" si="39"/>
        <v>0</v>
      </c>
      <c r="Q371" s="556"/>
      <c r="R371" s="556"/>
    </row>
    <row r="372" spans="1:18" s="542" customFormat="1" ht="33" customHeight="1">
      <c r="A372" s="586"/>
      <c r="B372" s="607"/>
      <c r="C372" s="587" t="s">
        <v>1521</v>
      </c>
      <c r="D372" s="608" t="s">
        <v>336</v>
      </c>
      <c r="E372" s="608" t="s">
        <v>175</v>
      </c>
      <c r="F372" s="584">
        <f t="shared" si="33"/>
        <v>4</v>
      </c>
      <c r="G372" s="569" t="s">
        <v>1406</v>
      </c>
      <c r="H372" s="609"/>
      <c r="I372" s="171"/>
      <c r="J372" s="611"/>
      <c r="K372" s="153">
        <f t="shared" si="34"/>
        <v>0</v>
      </c>
      <c r="L372" s="153">
        <f t="shared" si="35"/>
        <v>0</v>
      </c>
      <c r="M372" s="159">
        <f t="shared" si="36"/>
        <v>0</v>
      </c>
      <c r="N372" s="153">
        <f t="shared" si="37"/>
        <v>0</v>
      </c>
      <c r="O372" s="153">
        <f t="shared" si="38"/>
        <v>0</v>
      </c>
      <c r="P372" s="159">
        <f t="shared" si="39"/>
        <v>0</v>
      </c>
      <c r="Q372" s="556"/>
      <c r="R372" s="556"/>
    </row>
    <row r="373" spans="1:18" s="613" customFormat="1" ht="15" customHeight="1">
      <c r="A373" s="586"/>
      <c r="B373" s="607"/>
      <c r="C373" s="587" t="s">
        <v>1522</v>
      </c>
      <c r="D373" s="583">
        <v>4</v>
      </c>
      <c r="E373" s="583">
        <v>1</v>
      </c>
      <c r="F373" s="584">
        <f t="shared" si="33"/>
        <v>3</v>
      </c>
      <c r="G373" s="612" t="s">
        <v>581</v>
      </c>
      <c r="H373" s="609"/>
      <c r="I373" s="171"/>
      <c r="J373" s="606">
        <f>H373+I373</f>
        <v>0</v>
      </c>
      <c r="K373" s="153">
        <f t="shared" si="34"/>
        <v>0</v>
      </c>
      <c r="L373" s="153">
        <f t="shared" si="35"/>
        <v>0</v>
      </c>
      <c r="M373" s="159">
        <f t="shared" si="36"/>
        <v>0</v>
      </c>
      <c r="N373" s="153">
        <f t="shared" si="37"/>
        <v>0</v>
      </c>
      <c r="O373" s="153">
        <f t="shared" si="38"/>
        <v>0</v>
      </c>
      <c r="P373" s="159">
        <f t="shared" si="39"/>
        <v>0</v>
      </c>
      <c r="Q373" s="556"/>
      <c r="R373" s="556"/>
    </row>
    <row r="374" spans="1:18" s="613" customFormat="1" ht="15" customHeight="1">
      <c r="A374" s="597"/>
      <c r="B374" s="601"/>
      <c r="C374" s="587" t="s">
        <v>1523</v>
      </c>
      <c r="D374" s="614">
        <v>30</v>
      </c>
      <c r="E374" s="614">
        <v>5</v>
      </c>
      <c r="F374" s="615">
        <f t="shared" si="33"/>
        <v>25</v>
      </c>
      <c r="G374" s="612" t="s">
        <v>581</v>
      </c>
      <c r="H374" s="609"/>
      <c r="I374" s="171"/>
      <c r="J374" s="606">
        <f>H374+I374</f>
        <v>0</v>
      </c>
      <c r="K374" s="153">
        <f t="shared" si="34"/>
        <v>0</v>
      </c>
      <c r="L374" s="153">
        <f t="shared" si="35"/>
        <v>0</v>
      </c>
      <c r="M374" s="159">
        <f t="shared" si="36"/>
        <v>0</v>
      </c>
      <c r="N374" s="153">
        <f t="shared" si="37"/>
        <v>0</v>
      </c>
      <c r="O374" s="153">
        <f t="shared" si="38"/>
        <v>0</v>
      </c>
      <c r="P374" s="159">
        <f t="shared" si="39"/>
        <v>0</v>
      </c>
      <c r="Q374" s="556"/>
      <c r="R374" s="556"/>
    </row>
    <row r="375" spans="1:18" s="613" customFormat="1" ht="15" customHeight="1">
      <c r="A375" s="597"/>
      <c r="B375" s="601"/>
      <c r="C375" s="587" t="s">
        <v>573</v>
      </c>
      <c r="D375" s="612" t="s">
        <v>1524</v>
      </c>
      <c r="E375" s="612" t="s">
        <v>175</v>
      </c>
      <c r="F375" s="616">
        <f t="shared" si="33"/>
        <v>18</v>
      </c>
      <c r="G375" s="612" t="s">
        <v>581</v>
      </c>
      <c r="H375" s="609"/>
      <c r="I375" s="171"/>
      <c r="J375" s="610"/>
      <c r="K375" s="153">
        <f t="shared" si="34"/>
        <v>0</v>
      </c>
      <c r="L375" s="153">
        <f t="shared" si="35"/>
        <v>0</v>
      </c>
      <c r="M375" s="159">
        <f t="shared" si="36"/>
        <v>0</v>
      </c>
      <c r="N375" s="153">
        <f t="shared" si="37"/>
        <v>0</v>
      </c>
      <c r="O375" s="153">
        <f t="shared" si="38"/>
        <v>0</v>
      </c>
      <c r="P375" s="159">
        <f t="shared" si="39"/>
        <v>0</v>
      </c>
    </row>
    <row r="376" spans="1:18" s="613" customFormat="1" ht="15" customHeight="1">
      <c r="A376" s="597"/>
      <c r="B376" s="601"/>
      <c r="C376" s="617" t="s">
        <v>1525</v>
      </c>
      <c r="D376" s="612" t="s">
        <v>1526</v>
      </c>
      <c r="E376" s="612" t="s">
        <v>174</v>
      </c>
      <c r="F376" s="616">
        <f t="shared" si="33"/>
        <v>13</v>
      </c>
      <c r="G376" s="612" t="s">
        <v>581</v>
      </c>
      <c r="H376" s="609"/>
      <c r="I376" s="171"/>
      <c r="J376" s="610"/>
      <c r="K376" s="153">
        <f t="shared" si="34"/>
        <v>0</v>
      </c>
      <c r="L376" s="153">
        <f t="shared" si="35"/>
        <v>0</v>
      </c>
      <c r="M376" s="159">
        <f t="shared" si="36"/>
        <v>0</v>
      </c>
      <c r="N376" s="153">
        <f t="shared" si="37"/>
        <v>0</v>
      </c>
      <c r="O376" s="153">
        <f t="shared" si="38"/>
        <v>0</v>
      </c>
      <c r="P376" s="159">
        <f t="shared" si="39"/>
        <v>0</v>
      </c>
    </row>
    <row r="377" spans="1:18" s="613" customFormat="1" ht="15" customHeight="1">
      <c r="A377" s="597"/>
      <c r="B377" s="601"/>
      <c r="C377" s="587" t="s">
        <v>1527</v>
      </c>
      <c r="D377" s="612" t="s">
        <v>142</v>
      </c>
      <c r="E377" s="612" t="s">
        <v>2484</v>
      </c>
      <c r="F377" s="616">
        <f t="shared" si="33"/>
        <v>0.6</v>
      </c>
      <c r="G377" s="612" t="s">
        <v>143</v>
      </c>
      <c r="H377" s="609"/>
      <c r="I377" s="171"/>
      <c r="J377" s="610"/>
      <c r="K377" s="153">
        <f t="shared" si="34"/>
        <v>0</v>
      </c>
      <c r="L377" s="153">
        <f t="shared" si="35"/>
        <v>0</v>
      </c>
      <c r="M377" s="159">
        <f t="shared" si="36"/>
        <v>0</v>
      </c>
      <c r="N377" s="153">
        <f t="shared" si="37"/>
        <v>0</v>
      </c>
      <c r="O377" s="153">
        <f t="shared" si="38"/>
        <v>0</v>
      </c>
      <c r="P377" s="159">
        <f t="shared" si="39"/>
        <v>0</v>
      </c>
    </row>
    <row r="378" spans="1:18" s="613" customFormat="1" ht="15" customHeight="1">
      <c r="A378" s="597"/>
      <c r="B378" s="601"/>
      <c r="C378" s="617"/>
      <c r="D378" s="612"/>
      <c r="E378" s="612"/>
      <c r="F378" s="612"/>
      <c r="G378" s="612"/>
      <c r="H378" s="156"/>
      <c r="I378" s="156"/>
      <c r="J378" s="580"/>
      <c r="K378" s="156"/>
      <c r="L378" s="160"/>
      <c r="M378" s="158"/>
      <c r="N378" s="156"/>
      <c r="O378" s="160"/>
      <c r="P378" s="158"/>
    </row>
    <row r="379" spans="1:18" s="613" customFormat="1" ht="15" customHeight="1">
      <c r="A379" s="597"/>
      <c r="B379" s="601"/>
      <c r="C379" s="617"/>
      <c r="D379" s="612"/>
      <c r="E379" s="612"/>
      <c r="F379" s="612"/>
      <c r="G379" s="612"/>
      <c r="H379" s="160"/>
      <c r="I379" s="160"/>
      <c r="J379" s="618"/>
      <c r="K379" s="156"/>
      <c r="L379" s="156"/>
      <c r="M379" s="156"/>
      <c r="N379" s="156"/>
      <c r="O379" s="156"/>
      <c r="P379" s="156"/>
    </row>
    <row r="380" spans="1:18" s="613" customFormat="1" ht="15" customHeight="1">
      <c r="A380" s="608"/>
      <c r="B380" s="608"/>
      <c r="C380" s="619" t="s">
        <v>1528</v>
      </c>
      <c r="D380" s="620"/>
      <c r="E380" s="620"/>
      <c r="F380" s="620"/>
      <c r="G380" s="583"/>
      <c r="H380" s="156"/>
      <c r="I380" s="156"/>
      <c r="J380" s="588"/>
      <c r="K380" s="161"/>
      <c r="L380" s="161"/>
      <c r="M380" s="162">
        <f>SUM(M13:M378)</f>
        <v>0</v>
      </c>
      <c r="N380" s="161"/>
      <c r="O380" s="161"/>
      <c r="P380" s="162">
        <f>SUM(P13:P378)</f>
        <v>0</v>
      </c>
      <c r="R380" s="621"/>
    </row>
    <row r="381" spans="1:18" s="613" customFormat="1" ht="15" customHeight="1">
      <c r="A381" s="622"/>
      <c r="B381" s="622"/>
      <c r="C381" s="623"/>
      <c r="D381" s="624"/>
      <c r="E381" s="624"/>
      <c r="F381" s="624"/>
      <c r="G381" s="625"/>
      <c r="H381" s="163"/>
      <c r="I381" s="163"/>
      <c r="J381" s="621"/>
      <c r="K381" s="164"/>
      <c r="L381" s="164"/>
      <c r="M381" s="165"/>
      <c r="N381" s="164"/>
      <c r="O381" s="164"/>
      <c r="P381" s="165"/>
      <c r="R381" s="621"/>
    </row>
    <row r="382" spans="1:18" s="628" customFormat="1" ht="15" customHeight="1">
      <c r="A382" s="626"/>
      <c r="B382" s="626"/>
      <c r="C382" s="627" t="s">
        <v>1529</v>
      </c>
      <c r="D382" s="627"/>
      <c r="E382" s="627"/>
      <c r="F382" s="627"/>
      <c r="G382" s="627"/>
      <c r="K382" s="166">
        <f>SUBTOTAL(9,K12:K379)</f>
        <v>0</v>
      </c>
      <c r="L382" s="166">
        <f>SUBTOTAL(9,L12:L379)</f>
        <v>0</v>
      </c>
      <c r="M382" s="167"/>
      <c r="N382" s="166">
        <f>SUBTOTAL(9,N12:N379)</f>
        <v>0</v>
      </c>
      <c r="O382" s="166">
        <f>SUBTOTAL(9,O12:O379)</f>
        <v>0</v>
      </c>
      <c r="P382" s="167">
        <f>SUM(K382:O382)</f>
        <v>0</v>
      </c>
    </row>
    <row r="383" spans="1:18" s="628" customFormat="1" ht="15" customHeight="1">
      <c r="A383" s="626"/>
      <c r="B383" s="626"/>
      <c r="C383" s="629"/>
      <c r="D383" s="630"/>
      <c r="E383" s="630"/>
      <c r="F383" s="630"/>
      <c r="G383" s="631"/>
      <c r="H383" s="167"/>
      <c r="I383" s="167"/>
      <c r="J383" s="632"/>
      <c r="K383" s="166"/>
      <c r="L383" s="166"/>
      <c r="M383" s="167"/>
      <c r="N383" s="166"/>
      <c r="O383" s="166"/>
      <c r="P383" s="167"/>
    </row>
    <row r="384" spans="1:18" s="542" customFormat="1">
      <c r="A384" s="633" t="s">
        <v>106</v>
      </c>
      <c r="C384" s="546"/>
      <c r="H384" s="163"/>
      <c r="I384" s="163"/>
      <c r="K384" s="163"/>
      <c r="L384" s="163"/>
      <c r="M384" s="163"/>
      <c r="N384" s="163"/>
      <c r="O384" s="163"/>
      <c r="P384" s="163"/>
    </row>
    <row r="385" spans="3:16" s="542" customFormat="1" ht="12.75" customHeight="1">
      <c r="C385" s="546" t="s">
        <v>1530</v>
      </c>
      <c r="D385" s="546"/>
      <c r="E385" s="546"/>
      <c r="F385" s="546"/>
      <c r="G385" s="546"/>
      <c r="H385" s="163"/>
      <c r="I385" s="163"/>
      <c r="K385" s="163"/>
      <c r="L385" s="163"/>
      <c r="M385" s="163"/>
      <c r="N385" s="163"/>
      <c r="O385" s="163"/>
      <c r="P385" s="163"/>
    </row>
    <row r="386" spans="3:16" s="542" customFormat="1" ht="40.5" customHeight="1">
      <c r="C386" s="546" t="s">
        <v>1531</v>
      </c>
      <c r="D386" s="546"/>
      <c r="E386" s="546"/>
      <c r="F386" s="546"/>
      <c r="G386" s="546"/>
      <c r="H386" s="163"/>
      <c r="I386" s="163"/>
      <c r="K386" s="163"/>
      <c r="L386" s="163"/>
      <c r="M386" s="163"/>
      <c r="N386" s="163"/>
      <c r="O386" s="163"/>
      <c r="P386" s="163"/>
    </row>
    <row r="387" spans="3:16" s="542" customFormat="1" ht="12.75" customHeight="1">
      <c r="C387" s="546" t="s">
        <v>1532</v>
      </c>
      <c r="D387" s="546"/>
      <c r="E387" s="546"/>
      <c r="F387" s="546"/>
      <c r="G387" s="546"/>
      <c r="H387" s="163"/>
      <c r="I387" s="163"/>
      <c r="K387" s="163"/>
      <c r="L387" s="163"/>
      <c r="M387" s="163"/>
      <c r="N387" s="163"/>
      <c r="O387" s="163"/>
      <c r="P387" s="163"/>
    </row>
  </sheetData>
  <sheetProtection algorithmName="SHA-512" hashValue="Wbow9f+AJDkqKLhFv/ME+JH72KaWsaE3NCjIXDftUDQLkyxYImZcSoFMW0s/4vzpA95HWp4hKOInzjTrFluKwg==" saltValue="UMP2PulzhUxYIvg6d3Na5Q==" spinCount="100000" sheet="1"/>
  <autoFilter ref="C11:P387"/>
  <mergeCells count="2">
    <mergeCell ref="N10:P10"/>
    <mergeCell ref="H10:J10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4" fitToHeight="0" orientation="portrait" r:id="rId1"/>
  <headerFooter>
    <oddHeader>&amp;LBD Hübnerové&amp;ROdhad stavebních nákladů</oddHeader>
    <oddFooter>Stránka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97"/>
  <sheetViews>
    <sheetView tabSelected="1" view="pageBreakPreview" zoomScaleNormal="100" zoomScaleSheetLayoutView="100" workbookViewId="0">
      <selection activeCell="H31" sqref="H31"/>
    </sheetView>
  </sheetViews>
  <sheetFormatPr defaultRowHeight="12.75"/>
  <cols>
    <col min="1" max="1" width="12.83203125" style="528" customWidth="1"/>
    <col min="2" max="2" width="69.83203125" style="529" customWidth="1"/>
    <col min="3" max="3" width="13" style="527" customWidth="1"/>
    <col min="4" max="6" width="14.5" style="12" customWidth="1"/>
    <col min="7" max="7" width="18" style="12" customWidth="1"/>
    <col min="8" max="9" width="25.83203125" style="13" customWidth="1"/>
    <col min="10" max="10" width="1.83203125" style="527" customWidth="1"/>
    <col min="11" max="11" width="23.1640625" style="527" customWidth="1"/>
    <col min="12" max="249" width="9.33203125" style="527"/>
    <col min="250" max="250" width="12.83203125" style="527" customWidth="1"/>
    <col min="251" max="251" width="82.83203125" style="527" customWidth="1"/>
    <col min="252" max="252" width="13" style="527" customWidth="1"/>
    <col min="253" max="253" width="10.1640625" style="527" customWidth="1"/>
    <col min="254" max="254" width="11.83203125" style="527" customWidth="1"/>
    <col min="255" max="255" width="15.6640625" style="527" customWidth="1"/>
    <col min="256" max="505" width="9.33203125" style="527"/>
    <col min="506" max="506" width="12.83203125" style="527" customWidth="1"/>
    <col min="507" max="507" width="82.83203125" style="527" customWidth="1"/>
    <col min="508" max="508" width="13" style="527" customWidth="1"/>
    <col min="509" max="509" width="10.1640625" style="527" customWidth="1"/>
    <col min="510" max="510" width="11.83203125" style="527" customWidth="1"/>
    <col min="511" max="511" width="15.6640625" style="527" customWidth="1"/>
    <col min="512" max="761" width="9.33203125" style="527"/>
    <col min="762" max="762" width="12.83203125" style="527" customWidth="1"/>
    <col min="763" max="763" width="82.83203125" style="527" customWidth="1"/>
    <col min="764" max="764" width="13" style="527" customWidth="1"/>
    <col min="765" max="765" width="10.1640625" style="527" customWidth="1"/>
    <col min="766" max="766" width="11.83203125" style="527" customWidth="1"/>
    <col min="767" max="767" width="15.6640625" style="527" customWidth="1"/>
    <col min="768" max="1017" width="9.33203125" style="527"/>
    <col min="1018" max="1018" width="12.83203125" style="527" customWidth="1"/>
    <col min="1019" max="1019" width="82.83203125" style="527" customWidth="1"/>
    <col min="1020" max="1020" width="13" style="527" customWidth="1"/>
    <col min="1021" max="1021" width="10.1640625" style="527" customWidth="1"/>
    <col min="1022" max="1022" width="11.83203125" style="527" customWidth="1"/>
    <col min="1023" max="1023" width="15.6640625" style="527" customWidth="1"/>
    <col min="1024" max="1273" width="9.33203125" style="527"/>
    <col min="1274" max="1274" width="12.83203125" style="527" customWidth="1"/>
    <col min="1275" max="1275" width="82.83203125" style="527" customWidth="1"/>
    <col min="1276" max="1276" width="13" style="527" customWidth="1"/>
    <col min="1277" max="1277" width="10.1640625" style="527" customWidth="1"/>
    <col min="1278" max="1278" width="11.83203125" style="527" customWidth="1"/>
    <col min="1279" max="1279" width="15.6640625" style="527" customWidth="1"/>
    <col min="1280" max="1529" width="9.33203125" style="527"/>
    <col min="1530" max="1530" width="12.83203125" style="527" customWidth="1"/>
    <col min="1531" max="1531" width="82.83203125" style="527" customWidth="1"/>
    <col min="1532" max="1532" width="13" style="527" customWidth="1"/>
    <col min="1533" max="1533" width="10.1640625" style="527" customWidth="1"/>
    <col min="1534" max="1534" width="11.83203125" style="527" customWidth="1"/>
    <col min="1535" max="1535" width="15.6640625" style="527" customWidth="1"/>
    <col min="1536" max="1785" width="9.33203125" style="527"/>
    <col min="1786" max="1786" width="12.83203125" style="527" customWidth="1"/>
    <col min="1787" max="1787" width="82.83203125" style="527" customWidth="1"/>
    <col min="1788" max="1788" width="13" style="527" customWidth="1"/>
    <col min="1789" max="1789" width="10.1640625" style="527" customWidth="1"/>
    <col min="1790" max="1790" width="11.83203125" style="527" customWidth="1"/>
    <col min="1791" max="1791" width="15.6640625" style="527" customWidth="1"/>
    <col min="1792" max="2041" width="9.33203125" style="527"/>
    <col min="2042" max="2042" width="12.83203125" style="527" customWidth="1"/>
    <col min="2043" max="2043" width="82.83203125" style="527" customWidth="1"/>
    <col min="2044" max="2044" width="13" style="527" customWidth="1"/>
    <col min="2045" max="2045" width="10.1640625" style="527" customWidth="1"/>
    <col min="2046" max="2046" width="11.83203125" style="527" customWidth="1"/>
    <col min="2047" max="2047" width="15.6640625" style="527" customWidth="1"/>
    <col min="2048" max="2297" width="9.33203125" style="527"/>
    <col min="2298" max="2298" width="12.83203125" style="527" customWidth="1"/>
    <col min="2299" max="2299" width="82.83203125" style="527" customWidth="1"/>
    <col min="2300" max="2300" width="13" style="527" customWidth="1"/>
    <col min="2301" max="2301" width="10.1640625" style="527" customWidth="1"/>
    <col min="2302" max="2302" width="11.83203125" style="527" customWidth="1"/>
    <col min="2303" max="2303" width="15.6640625" style="527" customWidth="1"/>
    <col min="2304" max="2553" width="9.33203125" style="527"/>
    <col min="2554" max="2554" width="12.83203125" style="527" customWidth="1"/>
    <col min="2555" max="2555" width="82.83203125" style="527" customWidth="1"/>
    <col min="2556" max="2556" width="13" style="527" customWidth="1"/>
    <col min="2557" max="2557" width="10.1640625" style="527" customWidth="1"/>
    <col min="2558" max="2558" width="11.83203125" style="527" customWidth="1"/>
    <col min="2559" max="2559" width="15.6640625" style="527" customWidth="1"/>
    <col min="2560" max="2809" width="9.33203125" style="527"/>
    <col min="2810" max="2810" width="12.83203125" style="527" customWidth="1"/>
    <col min="2811" max="2811" width="82.83203125" style="527" customWidth="1"/>
    <col min="2812" max="2812" width="13" style="527" customWidth="1"/>
    <col min="2813" max="2813" width="10.1640625" style="527" customWidth="1"/>
    <col min="2814" max="2814" width="11.83203125" style="527" customWidth="1"/>
    <col min="2815" max="2815" width="15.6640625" style="527" customWidth="1"/>
    <col min="2816" max="3065" width="9.33203125" style="527"/>
    <col min="3066" max="3066" width="12.83203125" style="527" customWidth="1"/>
    <col min="3067" max="3067" width="82.83203125" style="527" customWidth="1"/>
    <col min="3068" max="3068" width="13" style="527" customWidth="1"/>
    <col min="3069" max="3069" width="10.1640625" style="527" customWidth="1"/>
    <col min="3070" max="3070" width="11.83203125" style="527" customWidth="1"/>
    <col min="3071" max="3071" width="15.6640625" style="527" customWidth="1"/>
    <col min="3072" max="3321" width="9.33203125" style="527"/>
    <col min="3322" max="3322" width="12.83203125" style="527" customWidth="1"/>
    <col min="3323" max="3323" width="82.83203125" style="527" customWidth="1"/>
    <col min="3324" max="3324" width="13" style="527" customWidth="1"/>
    <col min="3325" max="3325" width="10.1640625" style="527" customWidth="1"/>
    <col min="3326" max="3326" width="11.83203125" style="527" customWidth="1"/>
    <col min="3327" max="3327" width="15.6640625" style="527" customWidth="1"/>
    <col min="3328" max="3577" width="9.33203125" style="527"/>
    <col min="3578" max="3578" width="12.83203125" style="527" customWidth="1"/>
    <col min="3579" max="3579" width="82.83203125" style="527" customWidth="1"/>
    <col min="3580" max="3580" width="13" style="527" customWidth="1"/>
    <col min="3581" max="3581" width="10.1640625" style="527" customWidth="1"/>
    <col min="3582" max="3582" width="11.83203125" style="527" customWidth="1"/>
    <col min="3583" max="3583" width="15.6640625" style="527" customWidth="1"/>
    <col min="3584" max="3833" width="9.33203125" style="527"/>
    <col min="3834" max="3834" width="12.83203125" style="527" customWidth="1"/>
    <col min="3835" max="3835" width="82.83203125" style="527" customWidth="1"/>
    <col min="3836" max="3836" width="13" style="527" customWidth="1"/>
    <col min="3837" max="3837" width="10.1640625" style="527" customWidth="1"/>
    <col min="3838" max="3838" width="11.83203125" style="527" customWidth="1"/>
    <col min="3839" max="3839" width="15.6640625" style="527" customWidth="1"/>
    <col min="3840" max="4089" width="9.33203125" style="527"/>
    <col min="4090" max="4090" width="12.83203125" style="527" customWidth="1"/>
    <col min="4091" max="4091" width="82.83203125" style="527" customWidth="1"/>
    <col min="4092" max="4092" width="13" style="527" customWidth="1"/>
    <col min="4093" max="4093" width="10.1640625" style="527" customWidth="1"/>
    <col min="4094" max="4094" width="11.83203125" style="527" customWidth="1"/>
    <col min="4095" max="4095" width="15.6640625" style="527" customWidth="1"/>
    <col min="4096" max="4345" width="9.33203125" style="527"/>
    <col min="4346" max="4346" width="12.83203125" style="527" customWidth="1"/>
    <col min="4347" max="4347" width="82.83203125" style="527" customWidth="1"/>
    <col min="4348" max="4348" width="13" style="527" customWidth="1"/>
    <col min="4349" max="4349" width="10.1640625" style="527" customWidth="1"/>
    <col min="4350" max="4350" width="11.83203125" style="527" customWidth="1"/>
    <col min="4351" max="4351" width="15.6640625" style="527" customWidth="1"/>
    <col min="4352" max="4601" width="9.33203125" style="527"/>
    <col min="4602" max="4602" width="12.83203125" style="527" customWidth="1"/>
    <col min="4603" max="4603" width="82.83203125" style="527" customWidth="1"/>
    <col min="4604" max="4604" width="13" style="527" customWidth="1"/>
    <col min="4605" max="4605" width="10.1640625" style="527" customWidth="1"/>
    <col min="4606" max="4606" width="11.83203125" style="527" customWidth="1"/>
    <col min="4607" max="4607" width="15.6640625" style="527" customWidth="1"/>
    <col min="4608" max="4857" width="9.33203125" style="527"/>
    <col min="4858" max="4858" width="12.83203125" style="527" customWidth="1"/>
    <col min="4859" max="4859" width="82.83203125" style="527" customWidth="1"/>
    <col min="4860" max="4860" width="13" style="527" customWidth="1"/>
    <col min="4861" max="4861" width="10.1640625" style="527" customWidth="1"/>
    <col min="4862" max="4862" width="11.83203125" style="527" customWidth="1"/>
    <col min="4863" max="4863" width="15.6640625" style="527" customWidth="1"/>
    <col min="4864" max="5113" width="9.33203125" style="527"/>
    <col min="5114" max="5114" width="12.83203125" style="527" customWidth="1"/>
    <col min="5115" max="5115" width="82.83203125" style="527" customWidth="1"/>
    <col min="5116" max="5116" width="13" style="527" customWidth="1"/>
    <col min="5117" max="5117" width="10.1640625" style="527" customWidth="1"/>
    <col min="5118" max="5118" width="11.83203125" style="527" customWidth="1"/>
    <col min="5119" max="5119" width="15.6640625" style="527" customWidth="1"/>
    <col min="5120" max="5369" width="9.33203125" style="527"/>
    <col min="5370" max="5370" width="12.83203125" style="527" customWidth="1"/>
    <col min="5371" max="5371" width="82.83203125" style="527" customWidth="1"/>
    <col min="5372" max="5372" width="13" style="527" customWidth="1"/>
    <col min="5373" max="5373" width="10.1640625" style="527" customWidth="1"/>
    <col min="5374" max="5374" width="11.83203125" style="527" customWidth="1"/>
    <col min="5375" max="5375" width="15.6640625" style="527" customWidth="1"/>
    <col min="5376" max="5625" width="9.33203125" style="527"/>
    <col min="5626" max="5626" width="12.83203125" style="527" customWidth="1"/>
    <col min="5627" max="5627" width="82.83203125" style="527" customWidth="1"/>
    <col min="5628" max="5628" width="13" style="527" customWidth="1"/>
    <col min="5629" max="5629" width="10.1640625" style="527" customWidth="1"/>
    <col min="5630" max="5630" width="11.83203125" style="527" customWidth="1"/>
    <col min="5631" max="5631" width="15.6640625" style="527" customWidth="1"/>
    <col min="5632" max="5881" width="9.33203125" style="527"/>
    <col min="5882" max="5882" width="12.83203125" style="527" customWidth="1"/>
    <col min="5883" max="5883" width="82.83203125" style="527" customWidth="1"/>
    <col min="5884" max="5884" width="13" style="527" customWidth="1"/>
    <col min="5885" max="5885" width="10.1640625" style="527" customWidth="1"/>
    <col min="5886" max="5886" width="11.83203125" style="527" customWidth="1"/>
    <col min="5887" max="5887" width="15.6640625" style="527" customWidth="1"/>
    <col min="5888" max="6137" width="9.33203125" style="527"/>
    <col min="6138" max="6138" width="12.83203125" style="527" customWidth="1"/>
    <col min="6139" max="6139" width="82.83203125" style="527" customWidth="1"/>
    <col min="6140" max="6140" width="13" style="527" customWidth="1"/>
    <col min="6141" max="6141" width="10.1640625" style="527" customWidth="1"/>
    <col min="6142" max="6142" width="11.83203125" style="527" customWidth="1"/>
    <col min="6143" max="6143" width="15.6640625" style="527" customWidth="1"/>
    <col min="6144" max="6393" width="9.33203125" style="527"/>
    <col min="6394" max="6394" width="12.83203125" style="527" customWidth="1"/>
    <col min="6395" max="6395" width="82.83203125" style="527" customWidth="1"/>
    <col min="6396" max="6396" width="13" style="527" customWidth="1"/>
    <col min="6397" max="6397" width="10.1640625" style="527" customWidth="1"/>
    <col min="6398" max="6398" width="11.83203125" style="527" customWidth="1"/>
    <col min="6399" max="6399" width="15.6640625" style="527" customWidth="1"/>
    <col min="6400" max="6649" width="9.33203125" style="527"/>
    <col min="6650" max="6650" width="12.83203125" style="527" customWidth="1"/>
    <col min="6651" max="6651" width="82.83203125" style="527" customWidth="1"/>
    <col min="6652" max="6652" width="13" style="527" customWidth="1"/>
    <col min="6653" max="6653" width="10.1640625" style="527" customWidth="1"/>
    <col min="6654" max="6654" width="11.83203125" style="527" customWidth="1"/>
    <col min="6655" max="6655" width="15.6640625" style="527" customWidth="1"/>
    <col min="6656" max="6905" width="9.33203125" style="527"/>
    <col min="6906" max="6906" width="12.83203125" style="527" customWidth="1"/>
    <col min="6907" max="6907" width="82.83203125" style="527" customWidth="1"/>
    <col min="6908" max="6908" width="13" style="527" customWidth="1"/>
    <col min="6909" max="6909" width="10.1640625" style="527" customWidth="1"/>
    <col min="6910" max="6910" width="11.83203125" style="527" customWidth="1"/>
    <col min="6911" max="6911" width="15.6640625" style="527" customWidth="1"/>
    <col min="6912" max="7161" width="9.33203125" style="527"/>
    <col min="7162" max="7162" width="12.83203125" style="527" customWidth="1"/>
    <col min="7163" max="7163" width="82.83203125" style="527" customWidth="1"/>
    <col min="7164" max="7164" width="13" style="527" customWidth="1"/>
    <col min="7165" max="7165" width="10.1640625" style="527" customWidth="1"/>
    <col min="7166" max="7166" width="11.83203125" style="527" customWidth="1"/>
    <col min="7167" max="7167" width="15.6640625" style="527" customWidth="1"/>
    <col min="7168" max="7417" width="9.33203125" style="527"/>
    <col min="7418" max="7418" width="12.83203125" style="527" customWidth="1"/>
    <col min="7419" max="7419" width="82.83203125" style="527" customWidth="1"/>
    <col min="7420" max="7420" width="13" style="527" customWidth="1"/>
    <col min="7421" max="7421" width="10.1640625" style="527" customWidth="1"/>
    <col min="7422" max="7422" width="11.83203125" style="527" customWidth="1"/>
    <col min="7423" max="7423" width="15.6640625" style="527" customWidth="1"/>
    <col min="7424" max="7673" width="9.33203125" style="527"/>
    <col min="7674" max="7674" width="12.83203125" style="527" customWidth="1"/>
    <col min="7675" max="7675" width="82.83203125" style="527" customWidth="1"/>
    <col min="7676" max="7676" width="13" style="527" customWidth="1"/>
    <col min="7677" max="7677" width="10.1640625" style="527" customWidth="1"/>
    <col min="7678" max="7678" width="11.83203125" style="527" customWidth="1"/>
    <col min="7679" max="7679" width="15.6640625" style="527" customWidth="1"/>
    <col min="7680" max="7929" width="9.33203125" style="527"/>
    <col min="7930" max="7930" width="12.83203125" style="527" customWidth="1"/>
    <col min="7931" max="7931" width="82.83203125" style="527" customWidth="1"/>
    <col min="7932" max="7932" width="13" style="527" customWidth="1"/>
    <col min="7933" max="7933" width="10.1640625" style="527" customWidth="1"/>
    <col min="7934" max="7934" width="11.83203125" style="527" customWidth="1"/>
    <col min="7935" max="7935" width="15.6640625" style="527" customWidth="1"/>
    <col min="7936" max="8185" width="9.33203125" style="527"/>
    <col min="8186" max="8186" width="12.83203125" style="527" customWidth="1"/>
    <col min="8187" max="8187" width="82.83203125" style="527" customWidth="1"/>
    <col min="8188" max="8188" width="13" style="527" customWidth="1"/>
    <col min="8189" max="8189" width="10.1640625" style="527" customWidth="1"/>
    <col min="8190" max="8190" width="11.83203125" style="527" customWidth="1"/>
    <col min="8191" max="8191" width="15.6640625" style="527" customWidth="1"/>
    <col min="8192" max="8441" width="9.33203125" style="527"/>
    <col min="8442" max="8442" width="12.83203125" style="527" customWidth="1"/>
    <col min="8443" max="8443" width="82.83203125" style="527" customWidth="1"/>
    <col min="8444" max="8444" width="13" style="527" customWidth="1"/>
    <col min="8445" max="8445" width="10.1640625" style="527" customWidth="1"/>
    <col min="8446" max="8446" width="11.83203125" style="527" customWidth="1"/>
    <col min="8447" max="8447" width="15.6640625" style="527" customWidth="1"/>
    <col min="8448" max="8697" width="9.33203125" style="527"/>
    <col min="8698" max="8698" width="12.83203125" style="527" customWidth="1"/>
    <col min="8699" max="8699" width="82.83203125" style="527" customWidth="1"/>
    <col min="8700" max="8700" width="13" style="527" customWidth="1"/>
    <col min="8701" max="8701" width="10.1640625" style="527" customWidth="1"/>
    <col min="8702" max="8702" width="11.83203125" style="527" customWidth="1"/>
    <col min="8703" max="8703" width="15.6640625" style="527" customWidth="1"/>
    <col min="8704" max="8953" width="9.33203125" style="527"/>
    <col min="8954" max="8954" width="12.83203125" style="527" customWidth="1"/>
    <col min="8955" max="8955" width="82.83203125" style="527" customWidth="1"/>
    <col min="8956" max="8956" width="13" style="527" customWidth="1"/>
    <col min="8957" max="8957" width="10.1640625" style="527" customWidth="1"/>
    <col min="8958" max="8958" width="11.83203125" style="527" customWidth="1"/>
    <col min="8959" max="8959" width="15.6640625" style="527" customWidth="1"/>
    <col min="8960" max="9209" width="9.33203125" style="527"/>
    <col min="9210" max="9210" width="12.83203125" style="527" customWidth="1"/>
    <col min="9211" max="9211" width="82.83203125" style="527" customWidth="1"/>
    <col min="9212" max="9212" width="13" style="527" customWidth="1"/>
    <col min="9213" max="9213" width="10.1640625" style="527" customWidth="1"/>
    <col min="9214" max="9214" width="11.83203125" style="527" customWidth="1"/>
    <col min="9215" max="9215" width="15.6640625" style="527" customWidth="1"/>
    <col min="9216" max="9465" width="9.33203125" style="527"/>
    <col min="9466" max="9466" width="12.83203125" style="527" customWidth="1"/>
    <col min="9467" max="9467" width="82.83203125" style="527" customWidth="1"/>
    <col min="9468" max="9468" width="13" style="527" customWidth="1"/>
    <col min="9469" max="9469" width="10.1640625" style="527" customWidth="1"/>
    <col min="9470" max="9470" width="11.83203125" style="527" customWidth="1"/>
    <col min="9471" max="9471" width="15.6640625" style="527" customWidth="1"/>
    <col min="9472" max="9721" width="9.33203125" style="527"/>
    <col min="9722" max="9722" width="12.83203125" style="527" customWidth="1"/>
    <col min="9723" max="9723" width="82.83203125" style="527" customWidth="1"/>
    <col min="9724" max="9724" width="13" style="527" customWidth="1"/>
    <col min="9725" max="9725" width="10.1640625" style="527" customWidth="1"/>
    <col min="9726" max="9726" width="11.83203125" style="527" customWidth="1"/>
    <col min="9727" max="9727" width="15.6640625" style="527" customWidth="1"/>
    <col min="9728" max="9977" width="9.33203125" style="527"/>
    <col min="9978" max="9978" width="12.83203125" style="527" customWidth="1"/>
    <col min="9979" max="9979" width="82.83203125" style="527" customWidth="1"/>
    <col min="9980" max="9980" width="13" style="527" customWidth="1"/>
    <col min="9981" max="9981" width="10.1640625" style="527" customWidth="1"/>
    <col min="9982" max="9982" width="11.83203125" style="527" customWidth="1"/>
    <col min="9983" max="9983" width="15.6640625" style="527" customWidth="1"/>
    <col min="9984" max="10233" width="9.33203125" style="527"/>
    <col min="10234" max="10234" width="12.83203125" style="527" customWidth="1"/>
    <col min="10235" max="10235" width="82.83203125" style="527" customWidth="1"/>
    <col min="10236" max="10236" width="13" style="527" customWidth="1"/>
    <col min="10237" max="10237" width="10.1640625" style="527" customWidth="1"/>
    <col min="10238" max="10238" width="11.83203125" style="527" customWidth="1"/>
    <col min="10239" max="10239" width="15.6640625" style="527" customWidth="1"/>
    <col min="10240" max="10489" width="9.33203125" style="527"/>
    <col min="10490" max="10490" width="12.83203125" style="527" customWidth="1"/>
    <col min="10491" max="10491" width="82.83203125" style="527" customWidth="1"/>
    <col min="10492" max="10492" width="13" style="527" customWidth="1"/>
    <col min="10493" max="10493" width="10.1640625" style="527" customWidth="1"/>
    <col min="10494" max="10494" width="11.83203125" style="527" customWidth="1"/>
    <col min="10495" max="10495" width="15.6640625" style="527" customWidth="1"/>
    <col min="10496" max="10745" width="9.33203125" style="527"/>
    <col min="10746" max="10746" width="12.83203125" style="527" customWidth="1"/>
    <col min="10747" max="10747" width="82.83203125" style="527" customWidth="1"/>
    <col min="10748" max="10748" width="13" style="527" customWidth="1"/>
    <col min="10749" max="10749" width="10.1640625" style="527" customWidth="1"/>
    <col min="10750" max="10750" width="11.83203125" style="527" customWidth="1"/>
    <col min="10751" max="10751" width="15.6640625" style="527" customWidth="1"/>
    <col min="10752" max="11001" width="9.33203125" style="527"/>
    <col min="11002" max="11002" width="12.83203125" style="527" customWidth="1"/>
    <col min="11003" max="11003" width="82.83203125" style="527" customWidth="1"/>
    <col min="11004" max="11004" width="13" style="527" customWidth="1"/>
    <col min="11005" max="11005" width="10.1640625" style="527" customWidth="1"/>
    <col min="11006" max="11006" width="11.83203125" style="527" customWidth="1"/>
    <col min="11007" max="11007" width="15.6640625" style="527" customWidth="1"/>
    <col min="11008" max="11257" width="9.33203125" style="527"/>
    <col min="11258" max="11258" width="12.83203125" style="527" customWidth="1"/>
    <col min="11259" max="11259" width="82.83203125" style="527" customWidth="1"/>
    <col min="11260" max="11260" width="13" style="527" customWidth="1"/>
    <col min="11261" max="11261" width="10.1640625" style="527" customWidth="1"/>
    <col min="11262" max="11262" width="11.83203125" style="527" customWidth="1"/>
    <col min="11263" max="11263" width="15.6640625" style="527" customWidth="1"/>
    <col min="11264" max="11513" width="9.33203125" style="527"/>
    <col min="11514" max="11514" width="12.83203125" style="527" customWidth="1"/>
    <col min="11515" max="11515" width="82.83203125" style="527" customWidth="1"/>
    <col min="11516" max="11516" width="13" style="527" customWidth="1"/>
    <col min="11517" max="11517" width="10.1640625" style="527" customWidth="1"/>
    <col min="11518" max="11518" width="11.83203125" style="527" customWidth="1"/>
    <col min="11519" max="11519" width="15.6640625" style="527" customWidth="1"/>
    <col min="11520" max="11769" width="9.33203125" style="527"/>
    <col min="11770" max="11770" width="12.83203125" style="527" customWidth="1"/>
    <col min="11771" max="11771" width="82.83203125" style="527" customWidth="1"/>
    <col min="11772" max="11772" width="13" style="527" customWidth="1"/>
    <col min="11773" max="11773" width="10.1640625" style="527" customWidth="1"/>
    <col min="11774" max="11774" width="11.83203125" style="527" customWidth="1"/>
    <col min="11775" max="11775" width="15.6640625" style="527" customWidth="1"/>
    <col min="11776" max="12025" width="9.33203125" style="527"/>
    <col min="12026" max="12026" width="12.83203125" style="527" customWidth="1"/>
    <col min="12027" max="12027" width="82.83203125" style="527" customWidth="1"/>
    <col min="12028" max="12028" width="13" style="527" customWidth="1"/>
    <col min="12029" max="12029" width="10.1640625" style="527" customWidth="1"/>
    <col min="12030" max="12030" width="11.83203125" style="527" customWidth="1"/>
    <col min="12031" max="12031" width="15.6640625" style="527" customWidth="1"/>
    <col min="12032" max="12281" width="9.33203125" style="527"/>
    <col min="12282" max="12282" width="12.83203125" style="527" customWidth="1"/>
    <col min="12283" max="12283" width="82.83203125" style="527" customWidth="1"/>
    <col min="12284" max="12284" width="13" style="527" customWidth="1"/>
    <col min="12285" max="12285" width="10.1640625" style="527" customWidth="1"/>
    <col min="12286" max="12286" width="11.83203125" style="527" customWidth="1"/>
    <col min="12287" max="12287" width="15.6640625" style="527" customWidth="1"/>
    <col min="12288" max="12537" width="9.33203125" style="527"/>
    <col min="12538" max="12538" width="12.83203125" style="527" customWidth="1"/>
    <col min="12539" max="12539" width="82.83203125" style="527" customWidth="1"/>
    <col min="12540" max="12540" width="13" style="527" customWidth="1"/>
    <col min="12541" max="12541" width="10.1640625" style="527" customWidth="1"/>
    <col min="12542" max="12542" width="11.83203125" style="527" customWidth="1"/>
    <col min="12543" max="12543" width="15.6640625" style="527" customWidth="1"/>
    <col min="12544" max="12793" width="9.33203125" style="527"/>
    <col min="12794" max="12794" width="12.83203125" style="527" customWidth="1"/>
    <col min="12795" max="12795" width="82.83203125" style="527" customWidth="1"/>
    <col min="12796" max="12796" width="13" style="527" customWidth="1"/>
    <col min="12797" max="12797" width="10.1640625" style="527" customWidth="1"/>
    <col min="12798" max="12798" width="11.83203125" style="527" customWidth="1"/>
    <col min="12799" max="12799" width="15.6640625" style="527" customWidth="1"/>
    <col min="12800" max="13049" width="9.33203125" style="527"/>
    <col min="13050" max="13050" width="12.83203125" style="527" customWidth="1"/>
    <col min="13051" max="13051" width="82.83203125" style="527" customWidth="1"/>
    <col min="13052" max="13052" width="13" style="527" customWidth="1"/>
    <col min="13053" max="13053" width="10.1640625" style="527" customWidth="1"/>
    <col min="13054" max="13054" width="11.83203125" style="527" customWidth="1"/>
    <col min="13055" max="13055" width="15.6640625" style="527" customWidth="1"/>
    <col min="13056" max="13305" width="9.33203125" style="527"/>
    <col min="13306" max="13306" width="12.83203125" style="527" customWidth="1"/>
    <col min="13307" max="13307" width="82.83203125" style="527" customWidth="1"/>
    <col min="13308" max="13308" width="13" style="527" customWidth="1"/>
    <col min="13309" max="13309" width="10.1640625" style="527" customWidth="1"/>
    <col min="13310" max="13310" width="11.83203125" style="527" customWidth="1"/>
    <col min="13311" max="13311" width="15.6640625" style="527" customWidth="1"/>
    <col min="13312" max="13561" width="9.33203125" style="527"/>
    <col min="13562" max="13562" width="12.83203125" style="527" customWidth="1"/>
    <col min="13563" max="13563" width="82.83203125" style="527" customWidth="1"/>
    <col min="13564" max="13564" width="13" style="527" customWidth="1"/>
    <col min="13565" max="13565" width="10.1640625" style="527" customWidth="1"/>
    <col min="13566" max="13566" width="11.83203125" style="527" customWidth="1"/>
    <col min="13567" max="13567" width="15.6640625" style="527" customWidth="1"/>
    <col min="13568" max="13817" width="9.33203125" style="527"/>
    <col min="13818" max="13818" width="12.83203125" style="527" customWidth="1"/>
    <col min="13819" max="13819" width="82.83203125" style="527" customWidth="1"/>
    <col min="13820" max="13820" width="13" style="527" customWidth="1"/>
    <col min="13821" max="13821" width="10.1640625" style="527" customWidth="1"/>
    <col min="13822" max="13822" width="11.83203125" style="527" customWidth="1"/>
    <col min="13823" max="13823" width="15.6640625" style="527" customWidth="1"/>
    <col min="13824" max="14073" width="9.33203125" style="527"/>
    <col min="14074" max="14074" width="12.83203125" style="527" customWidth="1"/>
    <col min="14075" max="14075" width="82.83203125" style="527" customWidth="1"/>
    <col min="14076" max="14076" width="13" style="527" customWidth="1"/>
    <col min="14077" max="14077" width="10.1640625" style="527" customWidth="1"/>
    <col min="14078" max="14078" width="11.83203125" style="527" customWidth="1"/>
    <col min="14079" max="14079" width="15.6640625" style="527" customWidth="1"/>
    <col min="14080" max="14329" width="9.33203125" style="527"/>
    <col min="14330" max="14330" width="12.83203125" style="527" customWidth="1"/>
    <col min="14331" max="14331" width="82.83203125" style="527" customWidth="1"/>
    <col min="14332" max="14332" width="13" style="527" customWidth="1"/>
    <col min="14333" max="14333" width="10.1640625" style="527" customWidth="1"/>
    <col min="14334" max="14334" width="11.83203125" style="527" customWidth="1"/>
    <col min="14335" max="14335" width="15.6640625" style="527" customWidth="1"/>
    <col min="14336" max="14585" width="9.33203125" style="527"/>
    <col min="14586" max="14586" width="12.83203125" style="527" customWidth="1"/>
    <col min="14587" max="14587" width="82.83203125" style="527" customWidth="1"/>
    <col min="14588" max="14588" width="13" style="527" customWidth="1"/>
    <col min="14589" max="14589" width="10.1640625" style="527" customWidth="1"/>
    <col min="14590" max="14590" width="11.83203125" style="527" customWidth="1"/>
    <col min="14591" max="14591" width="15.6640625" style="527" customWidth="1"/>
    <col min="14592" max="14841" width="9.33203125" style="527"/>
    <col min="14842" max="14842" width="12.83203125" style="527" customWidth="1"/>
    <col min="14843" max="14843" width="82.83203125" style="527" customWidth="1"/>
    <col min="14844" max="14844" width="13" style="527" customWidth="1"/>
    <col min="14845" max="14845" width="10.1640625" style="527" customWidth="1"/>
    <col min="14846" max="14846" width="11.83203125" style="527" customWidth="1"/>
    <col min="14847" max="14847" width="15.6640625" style="527" customWidth="1"/>
    <col min="14848" max="15097" width="9.33203125" style="527"/>
    <col min="15098" max="15098" width="12.83203125" style="527" customWidth="1"/>
    <col min="15099" max="15099" width="82.83203125" style="527" customWidth="1"/>
    <col min="15100" max="15100" width="13" style="527" customWidth="1"/>
    <col min="15101" max="15101" width="10.1640625" style="527" customWidth="1"/>
    <col min="15102" max="15102" width="11.83203125" style="527" customWidth="1"/>
    <col min="15103" max="15103" width="15.6640625" style="527" customWidth="1"/>
    <col min="15104" max="15353" width="9.33203125" style="527"/>
    <col min="15354" max="15354" width="12.83203125" style="527" customWidth="1"/>
    <col min="15355" max="15355" width="82.83203125" style="527" customWidth="1"/>
    <col min="15356" max="15356" width="13" style="527" customWidth="1"/>
    <col min="15357" max="15357" width="10.1640625" style="527" customWidth="1"/>
    <col min="15358" max="15358" width="11.83203125" style="527" customWidth="1"/>
    <col min="15359" max="15359" width="15.6640625" style="527" customWidth="1"/>
    <col min="15360" max="15609" width="9.33203125" style="527"/>
    <col min="15610" max="15610" width="12.83203125" style="527" customWidth="1"/>
    <col min="15611" max="15611" width="82.83203125" style="527" customWidth="1"/>
    <col min="15612" max="15612" width="13" style="527" customWidth="1"/>
    <col min="15613" max="15613" width="10.1640625" style="527" customWidth="1"/>
    <col min="15614" max="15614" width="11.83203125" style="527" customWidth="1"/>
    <col min="15615" max="15615" width="15.6640625" style="527" customWidth="1"/>
    <col min="15616" max="15865" width="9.33203125" style="527"/>
    <col min="15866" max="15866" width="12.83203125" style="527" customWidth="1"/>
    <col min="15867" max="15867" width="82.83203125" style="527" customWidth="1"/>
    <col min="15868" max="15868" width="13" style="527" customWidth="1"/>
    <col min="15869" max="15869" width="10.1640625" style="527" customWidth="1"/>
    <col min="15870" max="15870" width="11.83203125" style="527" customWidth="1"/>
    <col min="15871" max="15871" width="15.6640625" style="527" customWidth="1"/>
    <col min="15872" max="16121" width="9.33203125" style="527"/>
    <col min="16122" max="16122" width="12.83203125" style="527" customWidth="1"/>
    <col min="16123" max="16123" width="82.83203125" style="527" customWidth="1"/>
    <col min="16124" max="16124" width="13" style="527" customWidth="1"/>
    <col min="16125" max="16125" width="10.1640625" style="527" customWidth="1"/>
    <col min="16126" max="16126" width="11.83203125" style="527" customWidth="1"/>
    <col min="16127" max="16127" width="15.6640625" style="527" customWidth="1"/>
    <col min="16128" max="16384" width="9.33203125" style="527"/>
  </cols>
  <sheetData>
    <row r="1" spans="1:10" ht="15">
      <c r="A1" s="525" t="s">
        <v>3</v>
      </c>
      <c r="B1" s="845" t="str">
        <f>Rekapitulace!K4</f>
        <v>Stavební úpravy, vestavba a přístavba stávajícího objektu</v>
      </c>
      <c r="C1" s="845"/>
      <c r="D1" s="845"/>
      <c r="E1" s="845"/>
      <c r="F1" s="845"/>
      <c r="G1" s="845"/>
      <c r="H1" s="845"/>
      <c r="I1" s="845"/>
    </row>
    <row r="2" spans="1:10">
      <c r="D2" s="3"/>
      <c r="E2" s="3"/>
      <c r="F2" s="3"/>
      <c r="G2" s="3"/>
      <c r="H2" s="2"/>
      <c r="I2" s="2"/>
    </row>
    <row r="3" spans="1:10" s="473" customFormat="1" ht="29.25" customHeight="1">
      <c r="A3" s="489" t="s">
        <v>124</v>
      </c>
      <c r="B3" s="489"/>
      <c r="C3" s="521" t="str">
        <f>Rekapitulace!E24</f>
        <v>REV01</v>
      </c>
      <c r="D3" s="522"/>
      <c r="E3" s="522"/>
      <c r="F3" s="522">
        <f>Rekapitulace!H24</f>
        <v>45104</v>
      </c>
      <c r="G3" s="851" t="str">
        <f>Rekapitulace!K24</f>
        <v>Úprava popisů a položek ve vyznačených listech</v>
      </c>
      <c r="H3" s="852"/>
      <c r="I3" s="853"/>
      <c r="J3" s="527"/>
    </row>
    <row r="4" spans="1:10" s="473" customFormat="1">
      <c r="A4" s="846"/>
      <c r="B4" s="846"/>
      <c r="C4" s="846"/>
      <c r="D4" s="846"/>
      <c r="E4" s="846"/>
      <c r="F4" s="846"/>
      <c r="G4" s="846"/>
      <c r="H4" s="846"/>
      <c r="I4" s="846"/>
      <c r="J4" s="527"/>
    </row>
    <row r="5" spans="1:10" s="472" customFormat="1" ht="15">
      <c r="A5" s="845" t="s">
        <v>536</v>
      </c>
      <c r="B5" s="845"/>
      <c r="C5" s="845"/>
      <c r="D5" s="845"/>
      <c r="E5" s="845"/>
      <c r="F5" s="845"/>
      <c r="G5" s="845"/>
      <c r="H5" s="845"/>
      <c r="I5" s="845"/>
      <c r="J5" s="527"/>
    </row>
    <row r="6" spans="1:10" s="472" customFormat="1" ht="15.75" thickBot="1">
      <c r="A6" s="532"/>
      <c r="B6" s="533"/>
      <c r="C6" s="634"/>
      <c r="D6" s="4"/>
      <c r="E6" s="4"/>
      <c r="F6" s="4"/>
      <c r="G6" s="4"/>
      <c r="H6" s="5"/>
      <c r="I6" s="5"/>
      <c r="J6" s="527"/>
    </row>
    <row r="7" spans="1:10" s="535" customFormat="1" ht="13.5" thickBot="1">
      <c r="A7" s="534" t="s">
        <v>11</v>
      </c>
      <c r="B7" s="847">
        <f>Rekapitulace!K11</f>
        <v>0</v>
      </c>
      <c r="C7" s="847"/>
      <c r="D7" s="847"/>
      <c r="E7" s="847"/>
      <c r="F7" s="847"/>
      <c r="G7" s="847"/>
      <c r="H7" s="847"/>
      <c r="I7" s="848"/>
    </row>
    <row r="8" spans="1:10" ht="13.5" thickBot="1"/>
    <row r="9" spans="1:10" ht="13.5" thickBot="1">
      <c r="A9" s="536"/>
      <c r="B9" s="537"/>
      <c r="C9" s="635"/>
      <c r="D9" s="14"/>
      <c r="E9" s="14"/>
      <c r="F9" s="14"/>
      <c r="G9" s="14"/>
      <c r="H9" s="15"/>
      <c r="I9" s="15"/>
    </row>
    <row r="10" spans="1:10" s="529" customFormat="1" ht="51.75" thickBot="1">
      <c r="A10" s="636" t="s">
        <v>140</v>
      </c>
      <c r="B10" s="637" t="s">
        <v>58</v>
      </c>
      <c r="C10" s="638" t="s">
        <v>59</v>
      </c>
      <c r="D10" s="221" t="s">
        <v>2479</v>
      </c>
      <c r="E10" s="221" t="s">
        <v>2487</v>
      </c>
      <c r="F10" s="221" t="s">
        <v>2478</v>
      </c>
      <c r="G10" s="221" t="s">
        <v>141</v>
      </c>
      <c r="H10" s="222" t="s">
        <v>2492</v>
      </c>
      <c r="I10" s="222" t="s">
        <v>2485</v>
      </c>
    </row>
    <row r="11" spans="1:10" s="642" customFormat="1" ht="12">
      <c r="A11" s="639" t="s">
        <v>142</v>
      </c>
      <c r="B11" s="640" t="s">
        <v>537</v>
      </c>
      <c r="C11" s="641"/>
      <c r="D11" s="83"/>
      <c r="E11" s="83"/>
      <c r="F11" s="83"/>
      <c r="G11" s="207"/>
      <c r="H11" s="84"/>
      <c r="I11" s="84"/>
    </row>
    <row r="12" spans="1:10" s="642" customFormat="1" ht="12">
      <c r="A12" s="639" t="s">
        <v>147</v>
      </c>
      <c r="B12" s="640" t="s">
        <v>1533</v>
      </c>
      <c r="C12" s="641"/>
      <c r="D12" s="83"/>
      <c r="E12" s="83"/>
      <c r="F12" s="83"/>
      <c r="G12" s="207"/>
      <c r="H12" s="84"/>
      <c r="I12" s="84"/>
    </row>
    <row r="13" spans="1:10" s="646" customFormat="1" ht="12">
      <c r="A13" s="643" t="s">
        <v>183</v>
      </c>
      <c r="B13" s="644" t="s">
        <v>2347</v>
      </c>
      <c r="C13" s="645" t="s">
        <v>67</v>
      </c>
      <c r="D13" s="16">
        <v>2</v>
      </c>
      <c r="E13" s="16">
        <v>1</v>
      </c>
      <c r="F13" s="16">
        <f>D13-E13</f>
        <v>1</v>
      </c>
      <c r="G13" s="208"/>
      <c r="H13" s="17">
        <f>E13*$G13</f>
        <v>0</v>
      </c>
      <c r="I13" s="17">
        <f>F13*$G13</f>
        <v>0</v>
      </c>
    </row>
    <row r="14" spans="1:10" s="642" customFormat="1" ht="12">
      <c r="A14" s="639" t="s">
        <v>148</v>
      </c>
      <c r="B14" s="640" t="s">
        <v>1544</v>
      </c>
      <c r="C14" s="641"/>
      <c r="D14" s="83"/>
      <c r="E14" s="83"/>
      <c r="F14" s="83"/>
      <c r="G14" s="207"/>
      <c r="H14" s="84"/>
      <c r="I14" s="84"/>
    </row>
    <row r="15" spans="1:10" s="646" customFormat="1" ht="12">
      <c r="A15" s="643" t="s">
        <v>184</v>
      </c>
      <c r="B15" s="644" t="s">
        <v>1543</v>
      </c>
      <c r="C15" s="645" t="s">
        <v>67</v>
      </c>
      <c r="D15" s="16">
        <v>2</v>
      </c>
      <c r="E15" s="16">
        <v>1</v>
      </c>
      <c r="F15" s="16">
        <f t="shared" ref="F15:F20" si="0">D15-E15</f>
        <v>1</v>
      </c>
      <c r="G15" s="208"/>
      <c r="H15" s="17">
        <f t="shared" ref="H15:H20" si="1">E15*$G15</f>
        <v>0</v>
      </c>
      <c r="I15" s="17">
        <f t="shared" ref="I15:I20" si="2">F15*$G15</f>
        <v>0</v>
      </c>
    </row>
    <row r="16" spans="1:10" s="646" customFormat="1" ht="12">
      <c r="A16" s="643" t="s">
        <v>1538</v>
      </c>
      <c r="B16" s="647" t="s">
        <v>1545</v>
      </c>
      <c r="C16" s="645" t="s">
        <v>67</v>
      </c>
      <c r="D16" s="18">
        <v>2</v>
      </c>
      <c r="E16" s="16">
        <v>1</v>
      </c>
      <c r="F16" s="18">
        <f t="shared" si="0"/>
        <v>1</v>
      </c>
      <c r="G16" s="208"/>
      <c r="H16" s="17">
        <f t="shared" si="1"/>
        <v>0</v>
      </c>
      <c r="I16" s="17">
        <f t="shared" si="2"/>
        <v>0</v>
      </c>
    </row>
    <row r="17" spans="1:9" s="646" customFormat="1" ht="12">
      <c r="A17" s="643" t="s">
        <v>1539</v>
      </c>
      <c r="B17" s="647" t="s">
        <v>1546</v>
      </c>
      <c r="C17" s="645" t="s">
        <v>67</v>
      </c>
      <c r="D17" s="16">
        <v>2</v>
      </c>
      <c r="E17" s="16">
        <v>1</v>
      </c>
      <c r="F17" s="16">
        <f t="shared" si="0"/>
        <v>1</v>
      </c>
      <c r="G17" s="208"/>
      <c r="H17" s="17">
        <f t="shared" si="1"/>
        <v>0</v>
      </c>
      <c r="I17" s="17">
        <f t="shared" si="2"/>
        <v>0</v>
      </c>
    </row>
    <row r="18" spans="1:9" s="646" customFormat="1" ht="12">
      <c r="A18" s="643" t="s">
        <v>1540</v>
      </c>
      <c r="B18" s="647" t="s">
        <v>1547</v>
      </c>
      <c r="C18" s="645" t="s">
        <v>67</v>
      </c>
      <c r="D18" s="16">
        <v>2</v>
      </c>
      <c r="E18" s="16">
        <v>1</v>
      </c>
      <c r="F18" s="16">
        <f t="shared" si="0"/>
        <v>1</v>
      </c>
      <c r="G18" s="208"/>
      <c r="H18" s="17">
        <f t="shared" si="1"/>
        <v>0</v>
      </c>
      <c r="I18" s="17">
        <f t="shared" si="2"/>
        <v>0</v>
      </c>
    </row>
    <row r="19" spans="1:9" s="646" customFormat="1" ht="12">
      <c r="A19" s="643" t="s">
        <v>1541</v>
      </c>
      <c r="B19" s="647" t="s">
        <v>1548</v>
      </c>
      <c r="C19" s="645" t="s">
        <v>67</v>
      </c>
      <c r="D19" s="16">
        <v>2</v>
      </c>
      <c r="E19" s="16">
        <v>1</v>
      </c>
      <c r="F19" s="16">
        <f t="shared" si="0"/>
        <v>1</v>
      </c>
      <c r="G19" s="208"/>
      <c r="H19" s="17">
        <f t="shared" si="1"/>
        <v>0</v>
      </c>
      <c r="I19" s="17">
        <f t="shared" si="2"/>
        <v>0</v>
      </c>
    </row>
    <row r="20" spans="1:9" s="646" customFormat="1" ht="12">
      <c r="A20" s="643" t="s">
        <v>1542</v>
      </c>
      <c r="B20" s="647" t="s">
        <v>1549</v>
      </c>
      <c r="C20" s="645" t="s">
        <v>67</v>
      </c>
      <c r="D20" s="16">
        <v>1</v>
      </c>
      <c r="E20" s="16"/>
      <c r="F20" s="16">
        <f t="shared" si="0"/>
        <v>1</v>
      </c>
      <c r="G20" s="208"/>
      <c r="H20" s="17">
        <f t="shared" si="1"/>
        <v>0</v>
      </c>
      <c r="I20" s="17">
        <f t="shared" si="2"/>
        <v>0</v>
      </c>
    </row>
    <row r="21" spans="1:9" s="642" customFormat="1" ht="12">
      <c r="A21" s="639" t="s">
        <v>149</v>
      </c>
      <c r="B21" s="640" t="s">
        <v>1553</v>
      </c>
      <c r="C21" s="641"/>
      <c r="D21" s="83"/>
      <c r="E21" s="83"/>
      <c r="F21" s="83"/>
      <c r="G21" s="207"/>
      <c r="H21" s="84"/>
      <c r="I21" s="84"/>
    </row>
    <row r="22" spans="1:9" s="646" customFormat="1" ht="12">
      <c r="A22" s="643" t="s">
        <v>233</v>
      </c>
      <c r="B22" s="647" t="s">
        <v>1550</v>
      </c>
      <c r="C22" s="645" t="s">
        <v>67</v>
      </c>
      <c r="D22" s="16">
        <v>1</v>
      </c>
      <c r="E22" s="16"/>
      <c r="F22" s="16">
        <f>D22-E22</f>
        <v>1</v>
      </c>
      <c r="G22" s="208"/>
      <c r="H22" s="17">
        <f t="shared" ref="H22:I24" si="3">E22*$G22</f>
        <v>0</v>
      </c>
      <c r="I22" s="17">
        <f t="shared" si="3"/>
        <v>0</v>
      </c>
    </row>
    <row r="23" spans="1:9" s="646" customFormat="1" ht="12">
      <c r="A23" s="643" t="s">
        <v>234</v>
      </c>
      <c r="B23" s="647" t="s">
        <v>1551</v>
      </c>
      <c r="C23" s="645" t="s">
        <v>67</v>
      </c>
      <c r="D23" s="16">
        <v>1</v>
      </c>
      <c r="E23" s="16"/>
      <c r="F23" s="16">
        <f>D23-E23</f>
        <v>1</v>
      </c>
      <c r="G23" s="208"/>
      <c r="H23" s="17">
        <f t="shared" si="3"/>
        <v>0</v>
      </c>
      <c r="I23" s="17">
        <f t="shared" si="3"/>
        <v>0</v>
      </c>
    </row>
    <row r="24" spans="1:9" s="646" customFormat="1" ht="12">
      <c r="A24" s="643" t="s">
        <v>235</v>
      </c>
      <c r="B24" s="647" t="s">
        <v>1552</v>
      </c>
      <c r="C24" s="645" t="s">
        <v>67</v>
      </c>
      <c r="D24" s="16">
        <v>2</v>
      </c>
      <c r="E24" s="16">
        <v>1</v>
      </c>
      <c r="F24" s="16">
        <f>D24-E24</f>
        <v>1</v>
      </c>
      <c r="G24" s="208"/>
      <c r="H24" s="17">
        <f t="shared" si="3"/>
        <v>0</v>
      </c>
      <c r="I24" s="17">
        <f t="shared" si="3"/>
        <v>0</v>
      </c>
    </row>
    <row r="25" spans="1:9" s="642" customFormat="1" ht="12">
      <c r="A25" s="639" t="s">
        <v>150</v>
      </c>
      <c r="B25" s="640" t="s">
        <v>1554</v>
      </c>
      <c r="C25" s="641"/>
      <c r="D25" s="83"/>
      <c r="E25" s="83"/>
      <c r="F25" s="83"/>
      <c r="G25" s="207"/>
      <c r="H25" s="84"/>
      <c r="I25" s="84"/>
    </row>
    <row r="26" spans="1:9" s="646" customFormat="1" ht="12">
      <c r="A26" s="643" t="s">
        <v>1534</v>
      </c>
      <c r="B26" s="648" t="s">
        <v>2409</v>
      </c>
      <c r="C26" s="645" t="s">
        <v>67</v>
      </c>
      <c r="D26" s="16">
        <v>2</v>
      </c>
      <c r="E26" s="16">
        <v>1</v>
      </c>
      <c r="F26" s="16">
        <f>D26-E26</f>
        <v>1</v>
      </c>
      <c r="G26" s="208"/>
      <c r="H26" s="17">
        <f t="shared" ref="H26:I30" si="4">E26*$G26</f>
        <v>0</v>
      </c>
      <c r="I26" s="17">
        <f t="shared" si="4"/>
        <v>0</v>
      </c>
    </row>
    <row r="27" spans="1:9" s="646" customFormat="1" ht="12">
      <c r="A27" s="643" t="s">
        <v>1535</v>
      </c>
      <c r="B27" s="647" t="s">
        <v>538</v>
      </c>
      <c r="C27" s="645" t="s">
        <v>67</v>
      </c>
      <c r="D27" s="16">
        <v>2</v>
      </c>
      <c r="E27" s="16">
        <v>1</v>
      </c>
      <c r="F27" s="16">
        <f>D27-E27</f>
        <v>1</v>
      </c>
      <c r="G27" s="208"/>
      <c r="H27" s="17">
        <f t="shared" si="4"/>
        <v>0</v>
      </c>
      <c r="I27" s="17">
        <f t="shared" si="4"/>
        <v>0</v>
      </c>
    </row>
    <row r="28" spans="1:9" s="646" customFormat="1" ht="12">
      <c r="A28" s="643" t="s">
        <v>1536</v>
      </c>
      <c r="B28" s="647" t="s">
        <v>1555</v>
      </c>
      <c r="C28" s="645" t="s">
        <v>67</v>
      </c>
      <c r="D28" s="16">
        <v>2</v>
      </c>
      <c r="E28" s="16">
        <v>1</v>
      </c>
      <c r="F28" s="16">
        <f>D28-E28</f>
        <v>1</v>
      </c>
      <c r="G28" s="208"/>
      <c r="H28" s="17">
        <f t="shared" si="4"/>
        <v>0</v>
      </c>
      <c r="I28" s="17">
        <f t="shared" si="4"/>
        <v>0</v>
      </c>
    </row>
    <row r="29" spans="1:9" s="646" customFormat="1" ht="12">
      <c r="A29" s="643" t="s">
        <v>1537</v>
      </c>
      <c r="B29" s="647" t="s">
        <v>1556</v>
      </c>
      <c r="C29" s="645" t="s">
        <v>67</v>
      </c>
      <c r="D29" s="16">
        <v>2</v>
      </c>
      <c r="E29" s="16">
        <v>1</v>
      </c>
      <c r="F29" s="16">
        <f>D29-E29</f>
        <v>1</v>
      </c>
      <c r="G29" s="208"/>
      <c r="H29" s="17">
        <f t="shared" si="4"/>
        <v>0</v>
      </c>
      <c r="I29" s="17">
        <f t="shared" si="4"/>
        <v>0</v>
      </c>
    </row>
    <row r="30" spans="1:9" s="646" customFormat="1" ht="12">
      <c r="A30" s="643" t="s">
        <v>1537</v>
      </c>
      <c r="B30" s="647" t="s">
        <v>1557</v>
      </c>
      <c r="C30" s="645" t="s">
        <v>67</v>
      </c>
      <c r="D30" s="16">
        <v>4</v>
      </c>
      <c r="E30" s="16">
        <v>2</v>
      </c>
      <c r="F30" s="16">
        <f>D30-E30</f>
        <v>2</v>
      </c>
      <c r="G30" s="208"/>
      <c r="H30" s="17">
        <f t="shared" si="4"/>
        <v>0</v>
      </c>
      <c r="I30" s="17">
        <f t="shared" si="4"/>
        <v>0</v>
      </c>
    </row>
    <row r="31" spans="1:9" s="642" customFormat="1" ht="12">
      <c r="A31" s="639" t="s">
        <v>151</v>
      </c>
      <c r="B31" s="640" t="s">
        <v>1561</v>
      </c>
      <c r="C31" s="641"/>
      <c r="D31" s="83"/>
      <c r="E31" s="83"/>
      <c r="F31" s="83"/>
      <c r="G31" s="207"/>
      <c r="H31" s="84"/>
      <c r="I31" s="84"/>
    </row>
    <row r="32" spans="1:9" s="646" customFormat="1" ht="24">
      <c r="A32" s="643" t="s">
        <v>1558</v>
      </c>
      <c r="B32" s="647" t="s">
        <v>1564</v>
      </c>
      <c r="C32" s="645" t="s">
        <v>67</v>
      </c>
      <c r="D32" s="16">
        <v>1</v>
      </c>
      <c r="E32" s="16">
        <v>1</v>
      </c>
      <c r="F32" s="16">
        <f>D32-E32</f>
        <v>0</v>
      </c>
      <c r="G32" s="208"/>
      <c r="H32" s="17">
        <f t="shared" ref="H32:I34" si="5">E32*$G32</f>
        <v>0</v>
      </c>
      <c r="I32" s="17">
        <f t="shared" si="5"/>
        <v>0</v>
      </c>
    </row>
    <row r="33" spans="1:9" s="646" customFormat="1" ht="12">
      <c r="A33" s="643" t="s">
        <v>1559</v>
      </c>
      <c r="B33" s="647" t="s">
        <v>1562</v>
      </c>
      <c r="C33" s="645" t="s">
        <v>67</v>
      </c>
      <c r="D33" s="16">
        <v>1</v>
      </c>
      <c r="E33" s="16">
        <v>1</v>
      </c>
      <c r="F33" s="16">
        <f>D33-E33</f>
        <v>0</v>
      </c>
      <c r="G33" s="208"/>
      <c r="H33" s="17">
        <f t="shared" si="5"/>
        <v>0</v>
      </c>
      <c r="I33" s="17">
        <f t="shared" si="5"/>
        <v>0</v>
      </c>
    </row>
    <row r="34" spans="1:9" s="646" customFormat="1" ht="12">
      <c r="A34" s="643" t="s">
        <v>1560</v>
      </c>
      <c r="B34" s="647" t="s">
        <v>1563</v>
      </c>
      <c r="C34" s="645" t="s">
        <v>67</v>
      </c>
      <c r="D34" s="16">
        <v>1</v>
      </c>
      <c r="E34" s="16">
        <v>1</v>
      </c>
      <c r="F34" s="16">
        <f>D34-E34</f>
        <v>0</v>
      </c>
      <c r="G34" s="208"/>
      <c r="H34" s="17">
        <f t="shared" si="5"/>
        <v>0</v>
      </c>
      <c r="I34" s="17">
        <f t="shared" si="5"/>
        <v>0</v>
      </c>
    </row>
    <row r="35" spans="1:9" s="642" customFormat="1" ht="12">
      <c r="A35" s="639" t="s">
        <v>144</v>
      </c>
      <c r="B35" s="640" t="s">
        <v>539</v>
      </c>
      <c r="C35" s="641"/>
      <c r="D35" s="83"/>
      <c r="E35" s="83"/>
      <c r="F35" s="83"/>
      <c r="G35" s="207"/>
      <c r="H35" s="84"/>
      <c r="I35" s="84"/>
    </row>
    <row r="36" spans="1:9" s="642" customFormat="1" ht="12">
      <c r="A36" s="639" t="s">
        <v>208</v>
      </c>
      <c r="B36" s="640" t="s">
        <v>1565</v>
      </c>
      <c r="C36" s="641"/>
      <c r="D36" s="83"/>
      <c r="E36" s="83"/>
      <c r="F36" s="83"/>
      <c r="G36" s="207"/>
      <c r="H36" s="84"/>
      <c r="I36" s="84"/>
    </row>
    <row r="37" spans="1:9" s="646" customFormat="1" ht="12">
      <c r="A37" s="643" t="s">
        <v>540</v>
      </c>
      <c r="B37" s="647" t="s">
        <v>1566</v>
      </c>
      <c r="C37" s="645" t="s">
        <v>67</v>
      </c>
      <c r="D37" s="16">
        <v>1</v>
      </c>
      <c r="E37" s="16"/>
      <c r="F37" s="16">
        <f>D37-E37</f>
        <v>1</v>
      </c>
      <c r="G37" s="208"/>
      <c r="H37" s="17">
        <f>E37*$G37</f>
        <v>0</v>
      </c>
      <c r="I37" s="17">
        <f>F37*$G37</f>
        <v>0</v>
      </c>
    </row>
    <row r="38" spans="1:9" s="646" customFormat="1" ht="12">
      <c r="A38" s="643" t="s">
        <v>541</v>
      </c>
      <c r="B38" s="647" t="s">
        <v>308</v>
      </c>
      <c r="C38" s="645" t="s">
        <v>67</v>
      </c>
      <c r="D38" s="16">
        <v>1</v>
      </c>
      <c r="E38" s="16"/>
      <c r="F38" s="16">
        <f>D38-E38</f>
        <v>1</v>
      </c>
      <c r="G38" s="208"/>
      <c r="H38" s="17">
        <f>E38*$G38</f>
        <v>0</v>
      </c>
      <c r="I38" s="17">
        <f>F38*$G38</f>
        <v>0</v>
      </c>
    </row>
    <row r="39" spans="1:9" s="642" customFormat="1" ht="12">
      <c r="A39" s="639" t="s">
        <v>145</v>
      </c>
      <c r="B39" s="640" t="s">
        <v>542</v>
      </c>
      <c r="C39" s="641"/>
      <c r="D39" s="83"/>
      <c r="E39" s="83"/>
      <c r="F39" s="83"/>
      <c r="G39" s="207"/>
      <c r="H39" s="84"/>
      <c r="I39" s="84"/>
    </row>
    <row r="40" spans="1:9" s="642" customFormat="1" ht="12">
      <c r="A40" s="639" t="s">
        <v>214</v>
      </c>
      <c r="B40" s="640" t="s">
        <v>543</v>
      </c>
      <c r="C40" s="641"/>
      <c r="D40" s="83"/>
      <c r="E40" s="83"/>
      <c r="F40" s="83"/>
      <c r="G40" s="207"/>
      <c r="H40" s="84"/>
      <c r="I40" s="84"/>
    </row>
    <row r="41" spans="1:9" s="646" customFormat="1" ht="12">
      <c r="A41" s="643" t="s">
        <v>313</v>
      </c>
      <c r="B41" s="647" t="s">
        <v>544</v>
      </c>
      <c r="C41" s="645" t="s">
        <v>67</v>
      </c>
      <c r="D41" s="16">
        <v>1</v>
      </c>
      <c r="E41" s="16"/>
      <c r="F41" s="16">
        <f>D41-E41</f>
        <v>1</v>
      </c>
      <c r="G41" s="208"/>
      <c r="H41" s="17">
        <f t="shared" ref="H41:I43" si="6">E41*$G41</f>
        <v>0</v>
      </c>
      <c r="I41" s="17">
        <f t="shared" si="6"/>
        <v>0</v>
      </c>
    </row>
    <row r="42" spans="1:9" s="646" customFormat="1" ht="12">
      <c r="A42" s="643" t="s">
        <v>314</v>
      </c>
      <c r="B42" s="647" t="s">
        <v>545</v>
      </c>
      <c r="C42" s="645" t="s">
        <v>67</v>
      </c>
      <c r="D42" s="16">
        <v>2</v>
      </c>
      <c r="E42" s="16"/>
      <c r="F42" s="16">
        <f>D42-E42</f>
        <v>2</v>
      </c>
      <c r="G42" s="208"/>
      <c r="H42" s="17">
        <f t="shared" si="6"/>
        <v>0</v>
      </c>
      <c r="I42" s="17">
        <f t="shared" si="6"/>
        <v>0</v>
      </c>
    </row>
    <row r="43" spans="1:9" s="646" customFormat="1" ht="12">
      <c r="A43" s="643" t="s">
        <v>315</v>
      </c>
      <c r="B43" s="647" t="s">
        <v>546</v>
      </c>
      <c r="C43" s="645" t="s">
        <v>67</v>
      </c>
      <c r="D43" s="16">
        <v>1</v>
      </c>
      <c r="E43" s="16"/>
      <c r="F43" s="16">
        <f>D43-E43</f>
        <v>1</v>
      </c>
      <c r="G43" s="208"/>
      <c r="H43" s="17">
        <f t="shared" si="6"/>
        <v>0</v>
      </c>
      <c r="I43" s="17">
        <f t="shared" si="6"/>
        <v>0</v>
      </c>
    </row>
    <row r="44" spans="1:9" s="642" customFormat="1" ht="12">
      <c r="A44" s="639" t="s">
        <v>173</v>
      </c>
      <c r="B44" s="640" t="s">
        <v>1567</v>
      </c>
      <c r="C44" s="641"/>
      <c r="D44" s="83"/>
      <c r="E44" s="83"/>
      <c r="F44" s="83"/>
      <c r="G44" s="207"/>
      <c r="H44" s="84"/>
      <c r="I44" s="84"/>
    </row>
    <row r="45" spans="1:9" s="646" customFormat="1" ht="12">
      <c r="A45" s="643" t="s">
        <v>215</v>
      </c>
      <c r="B45" s="647" t="s">
        <v>1568</v>
      </c>
      <c r="C45" s="645" t="s">
        <v>67</v>
      </c>
      <c r="D45" s="16">
        <v>1</v>
      </c>
      <c r="E45" s="16"/>
      <c r="F45" s="16">
        <f>D45-E45</f>
        <v>1</v>
      </c>
      <c r="G45" s="208"/>
      <c r="H45" s="17">
        <f>E45*$G45</f>
        <v>0</v>
      </c>
      <c r="I45" s="17">
        <f>F45*$G45</f>
        <v>0</v>
      </c>
    </row>
    <row r="46" spans="1:9" s="642" customFormat="1" ht="12">
      <c r="A46" s="639" t="s">
        <v>174</v>
      </c>
      <c r="B46" s="640" t="s">
        <v>548</v>
      </c>
      <c r="C46" s="641"/>
      <c r="D46" s="83"/>
      <c r="E46" s="83"/>
      <c r="F46" s="83"/>
      <c r="G46" s="207"/>
      <c r="H46" s="84"/>
      <c r="I46" s="84"/>
    </row>
    <row r="47" spans="1:9" s="642" customFormat="1" ht="12">
      <c r="A47" s="639" t="s">
        <v>223</v>
      </c>
      <c r="B47" s="640" t="s">
        <v>1569</v>
      </c>
      <c r="C47" s="641"/>
      <c r="D47" s="83"/>
      <c r="E47" s="83"/>
      <c r="F47" s="83"/>
      <c r="G47" s="207"/>
      <c r="H47" s="84"/>
      <c r="I47" s="84"/>
    </row>
    <row r="48" spans="1:9" s="646" customFormat="1" ht="12">
      <c r="A48" s="643" t="s">
        <v>547</v>
      </c>
      <c r="B48" s="647" t="s">
        <v>1570</v>
      </c>
      <c r="C48" s="645" t="s">
        <v>67</v>
      </c>
      <c r="D48" s="16">
        <v>1</v>
      </c>
      <c r="E48" s="16"/>
      <c r="F48" s="16">
        <f>D48-E48</f>
        <v>1</v>
      </c>
      <c r="G48" s="208"/>
      <c r="H48" s="17">
        <f>E48*$G48</f>
        <v>0</v>
      </c>
      <c r="I48" s="17">
        <f>F48*$G48</f>
        <v>0</v>
      </c>
    </row>
    <row r="49" spans="1:9" s="642" customFormat="1" ht="12">
      <c r="A49" s="639" t="s">
        <v>224</v>
      </c>
      <c r="B49" s="640" t="s">
        <v>1574</v>
      </c>
      <c r="C49" s="641"/>
      <c r="D49" s="83"/>
      <c r="E49" s="83"/>
      <c r="F49" s="83"/>
      <c r="G49" s="207"/>
      <c r="H49" s="84"/>
      <c r="I49" s="84"/>
    </row>
    <row r="50" spans="1:9" s="646" customFormat="1" ht="12">
      <c r="A50" s="643" t="s">
        <v>1571</v>
      </c>
      <c r="B50" s="647" t="s">
        <v>1575</v>
      </c>
      <c r="C50" s="645" t="s">
        <v>67</v>
      </c>
      <c r="D50" s="16">
        <v>1</v>
      </c>
      <c r="E50" s="16"/>
      <c r="F50" s="16">
        <f>D50-E50</f>
        <v>1</v>
      </c>
      <c r="G50" s="208"/>
      <c r="H50" s="17">
        <f>E50*$G50</f>
        <v>0</v>
      </c>
      <c r="I50" s="17">
        <f>F50*$G50</f>
        <v>0</v>
      </c>
    </row>
    <row r="51" spans="1:9" s="642" customFormat="1" ht="12">
      <c r="A51" s="639" t="s">
        <v>1572</v>
      </c>
      <c r="B51" s="640" t="s">
        <v>1569</v>
      </c>
      <c r="C51" s="641"/>
      <c r="D51" s="83"/>
      <c r="E51" s="83"/>
      <c r="F51" s="83"/>
      <c r="G51" s="207"/>
      <c r="H51" s="84"/>
      <c r="I51" s="84"/>
    </row>
    <row r="52" spans="1:9" s="646" customFormat="1" ht="12">
      <c r="A52" s="643" t="s">
        <v>1573</v>
      </c>
      <c r="B52" s="647" t="s">
        <v>549</v>
      </c>
      <c r="C52" s="645" t="s">
        <v>67</v>
      </c>
      <c r="D52" s="16">
        <v>4</v>
      </c>
      <c r="E52" s="16"/>
      <c r="F52" s="16">
        <f>D52-E52</f>
        <v>4</v>
      </c>
      <c r="G52" s="208"/>
      <c r="H52" s="17">
        <f>E52*$G52</f>
        <v>0</v>
      </c>
      <c r="I52" s="17">
        <f>F52*$G52</f>
        <v>0</v>
      </c>
    </row>
    <row r="53" spans="1:9" s="646" customFormat="1" ht="12">
      <c r="A53" s="643" t="s">
        <v>1576</v>
      </c>
      <c r="B53" s="647" t="s">
        <v>1577</v>
      </c>
      <c r="C53" s="645" t="s">
        <v>67</v>
      </c>
      <c r="D53" s="16">
        <v>1</v>
      </c>
      <c r="E53" s="16"/>
      <c r="F53" s="16">
        <f>D53-E53</f>
        <v>1</v>
      </c>
      <c r="G53" s="208"/>
      <c r="H53" s="17">
        <f>E53*$G53</f>
        <v>0</v>
      </c>
      <c r="I53" s="17">
        <f>F53*$G53</f>
        <v>0</v>
      </c>
    </row>
    <row r="54" spans="1:9" s="642" customFormat="1" ht="12">
      <c r="A54" s="639" t="s">
        <v>175</v>
      </c>
      <c r="B54" s="640" t="s">
        <v>1580</v>
      </c>
      <c r="C54" s="641"/>
      <c r="D54" s="83"/>
      <c r="E54" s="83"/>
      <c r="F54" s="83"/>
      <c r="G54" s="207"/>
      <c r="H54" s="84"/>
      <c r="I54" s="84"/>
    </row>
    <row r="55" spans="1:9" s="642" customFormat="1" ht="12">
      <c r="A55" s="639" t="s">
        <v>225</v>
      </c>
      <c r="B55" s="640" t="s">
        <v>1581</v>
      </c>
      <c r="C55" s="641"/>
      <c r="D55" s="83"/>
      <c r="E55" s="83"/>
      <c r="F55" s="83"/>
      <c r="G55" s="207"/>
      <c r="H55" s="84"/>
      <c r="I55" s="84"/>
    </row>
    <row r="56" spans="1:9" s="646" customFormat="1" ht="12">
      <c r="A56" s="643" t="s">
        <v>1578</v>
      </c>
      <c r="B56" s="647" t="s">
        <v>1582</v>
      </c>
      <c r="C56" s="645" t="s">
        <v>67</v>
      </c>
      <c r="D56" s="16">
        <v>1</v>
      </c>
      <c r="E56" s="16"/>
      <c r="F56" s="16">
        <f>D56-E56</f>
        <v>1</v>
      </c>
      <c r="G56" s="208"/>
      <c r="H56" s="17">
        <f>E56*$G56</f>
        <v>0</v>
      </c>
      <c r="I56" s="17">
        <f>F56*$G56</f>
        <v>0</v>
      </c>
    </row>
    <row r="57" spans="1:9" s="646" customFormat="1" ht="12">
      <c r="A57" s="643" t="s">
        <v>1579</v>
      </c>
      <c r="B57" s="647" t="s">
        <v>1583</v>
      </c>
      <c r="C57" s="645" t="s">
        <v>67</v>
      </c>
      <c r="D57" s="16">
        <v>1</v>
      </c>
      <c r="E57" s="16"/>
      <c r="F57" s="16">
        <f>D57-E57</f>
        <v>1</v>
      </c>
      <c r="G57" s="208"/>
      <c r="H57" s="17">
        <f>E57*$G57</f>
        <v>0</v>
      </c>
      <c r="I57" s="17">
        <f>F57*$G57</f>
        <v>0</v>
      </c>
    </row>
    <row r="58" spans="1:9" s="642" customFormat="1" ht="12">
      <c r="A58" s="639" t="s">
        <v>176</v>
      </c>
      <c r="B58" s="640" t="s">
        <v>1584</v>
      </c>
      <c r="C58" s="641"/>
      <c r="D58" s="83"/>
      <c r="E58" s="83"/>
      <c r="F58" s="83"/>
      <c r="G58" s="207"/>
      <c r="H58" s="84"/>
      <c r="I58" s="84"/>
    </row>
    <row r="59" spans="1:9" s="642" customFormat="1" ht="12">
      <c r="A59" s="639" t="s">
        <v>228</v>
      </c>
      <c r="B59" s="640" t="s">
        <v>1585</v>
      </c>
      <c r="C59" s="641"/>
      <c r="D59" s="83"/>
      <c r="E59" s="83"/>
      <c r="F59" s="83"/>
      <c r="G59" s="207"/>
      <c r="H59" s="84"/>
      <c r="I59" s="84"/>
    </row>
    <row r="60" spans="1:9" s="646" customFormat="1" ht="12">
      <c r="A60" s="643" t="s">
        <v>555</v>
      </c>
      <c r="B60" s="647" t="s">
        <v>1586</v>
      </c>
      <c r="C60" s="645" t="s">
        <v>67</v>
      </c>
      <c r="D60" s="16">
        <v>1</v>
      </c>
      <c r="E60" s="16"/>
      <c r="F60" s="16">
        <f>D60-E60</f>
        <v>1</v>
      </c>
      <c r="G60" s="208"/>
      <c r="H60" s="17">
        <f>E60*$G60</f>
        <v>0</v>
      </c>
      <c r="I60" s="17">
        <f>F60*$G60</f>
        <v>0</v>
      </c>
    </row>
    <row r="61" spans="1:9" s="642" customFormat="1" ht="12">
      <c r="A61" s="639" t="s">
        <v>177</v>
      </c>
      <c r="B61" s="640" t="s">
        <v>1589</v>
      </c>
      <c r="C61" s="641"/>
      <c r="D61" s="83"/>
      <c r="E61" s="83"/>
      <c r="F61" s="83"/>
      <c r="G61" s="207"/>
      <c r="H61" s="84"/>
      <c r="I61" s="84"/>
    </row>
    <row r="62" spans="1:9" s="642" customFormat="1" ht="12">
      <c r="A62" s="639" t="s">
        <v>230</v>
      </c>
      <c r="B62" s="640" t="s">
        <v>1589</v>
      </c>
      <c r="C62" s="641"/>
      <c r="D62" s="83"/>
      <c r="E62" s="83"/>
      <c r="F62" s="83"/>
      <c r="G62" s="207"/>
      <c r="H62" s="84"/>
      <c r="I62" s="84"/>
    </row>
    <row r="63" spans="1:9" s="646" customFormat="1" ht="12">
      <c r="A63" s="643" t="s">
        <v>1587</v>
      </c>
      <c r="B63" s="647" t="s">
        <v>1590</v>
      </c>
      <c r="C63" s="645" t="s">
        <v>67</v>
      </c>
      <c r="D63" s="16">
        <v>1</v>
      </c>
      <c r="E63" s="16"/>
      <c r="F63" s="16">
        <f>D63-E63</f>
        <v>1</v>
      </c>
      <c r="G63" s="208"/>
      <c r="H63" s="17">
        <f>E63*$G63</f>
        <v>0</v>
      </c>
      <c r="I63" s="17">
        <f>F63*$G63</f>
        <v>0</v>
      </c>
    </row>
    <row r="64" spans="1:9" s="646" customFormat="1" ht="12">
      <c r="A64" s="643" t="s">
        <v>1588</v>
      </c>
      <c r="B64" s="647" t="s">
        <v>1591</v>
      </c>
      <c r="C64" s="645" t="s">
        <v>67</v>
      </c>
      <c r="D64" s="16">
        <v>1</v>
      </c>
      <c r="E64" s="16"/>
      <c r="F64" s="16">
        <f>D64-E64</f>
        <v>1</v>
      </c>
      <c r="G64" s="208"/>
      <c r="H64" s="17">
        <f>E64*$G64</f>
        <v>0</v>
      </c>
      <c r="I64" s="17">
        <f>F64*$G64</f>
        <v>0</v>
      </c>
    </row>
    <row r="65" spans="1:9" s="642" customFormat="1" ht="12">
      <c r="A65" s="639" t="s">
        <v>329</v>
      </c>
      <c r="B65" s="640" t="s">
        <v>554</v>
      </c>
      <c r="C65" s="641"/>
      <c r="D65" s="83"/>
      <c r="E65" s="83"/>
      <c r="F65" s="83"/>
      <c r="G65" s="207"/>
      <c r="H65" s="84"/>
      <c r="I65" s="84"/>
    </row>
    <row r="66" spans="1:9" s="646" customFormat="1" ht="12">
      <c r="A66" s="643" t="s">
        <v>330</v>
      </c>
      <c r="B66" s="647" t="s">
        <v>550</v>
      </c>
      <c r="C66" s="645" t="s">
        <v>68</v>
      </c>
      <c r="D66" s="16">
        <v>320</v>
      </c>
      <c r="E66" s="16">
        <v>60</v>
      </c>
      <c r="F66" s="16">
        <f t="shared" ref="F66:F71" si="7">D66-E66</f>
        <v>260</v>
      </c>
      <c r="G66" s="208"/>
      <c r="H66" s="17">
        <f t="shared" ref="H66:H71" si="8">E66*$G66</f>
        <v>0</v>
      </c>
      <c r="I66" s="17">
        <f t="shared" ref="I66:I71" si="9">F66*$G66</f>
        <v>0</v>
      </c>
    </row>
    <row r="67" spans="1:9" s="646" customFormat="1" ht="12">
      <c r="A67" s="643" t="s">
        <v>331</v>
      </c>
      <c r="B67" s="647" t="s">
        <v>551</v>
      </c>
      <c r="C67" s="645" t="s">
        <v>68</v>
      </c>
      <c r="D67" s="16">
        <v>83</v>
      </c>
      <c r="E67" s="16">
        <v>14</v>
      </c>
      <c r="F67" s="16">
        <f t="shared" si="7"/>
        <v>69</v>
      </c>
      <c r="G67" s="208"/>
      <c r="H67" s="17">
        <f t="shared" si="8"/>
        <v>0</v>
      </c>
      <c r="I67" s="17">
        <f t="shared" si="9"/>
        <v>0</v>
      </c>
    </row>
    <row r="68" spans="1:9" s="646" customFormat="1" ht="12">
      <c r="A68" s="643" t="s">
        <v>332</v>
      </c>
      <c r="B68" s="647" t="s">
        <v>552</v>
      </c>
      <c r="C68" s="645" t="s">
        <v>68</v>
      </c>
      <c r="D68" s="16">
        <v>65</v>
      </c>
      <c r="E68" s="16">
        <v>8</v>
      </c>
      <c r="F68" s="16">
        <f t="shared" si="7"/>
        <v>57</v>
      </c>
      <c r="G68" s="208"/>
      <c r="H68" s="17">
        <f t="shared" si="8"/>
        <v>0</v>
      </c>
      <c r="I68" s="17">
        <f t="shared" si="9"/>
        <v>0</v>
      </c>
    </row>
    <row r="69" spans="1:9" s="646" customFormat="1" ht="12">
      <c r="A69" s="643" t="s">
        <v>333</v>
      </c>
      <c r="B69" s="647" t="s">
        <v>553</v>
      </c>
      <c r="C69" s="645" t="s">
        <v>68</v>
      </c>
      <c r="D69" s="16">
        <v>52</v>
      </c>
      <c r="E69" s="16">
        <v>30</v>
      </c>
      <c r="F69" s="16">
        <f t="shared" si="7"/>
        <v>22</v>
      </c>
      <c r="G69" s="208"/>
      <c r="H69" s="17">
        <f t="shared" si="8"/>
        <v>0</v>
      </c>
      <c r="I69" s="17">
        <f t="shared" si="9"/>
        <v>0</v>
      </c>
    </row>
    <row r="70" spans="1:9" s="646" customFormat="1" ht="12">
      <c r="A70" s="643" t="s">
        <v>334</v>
      </c>
      <c r="B70" s="647" t="s">
        <v>1592</v>
      </c>
      <c r="C70" s="645" t="s">
        <v>68</v>
      </c>
      <c r="D70" s="16">
        <v>60</v>
      </c>
      <c r="E70" s="16"/>
      <c r="F70" s="16">
        <f t="shared" si="7"/>
        <v>60</v>
      </c>
      <c r="G70" s="208"/>
      <c r="H70" s="17">
        <f t="shared" si="8"/>
        <v>0</v>
      </c>
      <c r="I70" s="17">
        <f t="shared" si="9"/>
        <v>0</v>
      </c>
    </row>
    <row r="71" spans="1:9" s="646" customFormat="1" ht="12">
      <c r="A71" s="643" t="s">
        <v>557</v>
      </c>
      <c r="B71" s="647" t="s">
        <v>1593</v>
      </c>
      <c r="C71" s="645" t="s">
        <v>68</v>
      </c>
      <c r="D71" s="16">
        <v>10</v>
      </c>
      <c r="E71" s="16"/>
      <c r="F71" s="16">
        <f t="shared" si="7"/>
        <v>10</v>
      </c>
      <c r="G71" s="208"/>
      <c r="H71" s="17">
        <f t="shared" si="8"/>
        <v>0</v>
      </c>
      <c r="I71" s="17">
        <f t="shared" si="9"/>
        <v>0</v>
      </c>
    </row>
    <row r="72" spans="1:9" s="642" customFormat="1" ht="12">
      <c r="A72" s="639" t="s">
        <v>336</v>
      </c>
      <c r="B72" s="640" t="s">
        <v>309</v>
      </c>
      <c r="C72" s="641"/>
      <c r="D72" s="83"/>
      <c r="E72" s="83"/>
      <c r="F72" s="83"/>
      <c r="G72" s="207"/>
      <c r="H72" s="84"/>
      <c r="I72" s="84"/>
    </row>
    <row r="73" spans="1:9" s="642" customFormat="1" ht="12">
      <c r="A73" s="639" t="s">
        <v>337</v>
      </c>
      <c r="B73" s="640" t="s">
        <v>310</v>
      </c>
      <c r="C73" s="641"/>
      <c r="D73" s="83"/>
      <c r="E73" s="83"/>
      <c r="F73" s="83"/>
      <c r="G73" s="207"/>
      <c r="H73" s="84"/>
      <c r="I73" s="84"/>
    </row>
    <row r="74" spans="1:9" s="646" customFormat="1" ht="12">
      <c r="A74" s="643" t="s">
        <v>1594</v>
      </c>
      <c r="B74" s="647" t="s">
        <v>311</v>
      </c>
      <c r="C74" s="645" t="s">
        <v>68</v>
      </c>
      <c r="D74" s="16">
        <v>282</v>
      </c>
      <c r="E74" s="16">
        <v>8</v>
      </c>
      <c r="F74" s="16">
        <f t="shared" ref="F74:F80" si="10">D74-E74</f>
        <v>274</v>
      </c>
      <c r="G74" s="208"/>
      <c r="H74" s="17">
        <f t="shared" ref="H74:H80" si="11">E74*$G74</f>
        <v>0</v>
      </c>
      <c r="I74" s="17">
        <f t="shared" ref="I74:I80" si="12">F74*$G74</f>
        <v>0</v>
      </c>
    </row>
    <row r="75" spans="1:9" s="646" customFormat="1" ht="12">
      <c r="A75" s="643" t="s">
        <v>1595</v>
      </c>
      <c r="B75" s="647" t="s">
        <v>312</v>
      </c>
      <c r="C75" s="645" t="s">
        <v>68</v>
      </c>
      <c r="D75" s="16">
        <v>54</v>
      </c>
      <c r="E75" s="16">
        <v>8</v>
      </c>
      <c r="F75" s="16">
        <f t="shared" si="10"/>
        <v>46</v>
      </c>
      <c r="G75" s="208"/>
      <c r="H75" s="17">
        <f t="shared" si="11"/>
        <v>0</v>
      </c>
      <c r="I75" s="17">
        <f t="shared" si="12"/>
        <v>0</v>
      </c>
    </row>
    <row r="76" spans="1:9" s="646" customFormat="1" ht="12">
      <c r="A76" s="643" t="s">
        <v>1596</v>
      </c>
      <c r="B76" s="647" t="s">
        <v>1599</v>
      </c>
      <c r="C76" s="645" t="s">
        <v>68</v>
      </c>
      <c r="D76" s="16">
        <v>22</v>
      </c>
      <c r="E76" s="16">
        <v>8</v>
      </c>
      <c r="F76" s="16">
        <f t="shared" si="10"/>
        <v>14</v>
      </c>
      <c r="G76" s="208"/>
      <c r="H76" s="17">
        <f t="shared" si="11"/>
        <v>0</v>
      </c>
      <c r="I76" s="17">
        <f t="shared" si="12"/>
        <v>0</v>
      </c>
    </row>
    <row r="77" spans="1:9" s="646" customFormat="1" ht="12">
      <c r="A77" s="643" t="s">
        <v>1597</v>
      </c>
      <c r="B77" s="647" t="s">
        <v>1600</v>
      </c>
      <c r="C77" s="645" t="s">
        <v>68</v>
      </c>
      <c r="D77" s="16">
        <v>46</v>
      </c>
      <c r="E77" s="16">
        <v>26</v>
      </c>
      <c r="F77" s="16">
        <f t="shared" si="10"/>
        <v>20</v>
      </c>
      <c r="G77" s="208"/>
      <c r="H77" s="17">
        <f t="shared" si="11"/>
        <v>0</v>
      </c>
      <c r="I77" s="17">
        <f t="shared" si="12"/>
        <v>0</v>
      </c>
    </row>
    <row r="78" spans="1:9" s="646" customFormat="1" ht="12">
      <c r="A78" s="643" t="s">
        <v>1598</v>
      </c>
      <c r="B78" s="647" t="s">
        <v>1601</v>
      </c>
      <c r="C78" s="645" t="s">
        <v>68</v>
      </c>
      <c r="D78" s="16">
        <v>8</v>
      </c>
      <c r="E78" s="16"/>
      <c r="F78" s="16">
        <f t="shared" si="10"/>
        <v>8</v>
      </c>
      <c r="G78" s="208"/>
      <c r="H78" s="17">
        <f t="shared" si="11"/>
        <v>0</v>
      </c>
      <c r="I78" s="17">
        <f t="shared" si="12"/>
        <v>0</v>
      </c>
    </row>
    <row r="79" spans="1:9" s="646" customFormat="1" ht="12">
      <c r="A79" s="643" t="s">
        <v>1602</v>
      </c>
      <c r="B79" s="647" t="s">
        <v>1604</v>
      </c>
      <c r="C79" s="645" t="s">
        <v>67</v>
      </c>
      <c r="D79" s="16">
        <v>6</v>
      </c>
      <c r="E79" s="16"/>
      <c r="F79" s="16">
        <f t="shared" si="10"/>
        <v>6</v>
      </c>
      <c r="G79" s="208"/>
      <c r="H79" s="17">
        <f t="shared" si="11"/>
        <v>0</v>
      </c>
      <c r="I79" s="17">
        <f t="shared" si="12"/>
        <v>0</v>
      </c>
    </row>
    <row r="80" spans="1:9" s="646" customFormat="1" ht="12">
      <c r="A80" s="643" t="s">
        <v>1603</v>
      </c>
      <c r="B80" s="647" t="s">
        <v>1605</v>
      </c>
      <c r="C80" s="645" t="s">
        <v>67</v>
      </c>
      <c r="D80" s="16">
        <v>3</v>
      </c>
      <c r="E80" s="16"/>
      <c r="F80" s="16">
        <f t="shared" si="10"/>
        <v>3</v>
      </c>
      <c r="G80" s="208"/>
      <c r="H80" s="17">
        <f t="shared" si="11"/>
        <v>0</v>
      </c>
      <c r="I80" s="17">
        <f t="shared" si="12"/>
        <v>0</v>
      </c>
    </row>
    <row r="81" spans="1:9" s="642" customFormat="1" ht="12">
      <c r="A81" s="639" t="s">
        <v>558</v>
      </c>
      <c r="B81" s="640" t="s">
        <v>316</v>
      </c>
      <c r="C81" s="641"/>
      <c r="D81" s="83"/>
      <c r="E81" s="83"/>
      <c r="F81" s="83"/>
      <c r="G81" s="207"/>
      <c r="H81" s="84"/>
      <c r="I81" s="84"/>
    </row>
    <row r="82" spans="1:9" s="646" customFormat="1" ht="12">
      <c r="A82" s="643" t="s">
        <v>1608</v>
      </c>
      <c r="B82" s="647" t="s">
        <v>1606</v>
      </c>
      <c r="C82" s="645" t="s">
        <v>68</v>
      </c>
      <c r="D82" s="16">
        <v>4</v>
      </c>
      <c r="E82" s="16"/>
      <c r="F82" s="16">
        <f>D82-E82</f>
        <v>4</v>
      </c>
      <c r="G82" s="208"/>
      <c r="H82" s="17">
        <f t="shared" ref="H82:I86" si="13">E82*$G82</f>
        <v>0</v>
      </c>
      <c r="I82" s="17">
        <f t="shared" si="13"/>
        <v>0</v>
      </c>
    </row>
    <row r="83" spans="1:9" s="646" customFormat="1" ht="12">
      <c r="A83" s="643" t="s">
        <v>1609</v>
      </c>
      <c r="B83" s="647" t="s">
        <v>317</v>
      </c>
      <c r="C83" s="645" t="s">
        <v>68</v>
      </c>
      <c r="D83" s="16">
        <v>14</v>
      </c>
      <c r="E83" s="16"/>
      <c r="F83" s="16">
        <f>D83-E83</f>
        <v>14</v>
      </c>
      <c r="G83" s="208"/>
      <c r="H83" s="17">
        <f t="shared" si="13"/>
        <v>0</v>
      </c>
      <c r="I83" s="17">
        <f t="shared" si="13"/>
        <v>0</v>
      </c>
    </row>
    <row r="84" spans="1:9" s="646" customFormat="1" ht="12">
      <c r="A84" s="643" t="s">
        <v>1610</v>
      </c>
      <c r="B84" s="647" t="s">
        <v>318</v>
      </c>
      <c r="C84" s="645" t="s">
        <v>68</v>
      </c>
      <c r="D84" s="16">
        <v>10</v>
      </c>
      <c r="E84" s="16">
        <v>5</v>
      </c>
      <c r="F84" s="16">
        <f>D84-E84</f>
        <v>5</v>
      </c>
      <c r="G84" s="208"/>
      <c r="H84" s="17">
        <f t="shared" si="13"/>
        <v>0</v>
      </c>
      <c r="I84" s="17">
        <f t="shared" si="13"/>
        <v>0</v>
      </c>
    </row>
    <row r="85" spans="1:9" s="646" customFormat="1" ht="12">
      <c r="A85" s="643" t="s">
        <v>1611</v>
      </c>
      <c r="B85" s="647" t="s">
        <v>1607</v>
      </c>
      <c r="C85" s="645" t="s">
        <v>68</v>
      </c>
      <c r="D85" s="16">
        <v>4</v>
      </c>
      <c r="E85" s="16"/>
      <c r="F85" s="16">
        <f>D85-E85</f>
        <v>4</v>
      </c>
      <c r="G85" s="208"/>
      <c r="H85" s="17">
        <f t="shared" si="13"/>
        <v>0</v>
      </c>
      <c r="I85" s="17">
        <f t="shared" si="13"/>
        <v>0</v>
      </c>
    </row>
    <row r="86" spans="1:9" s="646" customFormat="1" ht="12">
      <c r="A86" s="643" t="s">
        <v>1612</v>
      </c>
      <c r="B86" s="647" t="s">
        <v>319</v>
      </c>
      <c r="C86" s="645" t="s">
        <v>67</v>
      </c>
      <c r="D86" s="16">
        <v>1</v>
      </c>
      <c r="E86" s="16"/>
      <c r="F86" s="16">
        <f>D86-E86</f>
        <v>1</v>
      </c>
      <c r="G86" s="208"/>
      <c r="H86" s="17">
        <f t="shared" si="13"/>
        <v>0</v>
      </c>
      <c r="I86" s="17">
        <f t="shared" si="13"/>
        <v>0</v>
      </c>
    </row>
    <row r="87" spans="1:9" s="642" customFormat="1" ht="12">
      <c r="A87" s="639" t="s">
        <v>340</v>
      </c>
      <c r="B87" s="640" t="s">
        <v>320</v>
      </c>
      <c r="C87" s="641"/>
      <c r="D87" s="83"/>
      <c r="E87" s="83"/>
      <c r="F87" s="83"/>
      <c r="G87" s="207"/>
      <c r="H87" s="84"/>
      <c r="I87" s="84"/>
    </row>
    <row r="88" spans="1:9" s="646" customFormat="1" ht="12">
      <c r="A88" s="643" t="s">
        <v>341</v>
      </c>
      <c r="B88" s="647" t="s">
        <v>1619</v>
      </c>
      <c r="C88" s="645" t="s">
        <v>67</v>
      </c>
      <c r="D88" s="16">
        <v>10</v>
      </c>
      <c r="E88" s="16"/>
      <c r="F88" s="16">
        <f t="shared" ref="F88:F98" si="14">D88-E88</f>
        <v>10</v>
      </c>
      <c r="G88" s="208"/>
      <c r="H88" s="17">
        <f t="shared" ref="H88:H98" si="15">E88*$G88</f>
        <v>0</v>
      </c>
      <c r="I88" s="17">
        <f t="shared" ref="I88:I98" si="16">F88*$G88</f>
        <v>0</v>
      </c>
    </row>
    <row r="89" spans="1:9" s="646" customFormat="1" ht="12">
      <c r="A89" s="643" t="s">
        <v>342</v>
      </c>
      <c r="B89" s="647" t="s">
        <v>1620</v>
      </c>
      <c r="C89" s="645" t="s">
        <v>67</v>
      </c>
      <c r="D89" s="16">
        <v>10</v>
      </c>
      <c r="E89" s="16"/>
      <c r="F89" s="16">
        <f t="shared" si="14"/>
        <v>10</v>
      </c>
      <c r="G89" s="208"/>
      <c r="H89" s="17">
        <f t="shared" si="15"/>
        <v>0</v>
      </c>
      <c r="I89" s="17">
        <f t="shared" si="16"/>
        <v>0</v>
      </c>
    </row>
    <row r="90" spans="1:9" s="646" customFormat="1" ht="12">
      <c r="A90" s="643" t="s">
        <v>1613</v>
      </c>
      <c r="B90" s="647" t="s">
        <v>1621</v>
      </c>
      <c r="C90" s="645" t="s">
        <v>67</v>
      </c>
      <c r="D90" s="16">
        <v>20</v>
      </c>
      <c r="E90" s="16"/>
      <c r="F90" s="16">
        <f t="shared" si="14"/>
        <v>20</v>
      </c>
      <c r="G90" s="208"/>
      <c r="H90" s="17">
        <f t="shared" si="15"/>
        <v>0</v>
      </c>
      <c r="I90" s="17">
        <f t="shared" si="16"/>
        <v>0</v>
      </c>
    </row>
    <row r="91" spans="1:9" s="646" customFormat="1" ht="12">
      <c r="A91" s="643" t="s">
        <v>1614</v>
      </c>
      <c r="B91" s="647" t="s">
        <v>1616</v>
      </c>
      <c r="C91" s="645" t="s">
        <v>67</v>
      </c>
      <c r="D91" s="16">
        <v>50</v>
      </c>
      <c r="E91" s="16"/>
      <c r="F91" s="16">
        <f t="shared" si="14"/>
        <v>50</v>
      </c>
      <c r="G91" s="208"/>
      <c r="H91" s="17">
        <f t="shared" si="15"/>
        <v>0</v>
      </c>
      <c r="I91" s="17">
        <f t="shared" si="16"/>
        <v>0</v>
      </c>
    </row>
    <row r="92" spans="1:9" s="646" customFormat="1" ht="12">
      <c r="A92" s="643" t="s">
        <v>1615</v>
      </c>
      <c r="B92" s="647" t="s">
        <v>556</v>
      </c>
      <c r="C92" s="645" t="s">
        <v>67</v>
      </c>
      <c r="D92" s="16">
        <v>20</v>
      </c>
      <c r="E92" s="16"/>
      <c r="F92" s="16">
        <f t="shared" si="14"/>
        <v>20</v>
      </c>
      <c r="G92" s="208"/>
      <c r="H92" s="17">
        <f t="shared" si="15"/>
        <v>0</v>
      </c>
      <c r="I92" s="17">
        <f t="shared" si="16"/>
        <v>0</v>
      </c>
    </row>
    <row r="93" spans="1:9" s="646" customFormat="1" ht="12">
      <c r="A93" s="643" t="s">
        <v>1622</v>
      </c>
      <c r="B93" s="647" t="s">
        <v>321</v>
      </c>
      <c r="C93" s="645" t="s">
        <v>67</v>
      </c>
      <c r="D93" s="16">
        <v>20</v>
      </c>
      <c r="E93" s="16"/>
      <c r="F93" s="16">
        <f t="shared" si="14"/>
        <v>20</v>
      </c>
      <c r="G93" s="208"/>
      <c r="H93" s="17">
        <f t="shared" si="15"/>
        <v>0</v>
      </c>
      <c r="I93" s="17">
        <f t="shared" si="16"/>
        <v>0</v>
      </c>
    </row>
    <row r="94" spans="1:9" s="646" customFormat="1" ht="12">
      <c r="A94" s="643" t="s">
        <v>1623</v>
      </c>
      <c r="B94" s="647" t="s">
        <v>322</v>
      </c>
      <c r="C94" s="645" t="s">
        <v>67</v>
      </c>
      <c r="D94" s="16">
        <v>20</v>
      </c>
      <c r="E94" s="16">
        <v>6</v>
      </c>
      <c r="F94" s="16">
        <f t="shared" si="14"/>
        <v>14</v>
      </c>
      <c r="G94" s="208"/>
      <c r="H94" s="17">
        <f t="shared" si="15"/>
        <v>0</v>
      </c>
      <c r="I94" s="17">
        <f t="shared" si="16"/>
        <v>0</v>
      </c>
    </row>
    <row r="95" spans="1:9" s="646" customFormat="1" ht="12">
      <c r="A95" s="643" t="s">
        <v>1624</v>
      </c>
      <c r="B95" s="647" t="s">
        <v>1617</v>
      </c>
      <c r="C95" s="645" t="s">
        <v>67</v>
      </c>
      <c r="D95" s="16">
        <v>30</v>
      </c>
      <c r="E95" s="16"/>
      <c r="F95" s="16">
        <f t="shared" si="14"/>
        <v>30</v>
      </c>
      <c r="G95" s="208"/>
      <c r="H95" s="17">
        <f t="shared" si="15"/>
        <v>0</v>
      </c>
      <c r="I95" s="17">
        <f t="shared" si="16"/>
        <v>0</v>
      </c>
    </row>
    <row r="96" spans="1:9" s="646" customFormat="1" ht="12">
      <c r="A96" s="643" t="s">
        <v>1625</v>
      </c>
      <c r="B96" s="647" t="s">
        <v>1618</v>
      </c>
      <c r="C96" s="645" t="s">
        <v>67</v>
      </c>
      <c r="D96" s="16">
        <v>10</v>
      </c>
      <c r="E96" s="16"/>
      <c r="F96" s="16">
        <f t="shared" si="14"/>
        <v>10</v>
      </c>
      <c r="G96" s="208"/>
      <c r="H96" s="17">
        <f t="shared" si="15"/>
        <v>0</v>
      </c>
      <c r="I96" s="17">
        <f t="shared" si="16"/>
        <v>0</v>
      </c>
    </row>
    <row r="97" spans="1:9" s="646" customFormat="1" ht="12">
      <c r="A97" s="643" t="s">
        <v>1626</v>
      </c>
      <c r="B97" s="647" t="s">
        <v>323</v>
      </c>
      <c r="C97" s="645" t="s">
        <v>67</v>
      </c>
      <c r="D97" s="16">
        <v>150</v>
      </c>
      <c r="E97" s="16"/>
      <c r="F97" s="16">
        <f t="shared" si="14"/>
        <v>150</v>
      </c>
      <c r="G97" s="208"/>
      <c r="H97" s="17">
        <f t="shared" si="15"/>
        <v>0</v>
      </c>
      <c r="I97" s="17">
        <f t="shared" si="16"/>
        <v>0</v>
      </c>
    </row>
    <row r="98" spans="1:9" s="646" customFormat="1" ht="12">
      <c r="A98" s="643" t="s">
        <v>1627</v>
      </c>
      <c r="B98" s="647" t="s">
        <v>282</v>
      </c>
      <c r="C98" s="645" t="s">
        <v>67</v>
      </c>
      <c r="D98" s="16">
        <v>150</v>
      </c>
      <c r="E98" s="16"/>
      <c r="F98" s="16">
        <f t="shared" si="14"/>
        <v>150</v>
      </c>
      <c r="G98" s="208"/>
      <c r="H98" s="17">
        <f t="shared" si="15"/>
        <v>0</v>
      </c>
      <c r="I98" s="17">
        <f t="shared" si="16"/>
        <v>0</v>
      </c>
    </row>
    <row r="99" spans="1:9" s="642" customFormat="1" ht="12">
      <c r="A99" s="639" t="s">
        <v>561</v>
      </c>
      <c r="B99" s="640" t="s">
        <v>2348</v>
      </c>
      <c r="C99" s="641"/>
      <c r="D99" s="83"/>
      <c r="E99" s="83"/>
      <c r="F99" s="83"/>
      <c r="G99" s="207"/>
      <c r="H99" s="84"/>
      <c r="I99" s="84"/>
    </row>
    <row r="100" spans="1:9" s="646" customFormat="1" ht="12">
      <c r="A100" s="643" t="s">
        <v>562</v>
      </c>
      <c r="B100" s="647" t="s">
        <v>2410</v>
      </c>
      <c r="C100" s="645" t="s">
        <v>67</v>
      </c>
      <c r="D100" s="16">
        <v>3</v>
      </c>
      <c r="E100" s="16"/>
      <c r="F100" s="16">
        <f t="shared" ref="F100:F131" si="17">D100-E100</f>
        <v>3</v>
      </c>
      <c r="G100" s="208"/>
      <c r="H100" s="17">
        <f t="shared" ref="H100:H131" si="18">E100*$G100</f>
        <v>0</v>
      </c>
      <c r="I100" s="17">
        <f t="shared" ref="I100:I131" si="19">F100*$G100</f>
        <v>0</v>
      </c>
    </row>
    <row r="101" spans="1:9" s="646" customFormat="1" ht="12">
      <c r="A101" s="643" t="s">
        <v>563</v>
      </c>
      <c r="B101" s="647" t="s">
        <v>2411</v>
      </c>
      <c r="C101" s="645" t="s">
        <v>67</v>
      </c>
      <c r="D101" s="16">
        <v>1</v>
      </c>
      <c r="E101" s="16"/>
      <c r="F101" s="16">
        <f t="shared" si="17"/>
        <v>1</v>
      </c>
      <c r="G101" s="208"/>
      <c r="H101" s="17">
        <f t="shared" si="18"/>
        <v>0</v>
      </c>
      <c r="I101" s="17">
        <f t="shared" si="19"/>
        <v>0</v>
      </c>
    </row>
    <row r="102" spans="1:9" s="646" customFormat="1" ht="12">
      <c r="A102" s="643" t="s">
        <v>564</v>
      </c>
      <c r="B102" s="647" t="s">
        <v>2412</v>
      </c>
      <c r="C102" s="645" t="s">
        <v>67</v>
      </c>
      <c r="D102" s="16">
        <v>1</v>
      </c>
      <c r="E102" s="16">
        <v>1</v>
      </c>
      <c r="F102" s="16">
        <f t="shared" si="17"/>
        <v>0</v>
      </c>
      <c r="G102" s="208"/>
      <c r="H102" s="17">
        <f t="shared" si="18"/>
        <v>0</v>
      </c>
      <c r="I102" s="17">
        <f t="shared" si="19"/>
        <v>0</v>
      </c>
    </row>
    <row r="103" spans="1:9" s="646" customFormat="1" ht="12">
      <c r="A103" s="643" t="s">
        <v>565</v>
      </c>
      <c r="B103" s="647" t="s">
        <v>2413</v>
      </c>
      <c r="C103" s="645" t="s">
        <v>67</v>
      </c>
      <c r="D103" s="16">
        <v>1</v>
      </c>
      <c r="E103" s="16"/>
      <c r="F103" s="16">
        <f t="shared" si="17"/>
        <v>1</v>
      </c>
      <c r="G103" s="208"/>
      <c r="H103" s="17">
        <f t="shared" si="18"/>
        <v>0</v>
      </c>
      <c r="I103" s="17">
        <f t="shared" si="19"/>
        <v>0</v>
      </c>
    </row>
    <row r="104" spans="1:9" s="646" customFormat="1" ht="12">
      <c r="A104" s="643" t="s">
        <v>566</v>
      </c>
      <c r="B104" s="647" t="s">
        <v>2414</v>
      </c>
      <c r="C104" s="645" t="s">
        <v>67</v>
      </c>
      <c r="D104" s="16">
        <v>2</v>
      </c>
      <c r="E104" s="16">
        <v>1</v>
      </c>
      <c r="F104" s="16">
        <f t="shared" si="17"/>
        <v>1</v>
      </c>
      <c r="G104" s="208"/>
      <c r="H104" s="17">
        <f t="shared" si="18"/>
        <v>0</v>
      </c>
      <c r="I104" s="17">
        <f t="shared" si="19"/>
        <v>0</v>
      </c>
    </row>
    <row r="105" spans="1:9" s="646" customFormat="1" ht="12">
      <c r="A105" s="643" t="s">
        <v>567</v>
      </c>
      <c r="B105" s="647" t="s">
        <v>2415</v>
      </c>
      <c r="C105" s="645" t="s">
        <v>67</v>
      </c>
      <c r="D105" s="16">
        <v>1</v>
      </c>
      <c r="E105" s="16"/>
      <c r="F105" s="16">
        <f t="shared" si="17"/>
        <v>1</v>
      </c>
      <c r="G105" s="208"/>
      <c r="H105" s="17">
        <f t="shared" si="18"/>
        <v>0</v>
      </c>
      <c r="I105" s="17">
        <f t="shared" si="19"/>
        <v>0</v>
      </c>
    </row>
    <row r="106" spans="1:9" s="646" customFormat="1" ht="12">
      <c r="A106" s="643" t="s">
        <v>568</v>
      </c>
      <c r="B106" s="647" t="s">
        <v>2416</v>
      </c>
      <c r="C106" s="645" t="s">
        <v>67</v>
      </c>
      <c r="D106" s="16">
        <v>1</v>
      </c>
      <c r="E106" s="16"/>
      <c r="F106" s="16">
        <f t="shared" si="17"/>
        <v>1</v>
      </c>
      <c r="G106" s="208"/>
      <c r="H106" s="17">
        <f t="shared" si="18"/>
        <v>0</v>
      </c>
      <c r="I106" s="17">
        <f t="shared" si="19"/>
        <v>0</v>
      </c>
    </row>
    <row r="107" spans="1:9" s="646" customFormat="1" ht="12">
      <c r="A107" s="643" t="s">
        <v>569</v>
      </c>
      <c r="B107" s="647" t="s">
        <v>2417</v>
      </c>
      <c r="C107" s="645" t="s">
        <v>67</v>
      </c>
      <c r="D107" s="16">
        <v>1</v>
      </c>
      <c r="E107" s="16"/>
      <c r="F107" s="16">
        <f t="shared" si="17"/>
        <v>1</v>
      </c>
      <c r="G107" s="208"/>
      <c r="H107" s="17">
        <f t="shared" si="18"/>
        <v>0</v>
      </c>
      <c r="I107" s="17">
        <f t="shared" si="19"/>
        <v>0</v>
      </c>
    </row>
    <row r="108" spans="1:9" s="646" customFormat="1" ht="12">
      <c r="A108" s="643" t="s">
        <v>1628</v>
      </c>
      <c r="B108" s="647" t="s">
        <v>2418</v>
      </c>
      <c r="C108" s="645" t="s">
        <v>67</v>
      </c>
      <c r="D108" s="16">
        <v>1</v>
      </c>
      <c r="E108" s="16"/>
      <c r="F108" s="16">
        <f t="shared" si="17"/>
        <v>1</v>
      </c>
      <c r="G108" s="208"/>
      <c r="H108" s="17">
        <f t="shared" si="18"/>
        <v>0</v>
      </c>
      <c r="I108" s="17">
        <f t="shared" si="19"/>
        <v>0</v>
      </c>
    </row>
    <row r="109" spans="1:9" s="646" customFormat="1" ht="12">
      <c r="A109" s="643" t="s">
        <v>1629</v>
      </c>
      <c r="B109" s="647" t="s">
        <v>2419</v>
      </c>
      <c r="C109" s="645" t="s">
        <v>67</v>
      </c>
      <c r="D109" s="16">
        <v>1</v>
      </c>
      <c r="E109" s="16"/>
      <c r="F109" s="16">
        <f t="shared" si="17"/>
        <v>1</v>
      </c>
      <c r="G109" s="208"/>
      <c r="H109" s="17">
        <f t="shared" si="18"/>
        <v>0</v>
      </c>
      <c r="I109" s="17">
        <f t="shared" si="19"/>
        <v>0</v>
      </c>
    </row>
    <row r="110" spans="1:9" s="646" customFormat="1" ht="12">
      <c r="A110" s="643" t="s">
        <v>1630</v>
      </c>
      <c r="B110" s="647" t="s">
        <v>2420</v>
      </c>
      <c r="C110" s="645" t="s">
        <v>67</v>
      </c>
      <c r="D110" s="16">
        <v>1</v>
      </c>
      <c r="E110" s="16"/>
      <c r="F110" s="16">
        <f t="shared" si="17"/>
        <v>1</v>
      </c>
      <c r="G110" s="208"/>
      <c r="H110" s="17">
        <f t="shared" si="18"/>
        <v>0</v>
      </c>
      <c r="I110" s="17">
        <f t="shared" si="19"/>
        <v>0</v>
      </c>
    </row>
    <row r="111" spans="1:9" s="646" customFormat="1" ht="12">
      <c r="A111" s="643" t="s">
        <v>1631</v>
      </c>
      <c r="B111" s="647" t="s">
        <v>2421</v>
      </c>
      <c r="C111" s="645" t="s">
        <v>67</v>
      </c>
      <c r="D111" s="16">
        <v>2</v>
      </c>
      <c r="E111" s="16"/>
      <c r="F111" s="16">
        <f t="shared" si="17"/>
        <v>2</v>
      </c>
      <c r="G111" s="208"/>
      <c r="H111" s="17">
        <f t="shared" si="18"/>
        <v>0</v>
      </c>
      <c r="I111" s="17">
        <f t="shared" si="19"/>
        <v>0</v>
      </c>
    </row>
    <row r="112" spans="1:9" s="646" customFormat="1" ht="12">
      <c r="A112" s="643" t="s">
        <v>1632</v>
      </c>
      <c r="B112" s="647" t="s">
        <v>2422</v>
      </c>
      <c r="C112" s="645" t="s">
        <v>67</v>
      </c>
      <c r="D112" s="16">
        <v>2</v>
      </c>
      <c r="E112" s="16"/>
      <c r="F112" s="16">
        <f t="shared" si="17"/>
        <v>2</v>
      </c>
      <c r="G112" s="208"/>
      <c r="H112" s="17">
        <f t="shared" si="18"/>
        <v>0</v>
      </c>
      <c r="I112" s="17">
        <f t="shared" si="19"/>
        <v>0</v>
      </c>
    </row>
    <row r="113" spans="1:9" s="646" customFormat="1" ht="12">
      <c r="A113" s="643" t="s">
        <v>1633</v>
      </c>
      <c r="B113" s="647" t="s">
        <v>2423</v>
      </c>
      <c r="C113" s="645" t="s">
        <v>67</v>
      </c>
      <c r="D113" s="16">
        <v>1</v>
      </c>
      <c r="E113" s="16"/>
      <c r="F113" s="16">
        <f t="shared" si="17"/>
        <v>1</v>
      </c>
      <c r="G113" s="208"/>
      <c r="H113" s="17">
        <f t="shared" si="18"/>
        <v>0</v>
      </c>
      <c r="I113" s="17">
        <f t="shared" si="19"/>
        <v>0</v>
      </c>
    </row>
    <row r="114" spans="1:9" s="646" customFormat="1" ht="12">
      <c r="A114" s="643" t="s">
        <v>1634</v>
      </c>
      <c r="B114" s="647" t="s">
        <v>2424</v>
      </c>
      <c r="C114" s="645" t="s">
        <v>67</v>
      </c>
      <c r="D114" s="16">
        <v>2</v>
      </c>
      <c r="E114" s="16"/>
      <c r="F114" s="16">
        <f t="shared" si="17"/>
        <v>2</v>
      </c>
      <c r="G114" s="208"/>
      <c r="H114" s="17">
        <f t="shared" si="18"/>
        <v>0</v>
      </c>
      <c r="I114" s="17">
        <f t="shared" si="19"/>
        <v>0</v>
      </c>
    </row>
    <row r="115" spans="1:9" s="646" customFormat="1" ht="12">
      <c r="A115" s="643" t="s">
        <v>1635</v>
      </c>
      <c r="B115" s="647" t="s">
        <v>2425</v>
      </c>
      <c r="C115" s="645" t="s">
        <v>67</v>
      </c>
      <c r="D115" s="16">
        <v>2</v>
      </c>
      <c r="E115" s="16"/>
      <c r="F115" s="16">
        <f t="shared" si="17"/>
        <v>2</v>
      </c>
      <c r="G115" s="208"/>
      <c r="H115" s="17">
        <f t="shared" si="18"/>
        <v>0</v>
      </c>
      <c r="I115" s="17">
        <f t="shared" si="19"/>
        <v>0</v>
      </c>
    </row>
    <row r="116" spans="1:9" s="646" customFormat="1" ht="12">
      <c r="A116" s="643" t="s">
        <v>1636</v>
      </c>
      <c r="B116" s="647" t="s">
        <v>2426</v>
      </c>
      <c r="C116" s="645" t="s">
        <v>67</v>
      </c>
      <c r="D116" s="16">
        <v>1</v>
      </c>
      <c r="E116" s="16"/>
      <c r="F116" s="16">
        <f t="shared" si="17"/>
        <v>1</v>
      </c>
      <c r="G116" s="208"/>
      <c r="H116" s="17">
        <f t="shared" si="18"/>
        <v>0</v>
      </c>
      <c r="I116" s="17">
        <f t="shared" si="19"/>
        <v>0</v>
      </c>
    </row>
    <row r="117" spans="1:9" s="646" customFormat="1" ht="12">
      <c r="A117" s="643" t="s">
        <v>1637</v>
      </c>
      <c r="B117" s="647" t="s">
        <v>2427</v>
      </c>
      <c r="C117" s="645" t="s">
        <v>67</v>
      </c>
      <c r="D117" s="16">
        <v>1</v>
      </c>
      <c r="E117" s="16"/>
      <c r="F117" s="16">
        <f t="shared" si="17"/>
        <v>1</v>
      </c>
      <c r="G117" s="208"/>
      <c r="H117" s="17">
        <f t="shared" si="18"/>
        <v>0</v>
      </c>
      <c r="I117" s="17">
        <f t="shared" si="19"/>
        <v>0</v>
      </c>
    </row>
    <row r="118" spans="1:9" s="646" customFormat="1" ht="12">
      <c r="A118" s="643" t="s">
        <v>1638</v>
      </c>
      <c r="B118" s="647" t="s">
        <v>2428</v>
      </c>
      <c r="C118" s="645" t="s">
        <v>67</v>
      </c>
      <c r="D118" s="16">
        <v>2</v>
      </c>
      <c r="E118" s="16"/>
      <c r="F118" s="16">
        <f t="shared" si="17"/>
        <v>2</v>
      </c>
      <c r="G118" s="208"/>
      <c r="H118" s="17">
        <f t="shared" si="18"/>
        <v>0</v>
      </c>
      <c r="I118" s="17">
        <f t="shared" si="19"/>
        <v>0</v>
      </c>
    </row>
    <row r="119" spans="1:9" s="646" customFormat="1" ht="12">
      <c r="A119" s="643" t="s">
        <v>1639</v>
      </c>
      <c r="B119" s="647" t="s">
        <v>2429</v>
      </c>
      <c r="C119" s="645" t="s">
        <v>67</v>
      </c>
      <c r="D119" s="16">
        <v>1</v>
      </c>
      <c r="E119" s="16"/>
      <c r="F119" s="16">
        <f t="shared" si="17"/>
        <v>1</v>
      </c>
      <c r="G119" s="208"/>
      <c r="H119" s="17">
        <f t="shared" si="18"/>
        <v>0</v>
      </c>
      <c r="I119" s="17">
        <f t="shared" si="19"/>
        <v>0</v>
      </c>
    </row>
    <row r="120" spans="1:9" s="646" customFormat="1" ht="12">
      <c r="A120" s="643" t="s">
        <v>1640</v>
      </c>
      <c r="B120" s="647" t="s">
        <v>2430</v>
      </c>
      <c r="C120" s="645" t="s">
        <v>67</v>
      </c>
      <c r="D120" s="16">
        <v>2</v>
      </c>
      <c r="E120" s="16"/>
      <c r="F120" s="16">
        <f t="shared" si="17"/>
        <v>2</v>
      </c>
      <c r="G120" s="208"/>
      <c r="H120" s="17">
        <f t="shared" si="18"/>
        <v>0</v>
      </c>
      <c r="I120" s="17">
        <f t="shared" si="19"/>
        <v>0</v>
      </c>
    </row>
    <row r="121" spans="1:9" s="646" customFormat="1" ht="12">
      <c r="A121" s="643" t="s">
        <v>1641</v>
      </c>
      <c r="B121" s="647" t="s">
        <v>2431</v>
      </c>
      <c r="C121" s="645" t="s">
        <v>67</v>
      </c>
      <c r="D121" s="16">
        <v>1</v>
      </c>
      <c r="E121" s="16"/>
      <c r="F121" s="16">
        <f t="shared" si="17"/>
        <v>1</v>
      </c>
      <c r="G121" s="208"/>
      <c r="H121" s="17">
        <f t="shared" si="18"/>
        <v>0</v>
      </c>
      <c r="I121" s="17">
        <f t="shared" si="19"/>
        <v>0</v>
      </c>
    </row>
    <row r="122" spans="1:9" s="646" customFormat="1" ht="12">
      <c r="A122" s="643" t="s">
        <v>1642</v>
      </c>
      <c r="B122" s="647" t="s">
        <v>2432</v>
      </c>
      <c r="C122" s="645" t="s">
        <v>67</v>
      </c>
      <c r="D122" s="16">
        <v>1</v>
      </c>
      <c r="E122" s="16"/>
      <c r="F122" s="16">
        <f t="shared" si="17"/>
        <v>1</v>
      </c>
      <c r="G122" s="208"/>
      <c r="H122" s="17">
        <f t="shared" si="18"/>
        <v>0</v>
      </c>
      <c r="I122" s="17">
        <f t="shared" si="19"/>
        <v>0</v>
      </c>
    </row>
    <row r="123" spans="1:9" s="646" customFormat="1" ht="12">
      <c r="A123" s="643" t="s">
        <v>1643</v>
      </c>
      <c r="B123" s="647" t="s">
        <v>2433</v>
      </c>
      <c r="C123" s="645" t="s">
        <v>67</v>
      </c>
      <c r="D123" s="16">
        <v>1</v>
      </c>
      <c r="E123" s="16"/>
      <c r="F123" s="16">
        <f t="shared" si="17"/>
        <v>1</v>
      </c>
      <c r="G123" s="208"/>
      <c r="H123" s="17">
        <f t="shared" si="18"/>
        <v>0</v>
      </c>
      <c r="I123" s="17">
        <f t="shared" si="19"/>
        <v>0</v>
      </c>
    </row>
    <row r="124" spans="1:9" s="646" customFormat="1" ht="12">
      <c r="A124" s="643" t="s">
        <v>1644</v>
      </c>
      <c r="B124" s="647" t="s">
        <v>2434</v>
      </c>
      <c r="C124" s="645" t="s">
        <v>67</v>
      </c>
      <c r="D124" s="16">
        <v>2</v>
      </c>
      <c r="E124" s="16"/>
      <c r="F124" s="16">
        <f t="shared" si="17"/>
        <v>2</v>
      </c>
      <c r="G124" s="208"/>
      <c r="H124" s="17">
        <f t="shared" si="18"/>
        <v>0</v>
      </c>
      <c r="I124" s="17">
        <f t="shared" si="19"/>
        <v>0</v>
      </c>
    </row>
    <row r="125" spans="1:9" s="646" customFormat="1" ht="12">
      <c r="A125" s="643" t="s">
        <v>1645</v>
      </c>
      <c r="B125" s="647" t="s">
        <v>2435</v>
      </c>
      <c r="C125" s="645" t="s">
        <v>67</v>
      </c>
      <c r="D125" s="16">
        <v>2</v>
      </c>
      <c r="E125" s="16">
        <v>2</v>
      </c>
      <c r="F125" s="16">
        <f t="shared" si="17"/>
        <v>0</v>
      </c>
      <c r="G125" s="208"/>
      <c r="H125" s="17">
        <f t="shared" si="18"/>
        <v>0</v>
      </c>
      <c r="I125" s="17">
        <f t="shared" si="19"/>
        <v>0</v>
      </c>
    </row>
    <row r="126" spans="1:9" s="646" customFormat="1" ht="12">
      <c r="A126" s="643" t="s">
        <v>1646</v>
      </c>
      <c r="B126" s="647" t="s">
        <v>2436</v>
      </c>
      <c r="C126" s="645" t="s">
        <v>67</v>
      </c>
      <c r="D126" s="16">
        <v>2</v>
      </c>
      <c r="E126" s="16">
        <v>2</v>
      </c>
      <c r="F126" s="16">
        <f t="shared" si="17"/>
        <v>0</v>
      </c>
      <c r="G126" s="208"/>
      <c r="H126" s="17">
        <f t="shared" si="18"/>
        <v>0</v>
      </c>
      <c r="I126" s="17">
        <f t="shared" si="19"/>
        <v>0</v>
      </c>
    </row>
    <row r="127" spans="1:9" s="646" customFormat="1" ht="12">
      <c r="A127" s="643" t="s">
        <v>1647</v>
      </c>
      <c r="B127" s="647" t="s">
        <v>2437</v>
      </c>
      <c r="C127" s="645" t="s">
        <v>67</v>
      </c>
      <c r="D127" s="16">
        <v>1</v>
      </c>
      <c r="E127" s="16">
        <v>1</v>
      </c>
      <c r="F127" s="16">
        <f t="shared" si="17"/>
        <v>0</v>
      </c>
      <c r="G127" s="208"/>
      <c r="H127" s="17">
        <f t="shared" si="18"/>
        <v>0</v>
      </c>
      <c r="I127" s="17">
        <f t="shared" si="19"/>
        <v>0</v>
      </c>
    </row>
    <row r="128" spans="1:9" s="646" customFormat="1" ht="12">
      <c r="A128" s="643" t="s">
        <v>1648</v>
      </c>
      <c r="B128" s="647" t="s">
        <v>2438</v>
      </c>
      <c r="C128" s="645" t="s">
        <v>67</v>
      </c>
      <c r="D128" s="16">
        <v>2</v>
      </c>
      <c r="E128" s="16"/>
      <c r="F128" s="16">
        <f t="shared" si="17"/>
        <v>2</v>
      </c>
      <c r="G128" s="208"/>
      <c r="H128" s="17">
        <f t="shared" si="18"/>
        <v>0</v>
      </c>
      <c r="I128" s="17">
        <f t="shared" si="19"/>
        <v>0</v>
      </c>
    </row>
    <row r="129" spans="1:9" s="646" customFormat="1" ht="12">
      <c r="A129" s="643" t="s">
        <v>1649</v>
      </c>
      <c r="B129" s="647" t="s">
        <v>2439</v>
      </c>
      <c r="C129" s="645" t="s">
        <v>67</v>
      </c>
      <c r="D129" s="16">
        <v>2</v>
      </c>
      <c r="E129" s="16"/>
      <c r="F129" s="16">
        <f t="shared" si="17"/>
        <v>2</v>
      </c>
      <c r="G129" s="208"/>
      <c r="H129" s="17">
        <f t="shared" si="18"/>
        <v>0</v>
      </c>
      <c r="I129" s="17">
        <f t="shared" si="19"/>
        <v>0</v>
      </c>
    </row>
    <row r="130" spans="1:9" s="646" customFormat="1" ht="12">
      <c r="A130" s="643" t="s">
        <v>1650</v>
      </c>
      <c r="B130" s="647" t="s">
        <v>2440</v>
      </c>
      <c r="C130" s="645" t="s">
        <v>67</v>
      </c>
      <c r="D130" s="16">
        <v>1</v>
      </c>
      <c r="E130" s="16"/>
      <c r="F130" s="16">
        <f t="shared" si="17"/>
        <v>1</v>
      </c>
      <c r="G130" s="208"/>
      <c r="H130" s="17">
        <f t="shared" si="18"/>
        <v>0</v>
      </c>
      <c r="I130" s="17">
        <f t="shared" si="19"/>
        <v>0</v>
      </c>
    </row>
    <row r="131" spans="1:9" s="646" customFormat="1" ht="12">
      <c r="A131" s="643" t="s">
        <v>1651</v>
      </c>
      <c r="B131" s="647" t="s">
        <v>2441</v>
      </c>
      <c r="C131" s="645" t="s">
        <v>67</v>
      </c>
      <c r="D131" s="16">
        <v>1</v>
      </c>
      <c r="E131" s="16"/>
      <c r="F131" s="16">
        <f t="shared" si="17"/>
        <v>1</v>
      </c>
      <c r="G131" s="208"/>
      <c r="H131" s="17">
        <f t="shared" si="18"/>
        <v>0</v>
      </c>
      <c r="I131" s="17">
        <f t="shared" si="19"/>
        <v>0</v>
      </c>
    </row>
    <row r="132" spans="1:9" s="642" customFormat="1" ht="12">
      <c r="A132" s="639" t="s">
        <v>570</v>
      </c>
      <c r="B132" s="640" t="s">
        <v>1652</v>
      </c>
      <c r="C132" s="641"/>
      <c r="D132" s="83"/>
      <c r="E132" s="83"/>
      <c r="F132" s="83"/>
      <c r="G132" s="207"/>
      <c r="H132" s="84"/>
      <c r="I132" s="84"/>
    </row>
    <row r="133" spans="1:9" s="646" customFormat="1" ht="12">
      <c r="A133" s="643" t="s">
        <v>571</v>
      </c>
      <c r="B133" s="647" t="s">
        <v>1653</v>
      </c>
      <c r="C133" s="645" t="s">
        <v>67</v>
      </c>
      <c r="D133" s="16">
        <v>46</v>
      </c>
      <c r="E133" s="16"/>
      <c r="F133" s="16">
        <f>D133-E133</f>
        <v>46</v>
      </c>
      <c r="G133" s="208"/>
      <c r="H133" s="17">
        <f t="shared" ref="H133:I135" si="20">E133*$G133</f>
        <v>0</v>
      </c>
      <c r="I133" s="17">
        <f t="shared" si="20"/>
        <v>0</v>
      </c>
    </row>
    <row r="134" spans="1:9" s="646" customFormat="1" ht="12">
      <c r="A134" s="643" t="s">
        <v>1656</v>
      </c>
      <c r="B134" s="647" t="s">
        <v>1654</v>
      </c>
      <c r="C134" s="645" t="s">
        <v>67</v>
      </c>
      <c r="D134" s="16">
        <v>46</v>
      </c>
      <c r="E134" s="16"/>
      <c r="F134" s="16">
        <f>D134-E134</f>
        <v>46</v>
      </c>
      <c r="G134" s="208"/>
      <c r="H134" s="17">
        <f t="shared" si="20"/>
        <v>0</v>
      </c>
      <c r="I134" s="17">
        <f t="shared" si="20"/>
        <v>0</v>
      </c>
    </row>
    <row r="135" spans="1:9" s="646" customFormat="1" ht="12">
      <c r="A135" s="643" t="s">
        <v>1657</v>
      </c>
      <c r="B135" s="647" t="s">
        <v>1655</v>
      </c>
      <c r="C135" s="645" t="s">
        <v>67</v>
      </c>
      <c r="D135" s="16">
        <v>46</v>
      </c>
      <c r="E135" s="16"/>
      <c r="F135" s="16">
        <f>D135-E135</f>
        <v>46</v>
      </c>
      <c r="G135" s="208"/>
      <c r="H135" s="17">
        <f t="shared" si="20"/>
        <v>0</v>
      </c>
      <c r="I135" s="17">
        <f t="shared" si="20"/>
        <v>0</v>
      </c>
    </row>
    <row r="136" spans="1:9" s="642" customFormat="1" ht="12">
      <c r="A136" s="639" t="s">
        <v>575</v>
      </c>
      <c r="B136" s="649" t="s">
        <v>324</v>
      </c>
      <c r="C136" s="641"/>
      <c r="D136" s="83"/>
      <c r="E136" s="83"/>
      <c r="F136" s="83"/>
      <c r="G136" s="207"/>
      <c r="H136" s="84"/>
      <c r="I136" s="84"/>
    </row>
    <row r="137" spans="1:9" s="642" customFormat="1" ht="12">
      <c r="A137" s="639" t="s">
        <v>576</v>
      </c>
      <c r="B137" s="640" t="s">
        <v>325</v>
      </c>
      <c r="C137" s="641"/>
      <c r="D137" s="83"/>
      <c r="E137" s="83"/>
      <c r="F137" s="83"/>
      <c r="G137" s="207"/>
      <c r="H137" s="84"/>
      <c r="I137" s="84"/>
    </row>
    <row r="138" spans="1:9" s="646" customFormat="1" ht="12">
      <c r="A138" s="643" t="s">
        <v>1660</v>
      </c>
      <c r="B138" s="647" t="s">
        <v>326</v>
      </c>
      <c r="C138" s="645" t="s">
        <v>67</v>
      </c>
      <c r="D138" s="16">
        <v>12</v>
      </c>
      <c r="E138" s="16">
        <f>E104</f>
        <v>1</v>
      </c>
      <c r="F138" s="16">
        <f t="shared" ref="F138:F143" si="21">D138-E138</f>
        <v>11</v>
      </c>
      <c r="G138" s="208"/>
      <c r="H138" s="17">
        <f t="shared" ref="H138:H143" si="22">E138*$G138</f>
        <v>0</v>
      </c>
      <c r="I138" s="17">
        <f t="shared" ref="I138:I143" si="23">F138*$G138</f>
        <v>0</v>
      </c>
    </row>
    <row r="139" spans="1:9" s="646" customFormat="1" ht="12">
      <c r="A139" s="643" t="s">
        <v>1668</v>
      </c>
      <c r="B139" s="647" t="s">
        <v>1658</v>
      </c>
      <c r="C139" s="645" t="s">
        <v>67</v>
      </c>
      <c r="D139" s="16">
        <v>10</v>
      </c>
      <c r="E139" s="16">
        <f>E102+E125+E126+E127</f>
        <v>6</v>
      </c>
      <c r="F139" s="16">
        <f t="shared" si="21"/>
        <v>4</v>
      </c>
      <c r="G139" s="208"/>
      <c r="H139" s="17">
        <f t="shared" si="22"/>
        <v>0</v>
      </c>
      <c r="I139" s="17">
        <f t="shared" si="23"/>
        <v>0</v>
      </c>
    </row>
    <row r="140" spans="1:9" s="646" customFormat="1" ht="12">
      <c r="A140" s="643" t="s">
        <v>1669</v>
      </c>
      <c r="B140" s="647" t="s">
        <v>1664</v>
      </c>
      <c r="C140" s="645" t="s">
        <v>67</v>
      </c>
      <c r="D140" s="16">
        <v>22</v>
      </c>
      <c r="E140" s="16">
        <f>SUM(E138:E139)</f>
        <v>7</v>
      </c>
      <c r="F140" s="16">
        <f t="shared" si="21"/>
        <v>15</v>
      </c>
      <c r="G140" s="208"/>
      <c r="H140" s="17">
        <f t="shared" si="22"/>
        <v>0</v>
      </c>
      <c r="I140" s="17">
        <f t="shared" si="23"/>
        <v>0</v>
      </c>
    </row>
    <row r="141" spans="1:9" s="646" customFormat="1" ht="12">
      <c r="A141" s="643" t="s">
        <v>1670</v>
      </c>
      <c r="B141" s="647" t="s">
        <v>560</v>
      </c>
      <c r="C141" s="645" t="s">
        <v>67</v>
      </c>
      <c r="D141" s="16">
        <v>22</v>
      </c>
      <c r="E141" s="16">
        <f>E140</f>
        <v>7</v>
      </c>
      <c r="F141" s="16">
        <f t="shared" si="21"/>
        <v>15</v>
      </c>
      <c r="G141" s="208"/>
      <c r="H141" s="17">
        <f t="shared" si="22"/>
        <v>0</v>
      </c>
      <c r="I141" s="17">
        <f t="shared" si="23"/>
        <v>0</v>
      </c>
    </row>
    <row r="142" spans="1:9" s="646" customFormat="1" ht="12">
      <c r="A142" s="643" t="s">
        <v>1671</v>
      </c>
      <c r="B142" s="647" t="s">
        <v>328</v>
      </c>
      <c r="C142" s="645" t="s">
        <v>67</v>
      </c>
      <c r="D142" s="16">
        <v>44</v>
      </c>
      <c r="E142" s="16">
        <f>E141*2</f>
        <v>14</v>
      </c>
      <c r="F142" s="16">
        <f t="shared" si="21"/>
        <v>30</v>
      </c>
      <c r="G142" s="208"/>
      <c r="H142" s="17">
        <f t="shared" si="22"/>
        <v>0</v>
      </c>
      <c r="I142" s="17">
        <f t="shared" si="23"/>
        <v>0</v>
      </c>
    </row>
    <row r="143" spans="1:9" s="646" customFormat="1" ht="12">
      <c r="A143" s="643" t="s">
        <v>1672</v>
      </c>
      <c r="B143" s="647" t="s">
        <v>1659</v>
      </c>
      <c r="C143" s="645" t="s">
        <v>67</v>
      </c>
      <c r="D143" s="16">
        <v>1</v>
      </c>
      <c r="E143" s="16"/>
      <c r="F143" s="16">
        <f t="shared" si="21"/>
        <v>1</v>
      </c>
      <c r="G143" s="208"/>
      <c r="H143" s="17">
        <f t="shared" si="22"/>
        <v>0</v>
      </c>
      <c r="I143" s="17">
        <f t="shared" si="23"/>
        <v>0</v>
      </c>
    </row>
    <row r="144" spans="1:9" s="642" customFormat="1" ht="12">
      <c r="A144" s="639" t="s">
        <v>1661</v>
      </c>
      <c r="B144" s="640" t="s">
        <v>1663</v>
      </c>
      <c r="C144" s="641"/>
      <c r="D144" s="83"/>
      <c r="E144" s="83"/>
      <c r="F144" s="83"/>
      <c r="G144" s="207"/>
      <c r="H144" s="84"/>
      <c r="I144" s="84"/>
    </row>
    <row r="145" spans="1:9" s="646" customFormat="1" ht="12">
      <c r="A145" s="643" t="s">
        <v>1662</v>
      </c>
      <c r="B145" s="647" t="s">
        <v>326</v>
      </c>
      <c r="C145" s="645" t="s">
        <v>67</v>
      </c>
      <c r="D145" s="16">
        <v>7</v>
      </c>
      <c r="E145" s="16"/>
      <c r="F145" s="16">
        <f>D145-E145</f>
        <v>7</v>
      </c>
      <c r="G145" s="208"/>
      <c r="H145" s="17">
        <f t="shared" ref="H145:I149" si="24">E145*$G145</f>
        <v>0</v>
      </c>
      <c r="I145" s="17">
        <f t="shared" si="24"/>
        <v>0</v>
      </c>
    </row>
    <row r="146" spans="1:9" s="646" customFormat="1" ht="12">
      <c r="A146" s="643" t="s">
        <v>1673</v>
      </c>
      <c r="B146" s="647" t="s">
        <v>1658</v>
      </c>
      <c r="C146" s="645" t="s">
        <v>67</v>
      </c>
      <c r="D146" s="16">
        <v>15</v>
      </c>
      <c r="E146" s="16"/>
      <c r="F146" s="16">
        <f>D146-E146</f>
        <v>15</v>
      </c>
      <c r="G146" s="208"/>
      <c r="H146" s="17">
        <f t="shared" si="24"/>
        <v>0</v>
      </c>
      <c r="I146" s="17">
        <f t="shared" si="24"/>
        <v>0</v>
      </c>
    </row>
    <row r="147" spans="1:9" s="646" customFormat="1" ht="12">
      <c r="A147" s="643" t="s">
        <v>1674</v>
      </c>
      <c r="B147" s="647" t="s">
        <v>559</v>
      </c>
      <c r="C147" s="645" t="s">
        <v>67</v>
      </c>
      <c r="D147" s="16">
        <v>22</v>
      </c>
      <c r="E147" s="16"/>
      <c r="F147" s="16">
        <f>D147-E147</f>
        <v>22</v>
      </c>
      <c r="G147" s="208"/>
      <c r="H147" s="17">
        <f t="shared" si="24"/>
        <v>0</v>
      </c>
      <c r="I147" s="17">
        <f t="shared" si="24"/>
        <v>0</v>
      </c>
    </row>
    <row r="148" spans="1:9" s="646" customFormat="1" ht="12">
      <c r="A148" s="643" t="s">
        <v>1675</v>
      </c>
      <c r="B148" s="647" t="s">
        <v>560</v>
      </c>
      <c r="C148" s="645" t="s">
        <v>67</v>
      </c>
      <c r="D148" s="16">
        <v>22</v>
      </c>
      <c r="E148" s="16"/>
      <c r="F148" s="16">
        <f>D148-E148</f>
        <v>22</v>
      </c>
      <c r="G148" s="208"/>
      <c r="H148" s="17">
        <f t="shared" si="24"/>
        <v>0</v>
      </c>
      <c r="I148" s="17">
        <f t="shared" si="24"/>
        <v>0</v>
      </c>
    </row>
    <row r="149" spans="1:9" s="646" customFormat="1" ht="12">
      <c r="A149" s="643" t="s">
        <v>1676</v>
      </c>
      <c r="B149" s="647" t="s">
        <v>328</v>
      </c>
      <c r="C149" s="645" t="s">
        <v>67</v>
      </c>
      <c r="D149" s="16">
        <v>44</v>
      </c>
      <c r="E149" s="16"/>
      <c r="F149" s="16">
        <f>D149-E149</f>
        <v>44</v>
      </c>
      <c r="G149" s="208"/>
      <c r="H149" s="17">
        <f t="shared" si="24"/>
        <v>0</v>
      </c>
      <c r="I149" s="17">
        <f t="shared" si="24"/>
        <v>0</v>
      </c>
    </row>
    <row r="150" spans="1:9" s="642" customFormat="1" ht="12">
      <c r="A150" s="639" t="s">
        <v>1665</v>
      </c>
      <c r="B150" s="640" t="s">
        <v>327</v>
      </c>
      <c r="C150" s="641"/>
      <c r="D150" s="83"/>
      <c r="E150" s="83"/>
      <c r="F150" s="83"/>
      <c r="G150" s="207"/>
      <c r="H150" s="84"/>
      <c r="I150" s="84"/>
    </row>
    <row r="151" spans="1:9" s="646" customFormat="1" ht="24">
      <c r="A151" s="650" t="s">
        <v>1666</v>
      </c>
      <c r="B151" s="648" t="s">
        <v>2449</v>
      </c>
      <c r="C151" s="645" t="s">
        <v>67</v>
      </c>
      <c r="D151" s="16">
        <v>2</v>
      </c>
      <c r="E151" s="16"/>
      <c r="F151" s="16">
        <f>D151-E151</f>
        <v>2</v>
      </c>
      <c r="G151" s="208"/>
      <c r="H151" s="17">
        <f>E151*$G151</f>
        <v>0</v>
      </c>
      <c r="I151" s="17">
        <f>F151*$G151</f>
        <v>0</v>
      </c>
    </row>
    <row r="152" spans="1:9" s="646" customFormat="1" ht="12">
      <c r="A152" s="650" t="s">
        <v>1667</v>
      </c>
      <c r="B152" s="647" t="s">
        <v>328</v>
      </c>
      <c r="C152" s="645" t="s">
        <v>67</v>
      </c>
      <c r="D152" s="16">
        <v>4</v>
      </c>
      <c r="E152" s="16"/>
      <c r="F152" s="16">
        <f>D152-E152</f>
        <v>4</v>
      </c>
      <c r="G152" s="208"/>
      <c r="H152" s="17">
        <f>E152*$G152</f>
        <v>0</v>
      </c>
      <c r="I152" s="17">
        <f>F152*$G152</f>
        <v>0</v>
      </c>
    </row>
    <row r="153" spans="1:9" s="642" customFormat="1" ht="12">
      <c r="A153" s="639" t="s">
        <v>1677</v>
      </c>
      <c r="B153" s="640" t="s">
        <v>335</v>
      </c>
      <c r="C153" s="641"/>
      <c r="D153" s="83"/>
      <c r="E153" s="83"/>
      <c r="F153" s="83"/>
      <c r="G153" s="207"/>
      <c r="H153" s="84"/>
      <c r="I153" s="84"/>
    </row>
    <row r="154" spans="1:9" s="646" customFormat="1" ht="12">
      <c r="A154" s="643" t="s">
        <v>1678</v>
      </c>
      <c r="B154" s="647" t="s">
        <v>286</v>
      </c>
      <c r="C154" s="645" t="s">
        <v>67</v>
      </c>
      <c r="D154" s="16">
        <v>4</v>
      </c>
      <c r="E154" s="16"/>
      <c r="F154" s="16">
        <f t="shared" ref="F154:F161" si="25">D154-E154</f>
        <v>4</v>
      </c>
      <c r="G154" s="208"/>
      <c r="H154" s="17">
        <f t="shared" ref="H154:H161" si="26">E154*$G154</f>
        <v>0</v>
      </c>
      <c r="I154" s="17">
        <f t="shared" ref="I154:I161" si="27">F154*$G154</f>
        <v>0</v>
      </c>
    </row>
    <row r="155" spans="1:9" s="646" customFormat="1" ht="12">
      <c r="A155" s="643" t="s">
        <v>1680</v>
      </c>
      <c r="B155" s="647" t="s">
        <v>1679</v>
      </c>
      <c r="C155" s="645" t="s">
        <v>67</v>
      </c>
      <c r="D155" s="16">
        <v>4</v>
      </c>
      <c r="E155" s="16"/>
      <c r="F155" s="16">
        <f t="shared" si="25"/>
        <v>4</v>
      </c>
      <c r="G155" s="208"/>
      <c r="H155" s="17">
        <f t="shared" si="26"/>
        <v>0</v>
      </c>
      <c r="I155" s="17">
        <f t="shared" si="27"/>
        <v>0</v>
      </c>
    </row>
    <row r="156" spans="1:9" s="646" customFormat="1" ht="12">
      <c r="A156" s="643" t="s">
        <v>1681</v>
      </c>
      <c r="B156" s="647" t="s">
        <v>1687</v>
      </c>
      <c r="C156" s="645" t="s">
        <v>67</v>
      </c>
      <c r="D156" s="16">
        <v>1</v>
      </c>
      <c r="E156" s="16"/>
      <c r="F156" s="16">
        <f t="shared" si="25"/>
        <v>1</v>
      </c>
      <c r="G156" s="208"/>
      <c r="H156" s="17">
        <f t="shared" si="26"/>
        <v>0</v>
      </c>
      <c r="I156" s="17">
        <f t="shared" si="27"/>
        <v>0</v>
      </c>
    </row>
    <row r="157" spans="1:9" s="646" customFormat="1" ht="12">
      <c r="A157" s="643" t="s">
        <v>1682</v>
      </c>
      <c r="B157" s="647" t="s">
        <v>1688</v>
      </c>
      <c r="C157" s="645" t="s">
        <v>67</v>
      </c>
      <c r="D157" s="16">
        <v>1</v>
      </c>
      <c r="E157" s="16"/>
      <c r="F157" s="16">
        <f t="shared" si="25"/>
        <v>1</v>
      </c>
      <c r="G157" s="208"/>
      <c r="H157" s="17">
        <f t="shared" si="26"/>
        <v>0</v>
      </c>
      <c r="I157" s="17">
        <f t="shared" si="27"/>
        <v>0</v>
      </c>
    </row>
    <row r="158" spans="1:9" s="646" customFormat="1" ht="12">
      <c r="A158" s="643" t="s">
        <v>1683</v>
      </c>
      <c r="B158" s="647" t="s">
        <v>1689</v>
      </c>
      <c r="C158" s="645" t="s">
        <v>67</v>
      </c>
      <c r="D158" s="16">
        <v>2</v>
      </c>
      <c r="E158" s="16"/>
      <c r="F158" s="16">
        <f t="shared" si="25"/>
        <v>2</v>
      </c>
      <c r="G158" s="208"/>
      <c r="H158" s="17">
        <f t="shared" si="26"/>
        <v>0</v>
      </c>
      <c r="I158" s="17">
        <f t="shared" si="27"/>
        <v>0</v>
      </c>
    </row>
    <row r="159" spans="1:9" s="646" customFormat="1" ht="12">
      <c r="A159" s="643" t="s">
        <v>1684</v>
      </c>
      <c r="B159" s="647" t="s">
        <v>287</v>
      </c>
      <c r="C159" s="645" t="s">
        <v>67</v>
      </c>
      <c r="D159" s="16">
        <v>10</v>
      </c>
      <c r="E159" s="16"/>
      <c r="F159" s="16">
        <f t="shared" si="25"/>
        <v>10</v>
      </c>
      <c r="G159" s="208"/>
      <c r="H159" s="17">
        <f t="shared" si="26"/>
        <v>0</v>
      </c>
      <c r="I159" s="17">
        <f t="shared" si="27"/>
        <v>0</v>
      </c>
    </row>
    <row r="160" spans="1:9" s="646" customFormat="1" ht="12">
      <c r="A160" s="643" t="s">
        <v>1685</v>
      </c>
      <c r="B160" s="647" t="s">
        <v>1690</v>
      </c>
      <c r="C160" s="645" t="s">
        <v>67</v>
      </c>
      <c r="D160" s="16">
        <v>1</v>
      </c>
      <c r="E160" s="16"/>
      <c r="F160" s="16">
        <f t="shared" si="25"/>
        <v>1</v>
      </c>
      <c r="G160" s="208"/>
      <c r="H160" s="17">
        <f t="shared" si="26"/>
        <v>0</v>
      </c>
      <c r="I160" s="17">
        <f t="shared" si="27"/>
        <v>0</v>
      </c>
    </row>
    <row r="161" spans="1:9" s="646" customFormat="1" ht="12">
      <c r="A161" s="643" t="s">
        <v>1686</v>
      </c>
      <c r="B161" s="647" t="s">
        <v>1691</v>
      </c>
      <c r="C161" s="645" t="s">
        <v>67</v>
      </c>
      <c r="D161" s="16">
        <v>4</v>
      </c>
      <c r="E161" s="16"/>
      <c r="F161" s="16">
        <f t="shared" si="25"/>
        <v>4</v>
      </c>
      <c r="G161" s="208"/>
      <c r="H161" s="17">
        <f t="shared" si="26"/>
        <v>0</v>
      </c>
      <c r="I161" s="17">
        <f t="shared" si="27"/>
        <v>0</v>
      </c>
    </row>
    <row r="162" spans="1:9" s="642" customFormat="1" ht="12">
      <c r="A162" s="639" t="s">
        <v>1693</v>
      </c>
      <c r="B162" s="640" t="s">
        <v>338</v>
      </c>
      <c r="C162" s="641"/>
      <c r="D162" s="83"/>
      <c r="E162" s="83"/>
      <c r="F162" s="83"/>
      <c r="G162" s="207"/>
      <c r="H162" s="84"/>
      <c r="I162" s="84"/>
    </row>
    <row r="163" spans="1:9" s="646" customFormat="1" ht="12">
      <c r="A163" s="643" t="s">
        <v>1694</v>
      </c>
      <c r="B163" s="647" t="s">
        <v>339</v>
      </c>
      <c r="C163" s="645" t="s">
        <v>67</v>
      </c>
      <c r="D163" s="16">
        <v>2</v>
      </c>
      <c r="E163" s="16"/>
      <c r="F163" s="16">
        <f>D163-E163</f>
        <v>2</v>
      </c>
      <c r="G163" s="208"/>
      <c r="H163" s="17">
        <f>E163*$G163</f>
        <v>0</v>
      </c>
      <c r="I163" s="17">
        <f>F163*$G163</f>
        <v>0</v>
      </c>
    </row>
    <row r="164" spans="1:9" s="646" customFormat="1" ht="12">
      <c r="A164" s="643" t="s">
        <v>1695</v>
      </c>
      <c r="B164" s="647" t="s">
        <v>1692</v>
      </c>
      <c r="C164" s="645" t="s">
        <v>67</v>
      </c>
      <c r="D164" s="16">
        <v>4</v>
      </c>
      <c r="E164" s="16"/>
      <c r="F164" s="16">
        <f>D164-E164</f>
        <v>4</v>
      </c>
      <c r="G164" s="208"/>
      <c r="H164" s="17">
        <f>E164*$G164</f>
        <v>0</v>
      </c>
      <c r="I164" s="17">
        <f>F164*$G164</f>
        <v>0</v>
      </c>
    </row>
    <row r="165" spans="1:9" s="642" customFormat="1" ht="12">
      <c r="A165" s="639" t="s">
        <v>1700</v>
      </c>
      <c r="B165" s="649" t="s">
        <v>1699</v>
      </c>
      <c r="C165" s="641"/>
      <c r="D165" s="83"/>
      <c r="E165" s="83"/>
      <c r="F165" s="83"/>
      <c r="G165" s="207"/>
      <c r="H165" s="84"/>
      <c r="I165" s="84"/>
    </row>
    <row r="166" spans="1:9" s="642" customFormat="1" ht="12">
      <c r="A166" s="639" t="s">
        <v>1701</v>
      </c>
      <c r="B166" s="640" t="s">
        <v>1705</v>
      </c>
      <c r="C166" s="641"/>
      <c r="D166" s="83"/>
      <c r="E166" s="83"/>
      <c r="F166" s="83"/>
      <c r="G166" s="207"/>
      <c r="H166" s="84"/>
      <c r="I166" s="84"/>
    </row>
    <row r="167" spans="1:9" s="646" customFormat="1" ht="12">
      <c r="A167" s="643" t="s">
        <v>1702</v>
      </c>
      <c r="B167" s="647" t="s">
        <v>1706</v>
      </c>
      <c r="C167" s="645" t="s">
        <v>68</v>
      </c>
      <c r="D167" s="16">
        <v>600</v>
      </c>
      <c r="E167" s="16">
        <f>33+90</f>
        <v>123</v>
      </c>
      <c r="F167" s="16">
        <f>D167-E167</f>
        <v>477</v>
      </c>
      <c r="G167" s="208"/>
      <c r="H167" s="17">
        <f t="shared" ref="H167:I169" si="28">E167*$G167</f>
        <v>0</v>
      </c>
      <c r="I167" s="17">
        <f t="shared" si="28"/>
        <v>0</v>
      </c>
    </row>
    <row r="168" spans="1:9" s="646" customFormat="1" ht="12">
      <c r="A168" s="643" t="s">
        <v>1709</v>
      </c>
      <c r="B168" s="647" t="s">
        <v>1707</v>
      </c>
      <c r="C168" s="645" t="s">
        <v>68</v>
      </c>
      <c r="D168" s="16">
        <v>10</v>
      </c>
      <c r="E168" s="16"/>
      <c r="F168" s="16">
        <f>D168-E168</f>
        <v>10</v>
      </c>
      <c r="G168" s="208"/>
      <c r="H168" s="17">
        <f t="shared" si="28"/>
        <v>0</v>
      </c>
      <c r="I168" s="17">
        <f t="shared" si="28"/>
        <v>0</v>
      </c>
    </row>
    <row r="169" spans="1:9" s="646" customFormat="1" ht="12">
      <c r="A169" s="643" t="s">
        <v>1710</v>
      </c>
      <c r="B169" s="647" t="s">
        <v>1708</v>
      </c>
      <c r="C169" s="645" t="s">
        <v>68</v>
      </c>
      <c r="D169" s="16">
        <v>100</v>
      </c>
      <c r="E169" s="16">
        <f>23+23</f>
        <v>46</v>
      </c>
      <c r="F169" s="16">
        <f>D169-E169</f>
        <v>54</v>
      </c>
      <c r="G169" s="208"/>
      <c r="H169" s="17">
        <f t="shared" si="28"/>
        <v>0</v>
      </c>
      <c r="I169" s="17">
        <f t="shared" si="28"/>
        <v>0</v>
      </c>
    </row>
    <row r="170" spans="1:9" s="642" customFormat="1" ht="12">
      <c r="A170" s="639" t="s">
        <v>1703</v>
      </c>
      <c r="B170" s="640" t="s">
        <v>1711</v>
      </c>
      <c r="C170" s="641"/>
      <c r="D170" s="83"/>
      <c r="E170" s="83"/>
      <c r="F170" s="83"/>
      <c r="G170" s="207"/>
      <c r="H170" s="84"/>
      <c r="I170" s="84"/>
    </row>
    <row r="171" spans="1:9" s="646" customFormat="1" ht="12">
      <c r="A171" s="643" t="s">
        <v>1704</v>
      </c>
      <c r="B171" s="647" t="s">
        <v>2442</v>
      </c>
      <c r="C171" s="645" t="s">
        <v>63</v>
      </c>
      <c r="D171" s="16">
        <v>130</v>
      </c>
      <c r="E171" s="16">
        <f>20+30</f>
        <v>50</v>
      </c>
      <c r="F171" s="16">
        <f>D171-E171</f>
        <v>80</v>
      </c>
      <c r="G171" s="208"/>
      <c r="H171" s="17">
        <f>E171*$G171</f>
        <v>0</v>
      </c>
      <c r="I171" s="17">
        <f>F171*$G171</f>
        <v>0</v>
      </c>
    </row>
    <row r="172" spans="1:9" s="642" customFormat="1" ht="12">
      <c r="A172" s="639" t="s">
        <v>1712</v>
      </c>
      <c r="B172" s="640" t="s">
        <v>1711</v>
      </c>
      <c r="C172" s="641"/>
      <c r="D172" s="83"/>
      <c r="E172" s="83"/>
      <c r="F172" s="83"/>
      <c r="G172" s="207"/>
      <c r="H172" s="84"/>
      <c r="I172" s="84"/>
    </row>
    <row r="173" spans="1:9" s="646" customFormat="1" ht="12">
      <c r="A173" s="643" t="s">
        <v>1713</v>
      </c>
      <c r="B173" s="647" t="s">
        <v>1714</v>
      </c>
      <c r="C173" s="645" t="s">
        <v>725</v>
      </c>
      <c r="D173" s="16">
        <v>30</v>
      </c>
      <c r="E173" s="16">
        <f>E171/25*10</f>
        <v>20</v>
      </c>
      <c r="F173" s="16">
        <f>D173-E173</f>
        <v>10</v>
      </c>
      <c r="G173" s="208"/>
      <c r="H173" s="17">
        <f>E173*$G173</f>
        <v>0</v>
      </c>
      <c r="I173" s="17">
        <f>F173*$G173</f>
        <v>0</v>
      </c>
    </row>
    <row r="174" spans="1:9" s="642" customFormat="1" ht="12">
      <c r="A174" s="639" t="s">
        <v>1715</v>
      </c>
      <c r="B174" s="640" t="s">
        <v>1705</v>
      </c>
      <c r="C174" s="641"/>
      <c r="D174" s="83"/>
      <c r="E174" s="83"/>
      <c r="F174" s="83"/>
      <c r="G174" s="207"/>
      <c r="H174" s="84"/>
      <c r="I174" s="84"/>
    </row>
    <row r="175" spans="1:9" s="646" customFormat="1" ht="24">
      <c r="A175" s="643" t="s">
        <v>1716</v>
      </c>
      <c r="B175" s="647" t="s">
        <v>1719</v>
      </c>
      <c r="C175" s="645" t="s">
        <v>67</v>
      </c>
      <c r="D175" s="16">
        <v>1</v>
      </c>
      <c r="E175" s="16"/>
      <c r="F175" s="16">
        <f>D175-E175</f>
        <v>1</v>
      </c>
      <c r="G175" s="208"/>
      <c r="H175" s="17">
        <f t="shared" ref="H175:I177" si="29">E175*$G175</f>
        <v>0</v>
      </c>
      <c r="I175" s="17">
        <f t="shared" si="29"/>
        <v>0</v>
      </c>
    </row>
    <row r="176" spans="1:9" s="646" customFormat="1" ht="12">
      <c r="A176" s="643" t="s">
        <v>1717</v>
      </c>
      <c r="B176" s="647" t="s">
        <v>1720</v>
      </c>
      <c r="C176" s="645" t="s">
        <v>67</v>
      </c>
      <c r="D176" s="16">
        <v>1</v>
      </c>
      <c r="E176" s="16"/>
      <c r="F176" s="16">
        <f>D176-E176</f>
        <v>1</v>
      </c>
      <c r="G176" s="208"/>
      <c r="H176" s="17">
        <f t="shared" si="29"/>
        <v>0</v>
      </c>
      <c r="I176" s="17">
        <f t="shared" si="29"/>
        <v>0</v>
      </c>
    </row>
    <row r="177" spans="1:9" s="646" customFormat="1" ht="12">
      <c r="A177" s="643" t="s">
        <v>1718</v>
      </c>
      <c r="B177" s="647" t="s">
        <v>1721</v>
      </c>
      <c r="C177" s="645" t="s">
        <v>67</v>
      </c>
      <c r="D177" s="16">
        <v>16</v>
      </c>
      <c r="E177" s="16"/>
      <c r="F177" s="16">
        <f>D177-E177</f>
        <v>16</v>
      </c>
      <c r="G177" s="208"/>
      <c r="H177" s="17">
        <f t="shared" si="29"/>
        <v>0</v>
      </c>
      <c r="I177" s="17">
        <f t="shared" si="29"/>
        <v>0</v>
      </c>
    </row>
    <row r="178" spans="1:9" s="642" customFormat="1" ht="12">
      <c r="A178" s="639" t="s">
        <v>1722</v>
      </c>
      <c r="B178" s="640" t="s">
        <v>1705</v>
      </c>
      <c r="C178" s="641"/>
      <c r="D178" s="83"/>
      <c r="E178" s="83"/>
      <c r="F178" s="83"/>
      <c r="G178" s="207"/>
      <c r="H178" s="84"/>
      <c r="I178" s="84"/>
    </row>
    <row r="179" spans="1:9" s="646" customFormat="1" ht="24">
      <c r="A179" s="643" t="s">
        <v>1723</v>
      </c>
      <c r="B179" s="647" t="s">
        <v>1726</v>
      </c>
      <c r="C179" s="645" t="s">
        <v>67</v>
      </c>
      <c r="D179" s="16">
        <v>7</v>
      </c>
      <c r="E179" s="16"/>
      <c r="F179" s="16">
        <f>D179-E179</f>
        <v>7</v>
      </c>
      <c r="G179" s="208"/>
      <c r="H179" s="17">
        <f t="shared" ref="H179:I181" si="30">E179*$G179</f>
        <v>0</v>
      </c>
      <c r="I179" s="17">
        <f t="shared" si="30"/>
        <v>0</v>
      </c>
    </row>
    <row r="180" spans="1:9" s="646" customFormat="1" ht="12">
      <c r="A180" s="643" t="s">
        <v>1724</v>
      </c>
      <c r="B180" s="647" t="s">
        <v>1727</v>
      </c>
      <c r="C180" s="645" t="s">
        <v>67</v>
      </c>
      <c r="D180" s="16">
        <v>1</v>
      </c>
      <c r="E180" s="16"/>
      <c r="F180" s="16">
        <f>D180-E180</f>
        <v>1</v>
      </c>
      <c r="G180" s="208"/>
      <c r="H180" s="17">
        <f t="shared" si="30"/>
        <v>0</v>
      </c>
      <c r="I180" s="17">
        <f t="shared" si="30"/>
        <v>0</v>
      </c>
    </row>
    <row r="181" spans="1:9" s="646" customFormat="1" ht="12">
      <c r="A181" s="643" t="s">
        <v>1725</v>
      </c>
      <c r="B181" s="647" t="s">
        <v>1728</v>
      </c>
      <c r="C181" s="645" t="s">
        <v>67</v>
      </c>
      <c r="D181" s="16">
        <v>7</v>
      </c>
      <c r="E181" s="16"/>
      <c r="F181" s="16">
        <f>D181-E181</f>
        <v>7</v>
      </c>
      <c r="G181" s="208"/>
      <c r="H181" s="17">
        <f t="shared" si="30"/>
        <v>0</v>
      </c>
      <c r="I181" s="17">
        <f t="shared" si="30"/>
        <v>0</v>
      </c>
    </row>
    <row r="182" spans="1:9" s="642" customFormat="1" ht="12">
      <c r="A182" s="639" t="s">
        <v>1526</v>
      </c>
      <c r="B182" s="640" t="s">
        <v>1518</v>
      </c>
      <c r="C182" s="641"/>
      <c r="D182" s="83"/>
      <c r="E182" s="83"/>
      <c r="F182" s="83"/>
      <c r="G182" s="207"/>
      <c r="H182" s="84"/>
      <c r="I182" s="84"/>
    </row>
    <row r="183" spans="1:9" s="646" customFormat="1" ht="12">
      <c r="A183" s="643" t="s">
        <v>1696</v>
      </c>
      <c r="B183" s="647" t="s">
        <v>583</v>
      </c>
      <c r="C183" s="645" t="s">
        <v>70</v>
      </c>
      <c r="D183" s="16">
        <f t="shared" ref="D183:D188" si="31">SUM(E183:F183)</f>
        <v>0</v>
      </c>
      <c r="E183" s="16">
        <f>H66</f>
        <v>0</v>
      </c>
      <c r="F183" s="16">
        <f>I66</f>
        <v>0</v>
      </c>
      <c r="G183" s="208"/>
      <c r="H183" s="17">
        <f t="shared" ref="H183:H193" si="32">E183*$G183</f>
        <v>0</v>
      </c>
      <c r="I183" s="17">
        <f t="shared" ref="I183:I193" si="33">F183*$G183</f>
        <v>0</v>
      </c>
    </row>
    <row r="184" spans="1:9" s="646" customFormat="1" ht="12">
      <c r="A184" s="643" t="s">
        <v>576</v>
      </c>
      <c r="B184" s="647" t="s">
        <v>584</v>
      </c>
      <c r="C184" s="645" t="s">
        <v>70</v>
      </c>
      <c r="D184" s="16">
        <f t="shared" si="31"/>
        <v>0</v>
      </c>
      <c r="E184" s="16">
        <f t="shared" ref="E184:F188" si="34">H67</f>
        <v>0</v>
      </c>
      <c r="F184" s="16">
        <f t="shared" si="34"/>
        <v>0</v>
      </c>
      <c r="G184" s="208"/>
      <c r="H184" s="17">
        <f t="shared" si="32"/>
        <v>0</v>
      </c>
      <c r="I184" s="17">
        <f t="shared" si="33"/>
        <v>0</v>
      </c>
    </row>
    <row r="185" spans="1:9" s="646" customFormat="1" ht="12">
      <c r="A185" s="643" t="s">
        <v>576</v>
      </c>
      <c r="B185" s="647" t="s">
        <v>585</v>
      </c>
      <c r="C185" s="645" t="s">
        <v>70</v>
      </c>
      <c r="D185" s="16">
        <f t="shared" si="31"/>
        <v>0</v>
      </c>
      <c r="E185" s="16">
        <f t="shared" si="34"/>
        <v>0</v>
      </c>
      <c r="F185" s="16">
        <f t="shared" si="34"/>
        <v>0</v>
      </c>
      <c r="G185" s="208"/>
      <c r="H185" s="17">
        <f t="shared" si="32"/>
        <v>0</v>
      </c>
      <c r="I185" s="17">
        <f t="shared" si="33"/>
        <v>0</v>
      </c>
    </row>
    <row r="186" spans="1:9" s="646" customFormat="1" ht="12">
      <c r="A186" s="643" t="s">
        <v>576</v>
      </c>
      <c r="B186" s="647" t="s">
        <v>586</v>
      </c>
      <c r="C186" s="645" t="s">
        <v>70</v>
      </c>
      <c r="D186" s="16">
        <f t="shared" si="31"/>
        <v>0</v>
      </c>
      <c r="E186" s="16">
        <f t="shared" si="34"/>
        <v>0</v>
      </c>
      <c r="F186" s="16">
        <f t="shared" si="34"/>
        <v>0</v>
      </c>
      <c r="G186" s="208"/>
      <c r="H186" s="17">
        <f t="shared" si="32"/>
        <v>0</v>
      </c>
      <c r="I186" s="17">
        <f t="shared" si="33"/>
        <v>0</v>
      </c>
    </row>
    <row r="187" spans="1:9" s="646" customFormat="1" ht="12">
      <c r="A187" s="643" t="s">
        <v>576</v>
      </c>
      <c r="B187" s="647" t="s">
        <v>1697</v>
      </c>
      <c r="C187" s="645" t="s">
        <v>70</v>
      </c>
      <c r="D187" s="16">
        <f t="shared" si="31"/>
        <v>0</v>
      </c>
      <c r="E187" s="16">
        <f t="shared" si="34"/>
        <v>0</v>
      </c>
      <c r="F187" s="16">
        <f t="shared" si="34"/>
        <v>0</v>
      </c>
      <c r="G187" s="208"/>
      <c r="H187" s="17">
        <f t="shared" si="32"/>
        <v>0</v>
      </c>
      <c r="I187" s="17">
        <f t="shared" si="33"/>
        <v>0</v>
      </c>
    </row>
    <row r="188" spans="1:9" s="646" customFormat="1" ht="12">
      <c r="A188" s="643" t="s">
        <v>576</v>
      </c>
      <c r="B188" s="647" t="s">
        <v>1698</v>
      </c>
      <c r="C188" s="645" t="s">
        <v>70</v>
      </c>
      <c r="D188" s="16">
        <f t="shared" si="31"/>
        <v>0</v>
      </c>
      <c r="E188" s="16">
        <f t="shared" si="34"/>
        <v>0</v>
      </c>
      <c r="F188" s="16">
        <f t="shared" si="34"/>
        <v>0</v>
      </c>
      <c r="G188" s="208"/>
      <c r="H188" s="17">
        <f t="shared" si="32"/>
        <v>0</v>
      </c>
      <c r="I188" s="17">
        <f t="shared" si="33"/>
        <v>0</v>
      </c>
    </row>
    <row r="189" spans="1:9" s="646" customFormat="1" ht="12">
      <c r="A189" s="643" t="s">
        <v>576</v>
      </c>
      <c r="B189" s="647" t="s">
        <v>572</v>
      </c>
      <c r="C189" s="645" t="s">
        <v>581</v>
      </c>
      <c r="D189" s="16">
        <v>35</v>
      </c>
      <c r="E189" s="16">
        <v>10</v>
      </c>
      <c r="F189" s="16">
        <f>D189-E189</f>
        <v>25</v>
      </c>
      <c r="G189" s="208"/>
      <c r="H189" s="17">
        <f t="shared" si="32"/>
        <v>0</v>
      </c>
      <c r="I189" s="17">
        <f t="shared" si="33"/>
        <v>0</v>
      </c>
    </row>
    <row r="190" spans="1:9" s="646" customFormat="1" ht="12">
      <c r="A190" s="643" t="s">
        <v>577</v>
      </c>
      <c r="B190" s="647" t="s">
        <v>573</v>
      </c>
      <c r="C190" s="645" t="s">
        <v>511</v>
      </c>
      <c r="D190" s="16">
        <v>4</v>
      </c>
      <c r="E190" s="16"/>
      <c r="F190" s="16">
        <f>D190-E190</f>
        <v>4</v>
      </c>
      <c r="G190" s="208"/>
      <c r="H190" s="17">
        <f t="shared" si="32"/>
        <v>0</v>
      </c>
      <c r="I190" s="17">
        <f t="shared" si="33"/>
        <v>0</v>
      </c>
    </row>
    <row r="191" spans="1:9" s="646" customFormat="1" ht="12">
      <c r="A191" s="643" t="s">
        <v>578</v>
      </c>
      <c r="B191" s="647" t="s">
        <v>582</v>
      </c>
      <c r="C191" s="645" t="s">
        <v>67</v>
      </c>
      <c r="D191" s="16">
        <v>1</v>
      </c>
      <c r="E191" s="16">
        <v>0.2</v>
      </c>
      <c r="F191" s="16">
        <f>D191-E191</f>
        <v>0.8</v>
      </c>
      <c r="G191" s="208"/>
      <c r="H191" s="17">
        <f t="shared" si="32"/>
        <v>0</v>
      </c>
      <c r="I191" s="17">
        <f t="shared" si="33"/>
        <v>0</v>
      </c>
    </row>
    <row r="192" spans="1:9" s="646" customFormat="1" ht="12">
      <c r="A192" s="643" t="s">
        <v>579</v>
      </c>
      <c r="B192" s="647" t="s">
        <v>574</v>
      </c>
      <c r="C192" s="645" t="s">
        <v>581</v>
      </c>
      <c r="D192" s="16">
        <v>8</v>
      </c>
      <c r="E192" s="16">
        <v>2</v>
      </c>
      <c r="F192" s="16">
        <f>D192-E192</f>
        <v>6</v>
      </c>
      <c r="G192" s="208"/>
      <c r="H192" s="17">
        <f t="shared" si="32"/>
        <v>0</v>
      </c>
      <c r="I192" s="17">
        <f t="shared" si="33"/>
        <v>0</v>
      </c>
    </row>
    <row r="193" spans="1:11" s="646" customFormat="1" ht="12">
      <c r="A193" s="643" t="s">
        <v>580</v>
      </c>
      <c r="B193" s="647" t="s">
        <v>506</v>
      </c>
      <c r="C193" s="645" t="s">
        <v>70</v>
      </c>
      <c r="D193" s="16">
        <f>SUM(H12:I182)</f>
        <v>0</v>
      </c>
      <c r="E193" s="16">
        <f>SUM(H12:H182)</f>
        <v>0</v>
      </c>
      <c r="F193" s="16">
        <f>SUM(I12:I182)</f>
        <v>0</v>
      </c>
      <c r="G193" s="208"/>
      <c r="H193" s="17">
        <f t="shared" si="32"/>
        <v>0</v>
      </c>
      <c r="I193" s="17">
        <f t="shared" si="33"/>
        <v>0</v>
      </c>
    </row>
    <row r="194" spans="1:11" s="646" customFormat="1" thickBot="1">
      <c r="A194" s="651"/>
      <c r="B194" s="652"/>
      <c r="C194" s="653"/>
      <c r="D194" s="19"/>
      <c r="E194" s="19"/>
      <c r="F194" s="19"/>
      <c r="G194" s="654"/>
      <c r="H194" s="20"/>
      <c r="I194" s="20"/>
    </row>
    <row r="195" spans="1:11" ht="15.75" thickBot="1">
      <c r="A195" s="849" t="s">
        <v>146</v>
      </c>
      <c r="B195" s="850"/>
      <c r="C195" s="850"/>
      <c r="D195" s="850"/>
      <c r="E195" s="850"/>
      <c r="F195" s="850"/>
      <c r="G195" s="223"/>
      <c r="H195" s="223">
        <f>SUM(H11:H194)</f>
        <v>0</v>
      </c>
      <c r="I195" s="224">
        <f>SUM(I11:I194)</f>
        <v>0</v>
      </c>
      <c r="K195" s="12"/>
    </row>
    <row r="196" spans="1:11">
      <c r="K196" s="12"/>
    </row>
    <row r="197" spans="1:11" ht="45" customHeight="1">
      <c r="A197" s="843" t="s">
        <v>178</v>
      </c>
      <c r="B197" s="844"/>
      <c r="C197" s="844"/>
      <c r="D197" s="844"/>
      <c r="E197" s="844"/>
      <c r="F197" s="844"/>
      <c r="G197" s="844"/>
      <c r="H197" s="844"/>
      <c r="I197" s="844"/>
      <c r="K197" s="655"/>
    </row>
  </sheetData>
  <sheetProtection algorithmName="SHA-512" hashValue="j4jB1jL/d7tPaSbueaj3S6GoMJTFDIpkgauJKF/WToL0VGvgYsdL3J9TsWMKY2VoqHGiWf9Sl2Nli3QsSyVuWA==" saltValue="HGheKXVQMEHS9P9MrluVqQ==" spinCount="100000" sheet="1"/>
  <mergeCells count="7">
    <mergeCell ref="A197:I197"/>
    <mergeCell ref="B1:I1"/>
    <mergeCell ref="A4:I4"/>
    <mergeCell ref="A5:I5"/>
    <mergeCell ref="B7:I7"/>
    <mergeCell ref="A195:F195"/>
    <mergeCell ref="G3:I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headerFooter>
    <oddHeader>&amp;LBD Hübnerové&amp;ROdhad stavebních nákladů</oddHeader>
    <oddFooter>Stránka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227"/>
  <sheetViews>
    <sheetView view="pageBreakPreview" zoomScaleNormal="100" zoomScaleSheetLayoutView="100" workbookViewId="0">
      <selection activeCell="B5" sqref="B5"/>
    </sheetView>
  </sheetViews>
  <sheetFormatPr defaultColWidth="10.6640625" defaultRowHeight="12"/>
  <cols>
    <col min="1" max="1" width="13.5" style="127" customWidth="1"/>
    <col min="2" max="2" width="84.6640625" style="128" customWidth="1"/>
    <col min="3" max="3" width="10" style="129" customWidth="1"/>
    <col min="4" max="6" width="18.1640625" style="130" customWidth="1"/>
    <col min="7" max="7" width="18.1640625" style="131" customWidth="1"/>
    <col min="8" max="9" width="21" style="132" customWidth="1"/>
    <col min="10" max="10" width="15.1640625" style="126" customWidth="1"/>
    <col min="11" max="16384" width="10.6640625" style="126"/>
  </cols>
  <sheetData>
    <row r="1" spans="1:14" s="657" customFormat="1" ht="15">
      <c r="A1" s="656" t="s">
        <v>3</v>
      </c>
      <c r="B1" s="656" t="str">
        <f>Rekapitulace!K4</f>
        <v>Stavební úpravy, vestavba a přístavba stávajícího objektu</v>
      </c>
      <c r="C1" s="656"/>
      <c r="D1" s="99"/>
      <c r="E1" s="99"/>
      <c r="F1" s="99"/>
      <c r="G1" s="101"/>
      <c r="H1" s="98"/>
      <c r="I1" s="98"/>
    </row>
    <row r="2" spans="1:14" s="657" customFormat="1" ht="12.75">
      <c r="A2" s="658"/>
      <c r="B2" s="659"/>
      <c r="D2" s="102"/>
      <c r="E2" s="102"/>
      <c r="F2" s="102"/>
      <c r="G2" s="98"/>
      <c r="H2" s="98"/>
      <c r="I2" s="98"/>
    </row>
    <row r="3" spans="1:14" s="660" customFormat="1">
      <c r="B3" s="661" t="s">
        <v>124</v>
      </c>
      <c r="C3" s="661"/>
      <c r="D3" s="100"/>
      <c r="E3" s="100"/>
      <c r="F3" s="100"/>
      <c r="G3" s="108"/>
      <c r="H3" s="109"/>
      <c r="I3" s="109"/>
    </row>
    <row r="4" spans="1:14" s="660" customFormat="1">
      <c r="A4" s="854"/>
      <c r="B4" s="854"/>
      <c r="C4" s="854"/>
      <c r="D4" s="854"/>
      <c r="E4" s="854"/>
      <c r="F4" s="854"/>
      <c r="G4" s="109"/>
      <c r="H4" s="109"/>
      <c r="I4" s="109"/>
    </row>
    <row r="5" spans="1:14" s="656" customFormat="1" ht="15">
      <c r="B5" s="656" t="s">
        <v>1942</v>
      </c>
      <c r="D5" s="99"/>
      <c r="E5" s="99"/>
      <c r="F5" s="99"/>
      <c r="G5" s="101"/>
      <c r="H5" s="101"/>
      <c r="I5" s="101"/>
    </row>
    <row r="6" spans="1:14" s="656" customFormat="1" ht="15.75" thickBot="1">
      <c r="A6" s="662"/>
      <c r="B6" s="663"/>
      <c r="C6" s="662"/>
      <c r="D6" s="110"/>
      <c r="E6" s="110"/>
      <c r="F6" s="110"/>
      <c r="G6" s="111"/>
      <c r="H6" s="101"/>
      <c r="I6" s="101"/>
    </row>
    <row r="7" spans="1:14" s="665" customFormat="1" ht="15.75" thickBot="1">
      <c r="A7" s="664" t="s">
        <v>11</v>
      </c>
      <c r="B7" s="112">
        <f>Rekapitulace!K11</f>
        <v>0</v>
      </c>
      <c r="C7" s="662"/>
      <c r="D7" s="110"/>
      <c r="E7" s="110"/>
      <c r="F7" s="110"/>
      <c r="G7" s="111"/>
      <c r="H7" s="113"/>
      <c r="I7" s="113"/>
    </row>
    <row r="8" spans="1:14" s="118" customFormat="1" ht="15">
      <c r="A8" s="114"/>
      <c r="B8" s="114"/>
      <c r="C8" s="114"/>
      <c r="D8" s="115"/>
      <c r="E8" s="115"/>
      <c r="F8" s="115"/>
      <c r="G8" s="116"/>
      <c r="H8" s="116"/>
      <c r="I8" s="116"/>
      <c r="J8" s="117"/>
      <c r="K8" s="117"/>
      <c r="L8" s="117"/>
      <c r="M8" s="117"/>
      <c r="N8" s="117"/>
    </row>
    <row r="9" spans="1:14" s="227" customFormat="1" ht="36">
      <c r="A9" s="225"/>
      <c r="B9" s="104" t="s">
        <v>157</v>
      </c>
      <c r="C9" s="104" t="s">
        <v>59</v>
      </c>
      <c r="D9" s="226" t="s">
        <v>2479</v>
      </c>
      <c r="E9" s="226" t="s">
        <v>2487</v>
      </c>
      <c r="F9" s="226" t="s">
        <v>2478</v>
      </c>
      <c r="G9" s="226" t="s">
        <v>256</v>
      </c>
      <c r="H9" s="226" t="s">
        <v>2492</v>
      </c>
      <c r="I9" s="226" t="s">
        <v>2485</v>
      </c>
    </row>
    <row r="10" spans="1:14" s="118" customFormat="1" ht="12.75">
      <c r="A10" s="106" t="s">
        <v>142</v>
      </c>
      <c r="B10" s="107" t="s">
        <v>1729</v>
      </c>
      <c r="C10" s="107"/>
      <c r="D10" s="6"/>
      <c r="E10" s="6"/>
      <c r="F10" s="6"/>
      <c r="G10" s="192"/>
      <c r="H10" s="7"/>
      <c r="I10" s="7"/>
    </row>
    <row r="11" spans="1:14" s="118" customFormat="1">
      <c r="A11" s="92" t="s">
        <v>147</v>
      </c>
      <c r="B11" s="93" t="s">
        <v>1730</v>
      </c>
      <c r="C11" s="666" t="s">
        <v>143</v>
      </c>
      <c r="D11" s="94">
        <v>1</v>
      </c>
      <c r="E11" s="94">
        <v>1</v>
      </c>
      <c r="F11" s="94">
        <f>D11-E11</f>
        <v>0</v>
      </c>
      <c r="G11" s="75"/>
      <c r="H11" s="9">
        <f>G11*E11</f>
        <v>0</v>
      </c>
      <c r="I11" s="9">
        <f>G11*F11</f>
        <v>0</v>
      </c>
    </row>
    <row r="12" spans="1:14" s="185" customFormat="1" ht="11.25">
      <c r="A12" s="180"/>
      <c r="B12" s="181" t="s">
        <v>1731</v>
      </c>
      <c r="C12" s="182">
        <v>1</v>
      </c>
      <c r="D12" s="182"/>
      <c r="E12" s="182"/>
      <c r="F12" s="182"/>
      <c r="G12" s="183"/>
      <c r="H12" s="184"/>
      <c r="I12" s="184"/>
    </row>
    <row r="13" spans="1:14" s="185" customFormat="1" ht="11.25">
      <c r="A13" s="180"/>
      <c r="B13" s="181" t="s">
        <v>1732</v>
      </c>
      <c r="C13" s="182">
        <v>3</v>
      </c>
      <c r="D13" s="182"/>
      <c r="E13" s="182"/>
      <c r="F13" s="182"/>
      <c r="G13" s="183"/>
      <c r="H13" s="184"/>
      <c r="I13" s="184"/>
    </row>
    <row r="14" spans="1:14" s="185" customFormat="1" ht="11.25">
      <c r="A14" s="180"/>
      <c r="B14" s="181" t="s">
        <v>1733</v>
      </c>
      <c r="C14" s="182">
        <v>2</v>
      </c>
      <c r="D14" s="182"/>
      <c r="E14" s="182"/>
      <c r="F14" s="182"/>
      <c r="G14" s="183"/>
      <c r="H14" s="184"/>
      <c r="I14" s="184"/>
    </row>
    <row r="15" spans="1:14" s="185" customFormat="1" ht="11.25">
      <c r="A15" s="180"/>
      <c r="B15" s="181" t="s">
        <v>1734</v>
      </c>
      <c r="C15" s="182">
        <v>4</v>
      </c>
      <c r="D15" s="182"/>
      <c r="E15" s="182"/>
      <c r="F15" s="182"/>
      <c r="G15" s="183"/>
      <c r="H15" s="184"/>
      <c r="I15" s="184"/>
    </row>
    <row r="16" spans="1:14" s="185" customFormat="1" ht="11.25">
      <c r="A16" s="180"/>
      <c r="B16" s="181" t="s">
        <v>1735</v>
      </c>
      <c r="C16" s="182">
        <v>2</v>
      </c>
      <c r="D16" s="182"/>
      <c r="E16" s="182"/>
      <c r="F16" s="182"/>
      <c r="G16" s="183"/>
      <c r="H16" s="184"/>
      <c r="I16" s="184"/>
    </row>
    <row r="17" spans="1:9" s="185" customFormat="1" ht="11.25">
      <c r="A17" s="180"/>
      <c r="B17" s="181" t="s">
        <v>1736</v>
      </c>
      <c r="C17" s="182">
        <v>1</v>
      </c>
      <c r="D17" s="182"/>
      <c r="E17" s="182"/>
      <c r="F17" s="182"/>
      <c r="G17" s="183"/>
      <c r="H17" s="184"/>
      <c r="I17" s="184"/>
    </row>
    <row r="18" spans="1:9" s="185" customFormat="1" ht="11.25">
      <c r="A18" s="180"/>
      <c r="B18" s="181" t="s">
        <v>1737</v>
      </c>
      <c r="C18" s="182">
        <v>2</v>
      </c>
      <c r="D18" s="182"/>
      <c r="E18" s="182"/>
      <c r="F18" s="182"/>
      <c r="G18" s="183"/>
      <c r="H18" s="184"/>
      <c r="I18" s="184"/>
    </row>
    <row r="19" spans="1:9" s="185" customFormat="1" ht="11.25">
      <c r="A19" s="180"/>
      <c r="B19" s="181" t="s">
        <v>1738</v>
      </c>
      <c r="C19" s="182">
        <v>1</v>
      </c>
      <c r="D19" s="182"/>
      <c r="E19" s="182"/>
      <c r="F19" s="182"/>
      <c r="G19" s="183"/>
      <c r="H19" s="184"/>
      <c r="I19" s="184"/>
    </row>
    <row r="20" spans="1:9" s="118" customFormat="1">
      <c r="A20" s="92" t="s">
        <v>148</v>
      </c>
      <c r="B20" s="93" t="s">
        <v>1753</v>
      </c>
      <c r="C20" s="666" t="s">
        <v>143</v>
      </c>
      <c r="D20" s="94">
        <v>2</v>
      </c>
      <c r="E20" s="94"/>
      <c r="F20" s="94">
        <f>D20-E20</f>
        <v>2</v>
      </c>
      <c r="G20" s="75"/>
      <c r="H20" s="9">
        <f>G20*E20</f>
        <v>0</v>
      </c>
      <c r="I20" s="9">
        <f>G20*F20</f>
        <v>0</v>
      </c>
    </row>
    <row r="21" spans="1:9" s="185" customFormat="1" ht="11.25">
      <c r="A21" s="180"/>
      <c r="B21" s="181" t="s">
        <v>1739</v>
      </c>
      <c r="C21" s="667">
        <v>1</v>
      </c>
      <c r="D21" s="182"/>
      <c r="E21" s="182"/>
      <c r="F21" s="182"/>
      <c r="G21" s="183"/>
      <c r="H21" s="184"/>
      <c r="I21" s="184"/>
    </row>
    <row r="22" spans="1:9" s="185" customFormat="1" ht="11.25">
      <c r="A22" s="180"/>
      <c r="B22" s="181" t="s">
        <v>1740</v>
      </c>
      <c r="C22" s="667">
        <v>1</v>
      </c>
      <c r="D22" s="182"/>
      <c r="E22" s="182"/>
      <c r="F22" s="182"/>
      <c r="G22" s="183"/>
      <c r="H22" s="184"/>
      <c r="I22" s="184"/>
    </row>
    <row r="23" spans="1:9" s="185" customFormat="1" ht="11.25">
      <c r="A23" s="180"/>
      <c r="B23" s="181" t="s">
        <v>1741</v>
      </c>
      <c r="C23" s="667">
        <v>1</v>
      </c>
      <c r="D23" s="182"/>
      <c r="E23" s="182"/>
      <c r="F23" s="182"/>
      <c r="G23" s="183"/>
      <c r="H23" s="184"/>
      <c r="I23" s="184"/>
    </row>
    <row r="24" spans="1:9" s="185" customFormat="1" ht="11.25">
      <c r="A24" s="180"/>
      <c r="B24" s="181" t="s">
        <v>1742</v>
      </c>
      <c r="C24" s="667">
        <v>1</v>
      </c>
      <c r="D24" s="182"/>
      <c r="E24" s="182"/>
      <c r="F24" s="182"/>
      <c r="G24" s="183"/>
      <c r="H24" s="184"/>
      <c r="I24" s="184"/>
    </row>
    <row r="25" spans="1:9" s="185" customFormat="1" ht="11.25">
      <c r="A25" s="180"/>
      <c r="B25" s="181" t="s">
        <v>1743</v>
      </c>
      <c r="C25" s="667">
        <v>4</v>
      </c>
      <c r="D25" s="182"/>
      <c r="E25" s="182"/>
      <c r="F25" s="182"/>
      <c r="G25" s="183"/>
      <c r="H25" s="184"/>
      <c r="I25" s="184"/>
    </row>
    <row r="26" spans="1:9" s="185" customFormat="1" ht="11.25">
      <c r="A26" s="180"/>
      <c r="B26" s="181" t="s">
        <v>1744</v>
      </c>
      <c r="C26" s="667">
        <v>2</v>
      </c>
      <c r="D26" s="182"/>
      <c r="E26" s="182"/>
      <c r="F26" s="182"/>
      <c r="G26" s="183"/>
      <c r="H26" s="184"/>
      <c r="I26" s="184"/>
    </row>
    <row r="27" spans="1:9" s="185" customFormat="1" ht="11.25">
      <c r="A27" s="180"/>
      <c r="B27" s="181" t="s">
        <v>1745</v>
      </c>
      <c r="C27" s="667">
        <v>1</v>
      </c>
      <c r="D27" s="182"/>
      <c r="E27" s="182"/>
      <c r="F27" s="182"/>
      <c r="G27" s="183"/>
      <c r="H27" s="184"/>
      <c r="I27" s="184"/>
    </row>
    <row r="28" spans="1:9" s="185" customFormat="1" ht="11.25">
      <c r="A28" s="180"/>
      <c r="B28" s="181" t="s">
        <v>1746</v>
      </c>
      <c r="C28" s="667">
        <v>3</v>
      </c>
      <c r="D28" s="182"/>
      <c r="E28" s="182"/>
      <c r="F28" s="182"/>
      <c r="G28" s="183"/>
      <c r="H28" s="184"/>
      <c r="I28" s="184"/>
    </row>
    <row r="29" spans="1:9" s="185" customFormat="1" ht="11.25">
      <c r="A29" s="180"/>
      <c r="B29" s="181" t="s">
        <v>1747</v>
      </c>
      <c r="C29" s="667">
        <v>4</v>
      </c>
      <c r="D29" s="182"/>
      <c r="E29" s="182"/>
      <c r="F29" s="182"/>
      <c r="G29" s="183"/>
      <c r="H29" s="184"/>
      <c r="I29" s="184"/>
    </row>
    <row r="30" spans="1:9" s="185" customFormat="1" ht="11.25">
      <c r="A30" s="180"/>
      <c r="B30" s="181" t="s">
        <v>1748</v>
      </c>
      <c r="C30" s="667">
        <v>5</v>
      </c>
      <c r="D30" s="182"/>
      <c r="E30" s="182"/>
      <c r="F30" s="182"/>
      <c r="G30" s="183"/>
      <c r="H30" s="184"/>
      <c r="I30" s="184"/>
    </row>
    <row r="31" spans="1:9" s="185" customFormat="1" ht="11.25">
      <c r="A31" s="180"/>
      <c r="B31" s="181" t="s">
        <v>1749</v>
      </c>
      <c r="C31" s="667">
        <v>1</v>
      </c>
      <c r="D31" s="182"/>
      <c r="E31" s="182"/>
      <c r="F31" s="182"/>
      <c r="G31" s="183"/>
      <c r="H31" s="184"/>
      <c r="I31" s="184"/>
    </row>
    <row r="32" spans="1:9" s="185" customFormat="1" ht="11.25">
      <c r="A32" s="180"/>
      <c r="B32" s="181" t="s">
        <v>1750</v>
      </c>
      <c r="C32" s="667">
        <v>1</v>
      </c>
      <c r="D32" s="182"/>
      <c r="E32" s="182"/>
      <c r="F32" s="182"/>
      <c r="G32" s="183"/>
      <c r="H32" s="184"/>
      <c r="I32" s="184"/>
    </row>
    <row r="33" spans="1:9" s="185" customFormat="1" ht="11.25">
      <c r="A33" s="180"/>
      <c r="B33" s="181" t="s">
        <v>1751</v>
      </c>
      <c r="C33" s="667">
        <v>1</v>
      </c>
      <c r="D33" s="182"/>
      <c r="E33" s="182"/>
      <c r="F33" s="182"/>
      <c r="G33" s="183"/>
      <c r="H33" s="184"/>
      <c r="I33" s="184"/>
    </row>
    <row r="34" spans="1:9" s="185" customFormat="1" ht="11.25">
      <c r="A34" s="180"/>
      <c r="B34" s="181" t="s">
        <v>1752</v>
      </c>
      <c r="C34" s="667">
        <v>1</v>
      </c>
      <c r="D34" s="182"/>
      <c r="E34" s="182"/>
      <c r="F34" s="182"/>
      <c r="G34" s="183"/>
      <c r="H34" s="184"/>
      <c r="I34" s="184"/>
    </row>
    <row r="35" spans="1:9" s="118" customFormat="1">
      <c r="A35" s="92" t="s">
        <v>149</v>
      </c>
      <c r="B35" s="93" t="s">
        <v>1754</v>
      </c>
      <c r="C35" s="666" t="s">
        <v>143</v>
      </c>
      <c r="D35" s="94">
        <v>2</v>
      </c>
      <c r="E35" s="94"/>
      <c r="F35" s="94">
        <f>D35-E35</f>
        <v>2</v>
      </c>
      <c r="G35" s="75"/>
      <c r="H35" s="9">
        <f>G35*E35</f>
        <v>0</v>
      </c>
      <c r="I35" s="9">
        <f>G35*F35</f>
        <v>0</v>
      </c>
    </row>
    <row r="36" spans="1:9" s="185" customFormat="1" ht="11.25">
      <c r="A36" s="180"/>
      <c r="B36" s="181" t="s">
        <v>1739</v>
      </c>
      <c r="C36" s="667">
        <v>1</v>
      </c>
      <c r="D36" s="182"/>
      <c r="E36" s="182"/>
      <c r="F36" s="182"/>
      <c r="G36" s="183"/>
      <c r="H36" s="184"/>
      <c r="I36" s="184"/>
    </row>
    <row r="37" spans="1:9" s="185" customFormat="1" ht="11.25">
      <c r="A37" s="180"/>
      <c r="B37" s="181" t="s">
        <v>1740</v>
      </c>
      <c r="C37" s="667">
        <v>1</v>
      </c>
      <c r="D37" s="182"/>
      <c r="E37" s="182"/>
      <c r="F37" s="182"/>
      <c r="G37" s="183"/>
      <c r="H37" s="184"/>
      <c r="I37" s="184"/>
    </row>
    <row r="38" spans="1:9" s="185" customFormat="1" ht="11.25">
      <c r="A38" s="180"/>
      <c r="B38" s="181" t="s">
        <v>1741</v>
      </c>
      <c r="C38" s="667">
        <v>1</v>
      </c>
      <c r="D38" s="182"/>
      <c r="E38" s="182"/>
      <c r="F38" s="182"/>
      <c r="G38" s="183"/>
      <c r="H38" s="184"/>
      <c r="I38" s="184"/>
    </row>
    <row r="39" spans="1:9" s="185" customFormat="1" ht="11.25">
      <c r="A39" s="180"/>
      <c r="B39" s="181" t="s">
        <v>1742</v>
      </c>
      <c r="C39" s="667">
        <v>1</v>
      </c>
      <c r="D39" s="182"/>
      <c r="E39" s="182"/>
      <c r="F39" s="182"/>
      <c r="G39" s="183"/>
      <c r="H39" s="184"/>
      <c r="I39" s="184"/>
    </row>
    <row r="40" spans="1:9" s="185" customFormat="1" ht="11.25">
      <c r="A40" s="180"/>
      <c r="B40" s="181" t="s">
        <v>1743</v>
      </c>
      <c r="C40" s="667">
        <v>4</v>
      </c>
      <c r="D40" s="182"/>
      <c r="E40" s="182"/>
      <c r="F40" s="182"/>
      <c r="G40" s="183"/>
      <c r="H40" s="184"/>
      <c r="I40" s="184"/>
    </row>
    <row r="41" spans="1:9" s="185" customFormat="1" ht="11.25">
      <c r="A41" s="180"/>
      <c r="B41" s="181" t="s">
        <v>1745</v>
      </c>
      <c r="C41" s="667">
        <v>3</v>
      </c>
      <c r="D41" s="182"/>
      <c r="E41" s="182"/>
      <c r="F41" s="182"/>
      <c r="G41" s="183"/>
      <c r="H41" s="184"/>
      <c r="I41" s="184"/>
    </row>
    <row r="42" spans="1:9" s="185" customFormat="1" ht="11.25">
      <c r="A42" s="180"/>
      <c r="B42" s="181" t="s">
        <v>1746</v>
      </c>
      <c r="C42" s="667">
        <v>5</v>
      </c>
      <c r="D42" s="182"/>
      <c r="E42" s="182"/>
      <c r="F42" s="182"/>
      <c r="G42" s="183"/>
      <c r="H42" s="184"/>
      <c r="I42" s="184"/>
    </row>
    <row r="43" spans="1:9" s="185" customFormat="1" ht="11.25">
      <c r="A43" s="180"/>
      <c r="B43" s="181" t="s">
        <v>1747</v>
      </c>
      <c r="C43" s="667">
        <v>6</v>
      </c>
      <c r="D43" s="182"/>
      <c r="E43" s="182"/>
      <c r="F43" s="182"/>
      <c r="G43" s="183"/>
      <c r="H43" s="184"/>
      <c r="I43" s="184"/>
    </row>
    <row r="44" spans="1:9" s="185" customFormat="1" ht="11.25">
      <c r="A44" s="180"/>
      <c r="B44" s="181" t="s">
        <v>1748</v>
      </c>
      <c r="C44" s="667">
        <v>7</v>
      </c>
      <c r="D44" s="182"/>
      <c r="E44" s="182"/>
      <c r="F44" s="182"/>
      <c r="G44" s="183"/>
      <c r="H44" s="184"/>
      <c r="I44" s="184"/>
    </row>
    <row r="45" spans="1:9" s="185" customFormat="1" ht="11.25">
      <c r="A45" s="180"/>
      <c r="B45" s="181" t="s">
        <v>1750</v>
      </c>
      <c r="C45" s="667">
        <v>1</v>
      </c>
      <c r="D45" s="182"/>
      <c r="E45" s="182"/>
      <c r="F45" s="182"/>
      <c r="G45" s="183"/>
      <c r="H45" s="184"/>
      <c r="I45" s="184"/>
    </row>
    <row r="46" spans="1:9" s="185" customFormat="1" ht="11.25">
      <c r="A46" s="180"/>
      <c r="B46" s="181" t="s">
        <v>1752</v>
      </c>
      <c r="C46" s="667">
        <v>1</v>
      </c>
      <c r="D46" s="182"/>
      <c r="E46" s="182"/>
      <c r="F46" s="182"/>
      <c r="G46" s="183"/>
      <c r="H46" s="184"/>
      <c r="I46" s="184"/>
    </row>
    <row r="47" spans="1:9" s="118" customFormat="1">
      <c r="A47" s="92" t="s">
        <v>150</v>
      </c>
      <c r="B47" s="93" t="s">
        <v>1755</v>
      </c>
      <c r="C47" s="666" t="s">
        <v>143</v>
      </c>
      <c r="D47" s="94">
        <v>1</v>
      </c>
      <c r="E47" s="94">
        <v>1</v>
      </c>
      <c r="F47" s="94">
        <f>D47-E47</f>
        <v>0</v>
      </c>
      <c r="G47" s="75"/>
      <c r="H47" s="9">
        <f>G47*E47</f>
        <v>0</v>
      </c>
      <c r="I47" s="9">
        <f>G47*F47</f>
        <v>0</v>
      </c>
    </row>
    <row r="48" spans="1:9" s="185" customFormat="1" ht="11.25">
      <c r="A48" s="180"/>
      <c r="B48" s="181" t="s">
        <v>1739</v>
      </c>
      <c r="C48" s="667">
        <v>1</v>
      </c>
      <c r="D48" s="182"/>
      <c r="E48" s="182"/>
      <c r="F48" s="182"/>
      <c r="G48" s="183"/>
      <c r="H48" s="184"/>
      <c r="I48" s="184"/>
    </row>
    <row r="49" spans="1:9" s="185" customFormat="1" ht="11.25">
      <c r="A49" s="180"/>
      <c r="B49" s="181" t="s">
        <v>1740</v>
      </c>
      <c r="C49" s="667">
        <v>1</v>
      </c>
      <c r="D49" s="182"/>
      <c r="E49" s="182"/>
      <c r="F49" s="182"/>
      <c r="G49" s="183"/>
      <c r="H49" s="184"/>
      <c r="I49" s="184"/>
    </row>
    <row r="50" spans="1:9" s="185" customFormat="1" ht="11.25">
      <c r="A50" s="180"/>
      <c r="B50" s="181" t="s">
        <v>1741</v>
      </c>
      <c r="C50" s="667">
        <v>1</v>
      </c>
      <c r="D50" s="182"/>
      <c r="E50" s="182"/>
      <c r="F50" s="182"/>
      <c r="G50" s="183"/>
      <c r="H50" s="184"/>
      <c r="I50" s="184"/>
    </row>
    <row r="51" spans="1:9" s="185" customFormat="1" ht="11.25">
      <c r="A51" s="180"/>
      <c r="B51" s="181" t="s">
        <v>1742</v>
      </c>
      <c r="C51" s="667">
        <v>1</v>
      </c>
      <c r="D51" s="182"/>
      <c r="E51" s="182"/>
      <c r="F51" s="182"/>
      <c r="G51" s="183"/>
      <c r="H51" s="184"/>
      <c r="I51" s="184"/>
    </row>
    <row r="52" spans="1:9" s="185" customFormat="1" ht="11.25">
      <c r="A52" s="180"/>
      <c r="B52" s="181" t="s">
        <v>1743</v>
      </c>
      <c r="C52" s="667">
        <v>4</v>
      </c>
      <c r="D52" s="182"/>
      <c r="E52" s="182"/>
      <c r="F52" s="182"/>
      <c r="G52" s="183"/>
      <c r="H52" s="184"/>
      <c r="I52" s="184"/>
    </row>
    <row r="53" spans="1:9" s="185" customFormat="1" ht="11.25">
      <c r="A53" s="180"/>
      <c r="B53" s="181" t="s">
        <v>1746</v>
      </c>
      <c r="C53" s="667">
        <v>1</v>
      </c>
      <c r="D53" s="182"/>
      <c r="E53" s="182"/>
      <c r="F53" s="182"/>
      <c r="G53" s="183"/>
      <c r="H53" s="184"/>
      <c r="I53" s="184"/>
    </row>
    <row r="54" spans="1:9" s="185" customFormat="1" ht="11.25">
      <c r="A54" s="180"/>
      <c r="B54" s="181" t="s">
        <v>1747</v>
      </c>
      <c r="C54" s="667">
        <v>6</v>
      </c>
      <c r="D54" s="182"/>
      <c r="E54" s="182"/>
      <c r="F54" s="182"/>
      <c r="G54" s="183"/>
      <c r="H54" s="184"/>
      <c r="I54" s="184"/>
    </row>
    <row r="55" spans="1:9" s="185" customFormat="1" ht="11.25">
      <c r="A55" s="180"/>
      <c r="B55" s="181" t="s">
        <v>1748</v>
      </c>
      <c r="C55" s="667">
        <v>5</v>
      </c>
      <c r="D55" s="182"/>
      <c r="E55" s="182"/>
      <c r="F55" s="182"/>
      <c r="G55" s="183"/>
      <c r="H55" s="184"/>
      <c r="I55" s="184"/>
    </row>
    <row r="56" spans="1:9" s="185" customFormat="1" ht="11.25">
      <c r="A56" s="180"/>
      <c r="B56" s="181" t="s">
        <v>1758</v>
      </c>
      <c r="C56" s="667">
        <v>2</v>
      </c>
      <c r="D56" s="182"/>
      <c r="E56" s="182"/>
      <c r="F56" s="182"/>
      <c r="G56" s="183"/>
      <c r="H56" s="184"/>
      <c r="I56" s="184"/>
    </row>
    <row r="57" spans="1:9" s="185" customFormat="1" ht="11.25">
      <c r="A57" s="180"/>
      <c r="B57" s="181" t="s">
        <v>1759</v>
      </c>
      <c r="C57" s="667">
        <v>1</v>
      </c>
      <c r="D57" s="182"/>
      <c r="E57" s="182"/>
      <c r="F57" s="182"/>
      <c r="G57" s="183"/>
      <c r="H57" s="184"/>
      <c r="I57" s="184"/>
    </row>
    <row r="58" spans="1:9" s="185" customFormat="1" ht="11.25">
      <c r="A58" s="180"/>
      <c r="B58" s="181" t="s">
        <v>1760</v>
      </c>
      <c r="C58" s="667">
        <v>2</v>
      </c>
      <c r="D58" s="182"/>
      <c r="E58" s="182"/>
      <c r="F58" s="182"/>
      <c r="G58" s="183"/>
      <c r="H58" s="184"/>
      <c r="I58" s="184"/>
    </row>
    <row r="59" spans="1:9" s="185" customFormat="1" ht="11.25">
      <c r="A59" s="180"/>
      <c r="B59" s="181" t="s">
        <v>1752</v>
      </c>
      <c r="C59" s="667">
        <v>1</v>
      </c>
      <c r="D59" s="182"/>
      <c r="E59" s="182"/>
      <c r="F59" s="182"/>
      <c r="G59" s="183"/>
      <c r="H59" s="184"/>
      <c r="I59" s="184"/>
    </row>
    <row r="60" spans="1:9" s="118" customFormat="1">
      <c r="A60" s="92" t="s">
        <v>151</v>
      </c>
      <c r="B60" s="93" t="s">
        <v>1756</v>
      </c>
      <c r="C60" s="666" t="s">
        <v>143</v>
      </c>
      <c r="D60" s="94">
        <v>1</v>
      </c>
      <c r="E60" s="94">
        <v>1</v>
      </c>
      <c r="F60" s="94">
        <f>D60-E60</f>
        <v>0</v>
      </c>
      <c r="G60" s="75"/>
      <c r="H60" s="9">
        <f>G60*E60</f>
        <v>0</v>
      </c>
      <c r="I60" s="9">
        <f>G60*F60</f>
        <v>0</v>
      </c>
    </row>
    <row r="61" spans="1:9" s="185" customFormat="1" ht="11.25">
      <c r="A61" s="180"/>
      <c r="B61" s="181" t="s">
        <v>1761</v>
      </c>
      <c r="C61" s="667">
        <v>1</v>
      </c>
      <c r="D61" s="182"/>
      <c r="E61" s="182"/>
      <c r="F61" s="182"/>
      <c r="G61" s="183"/>
      <c r="H61" s="184"/>
      <c r="I61" s="184"/>
    </row>
    <row r="62" spans="1:9" s="185" customFormat="1" ht="11.25">
      <c r="A62" s="180"/>
      <c r="B62" s="181" t="s">
        <v>1740</v>
      </c>
      <c r="C62" s="667">
        <v>1</v>
      </c>
      <c r="D62" s="182"/>
      <c r="E62" s="182"/>
      <c r="F62" s="182"/>
      <c r="G62" s="183"/>
      <c r="H62" s="184"/>
      <c r="I62" s="184"/>
    </row>
    <row r="63" spans="1:9" s="185" customFormat="1" ht="11.25">
      <c r="A63" s="180"/>
      <c r="B63" s="181" t="s">
        <v>1762</v>
      </c>
      <c r="C63" s="667">
        <v>3</v>
      </c>
      <c r="D63" s="182"/>
      <c r="E63" s="182"/>
      <c r="F63" s="182"/>
      <c r="G63" s="183"/>
      <c r="H63" s="184"/>
      <c r="I63" s="184"/>
    </row>
    <row r="64" spans="1:9" s="185" customFormat="1" ht="11.25">
      <c r="A64" s="180"/>
      <c r="B64" s="181" t="s">
        <v>1763</v>
      </c>
      <c r="C64" s="667">
        <v>1</v>
      </c>
      <c r="D64" s="182"/>
      <c r="E64" s="182"/>
      <c r="F64" s="182"/>
      <c r="G64" s="183"/>
      <c r="H64" s="184"/>
      <c r="I64" s="184"/>
    </row>
    <row r="65" spans="1:9" s="185" customFormat="1" ht="11.25">
      <c r="A65" s="180"/>
      <c r="B65" s="181" t="s">
        <v>1764</v>
      </c>
      <c r="C65" s="667">
        <v>2</v>
      </c>
      <c r="D65" s="182"/>
      <c r="E65" s="182"/>
      <c r="F65" s="182"/>
      <c r="G65" s="183"/>
      <c r="H65" s="184"/>
      <c r="I65" s="184"/>
    </row>
    <row r="66" spans="1:9" s="185" customFormat="1" ht="11.25">
      <c r="A66" s="180"/>
      <c r="B66" s="181" t="s">
        <v>1746</v>
      </c>
      <c r="C66" s="667">
        <v>10</v>
      </c>
      <c r="D66" s="182"/>
      <c r="E66" s="182"/>
      <c r="F66" s="182"/>
      <c r="G66" s="183"/>
      <c r="H66" s="184"/>
      <c r="I66" s="184"/>
    </row>
    <row r="67" spans="1:9" s="185" customFormat="1" ht="11.25">
      <c r="A67" s="180"/>
      <c r="B67" s="181" t="s">
        <v>1747</v>
      </c>
      <c r="C67" s="667">
        <v>26</v>
      </c>
      <c r="D67" s="182"/>
      <c r="E67" s="182"/>
      <c r="F67" s="182"/>
      <c r="G67" s="183"/>
      <c r="H67" s="184"/>
      <c r="I67" s="184"/>
    </row>
    <row r="68" spans="1:9" s="185" customFormat="1" ht="11.25">
      <c r="A68" s="180"/>
      <c r="B68" s="181" t="s">
        <v>1748</v>
      </c>
      <c r="C68" s="667">
        <v>18</v>
      </c>
      <c r="D68" s="182"/>
      <c r="E68" s="182"/>
      <c r="F68" s="182"/>
      <c r="G68" s="183"/>
      <c r="H68" s="184"/>
      <c r="I68" s="184"/>
    </row>
    <row r="69" spans="1:9" s="185" customFormat="1" ht="11.25">
      <c r="A69" s="180"/>
      <c r="B69" s="181" t="s">
        <v>1765</v>
      </c>
      <c r="C69" s="667">
        <v>1</v>
      </c>
      <c r="D69" s="182"/>
      <c r="E69" s="182"/>
      <c r="F69" s="182"/>
      <c r="G69" s="183"/>
      <c r="H69" s="184"/>
      <c r="I69" s="184"/>
    </row>
    <row r="70" spans="1:9" s="185" customFormat="1" ht="11.25">
      <c r="A70" s="180"/>
      <c r="B70" s="181" t="s">
        <v>1766</v>
      </c>
      <c r="C70" s="667">
        <v>1</v>
      </c>
      <c r="D70" s="182"/>
      <c r="E70" s="182"/>
      <c r="F70" s="182"/>
      <c r="G70" s="183"/>
      <c r="H70" s="184"/>
      <c r="I70" s="184"/>
    </row>
    <row r="71" spans="1:9" s="185" customFormat="1" ht="11.25">
      <c r="A71" s="180"/>
      <c r="B71" s="181" t="s">
        <v>1767</v>
      </c>
      <c r="C71" s="667">
        <v>1</v>
      </c>
      <c r="D71" s="182"/>
      <c r="E71" s="182"/>
      <c r="F71" s="182"/>
      <c r="G71" s="183"/>
      <c r="H71" s="184"/>
      <c r="I71" s="184"/>
    </row>
    <row r="72" spans="1:9" s="185" customFormat="1" ht="11.25">
      <c r="A72" s="180"/>
      <c r="B72" s="181" t="s">
        <v>1768</v>
      </c>
      <c r="C72" s="667">
        <v>1</v>
      </c>
      <c r="D72" s="182"/>
      <c r="E72" s="182"/>
      <c r="F72" s="182"/>
      <c r="G72" s="183"/>
      <c r="H72" s="184"/>
      <c r="I72" s="184"/>
    </row>
    <row r="73" spans="1:9" s="185" customFormat="1" ht="11.25">
      <c r="A73" s="180"/>
      <c r="B73" s="181" t="s">
        <v>1750</v>
      </c>
      <c r="C73" s="667">
        <v>1</v>
      </c>
      <c r="D73" s="182"/>
      <c r="E73" s="182"/>
      <c r="F73" s="182"/>
      <c r="G73" s="183"/>
      <c r="H73" s="184"/>
      <c r="I73" s="184"/>
    </row>
    <row r="74" spans="1:9" s="185" customFormat="1" ht="11.25">
      <c r="A74" s="180"/>
      <c r="B74" s="181" t="s">
        <v>1751</v>
      </c>
      <c r="C74" s="667">
        <v>2</v>
      </c>
      <c r="D74" s="182"/>
      <c r="E74" s="182"/>
      <c r="F74" s="182"/>
      <c r="G74" s="183"/>
      <c r="H74" s="184"/>
      <c r="I74" s="184"/>
    </row>
    <row r="75" spans="1:9" s="185" customFormat="1" ht="11.25">
      <c r="A75" s="180"/>
      <c r="B75" s="181" t="s">
        <v>1752</v>
      </c>
      <c r="C75" s="667">
        <v>2</v>
      </c>
      <c r="D75" s="182"/>
      <c r="E75" s="182"/>
      <c r="F75" s="182"/>
      <c r="G75" s="183"/>
      <c r="H75" s="184"/>
      <c r="I75" s="184"/>
    </row>
    <row r="76" spans="1:9" s="118" customFormat="1">
      <c r="A76" s="92" t="s">
        <v>152</v>
      </c>
      <c r="B76" s="93" t="s">
        <v>1769</v>
      </c>
      <c r="C76" s="666" t="s">
        <v>143</v>
      </c>
      <c r="D76" s="94">
        <v>1</v>
      </c>
      <c r="E76" s="94">
        <v>1</v>
      </c>
      <c r="F76" s="94">
        <f>D76-E76</f>
        <v>0</v>
      </c>
      <c r="G76" s="75"/>
      <c r="H76" s="9">
        <f>G76*E76</f>
        <v>0</v>
      </c>
      <c r="I76" s="9">
        <f>G76*F76</f>
        <v>0</v>
      </c>
    </row>
    <row r="77" spans="1:9" s="185" customFormat="1" ht="11.25">
      <c r="A77" s="180"/>
      <c r="B77" s="181" t="s">
        <v>1771</v>
      </c>
      <c r="C77" s="667">
        <v>1</v>
      </c>
      <c r="D77" s="182"/>
      <c r="E77" s="182"/>
      <c r="F77" s="182"/>
      <c r="G77" s="183"/>
      <c r="H77" s="184"/>
      <c r="I77" s="184"/>
    </row>
    <row r="78" spans="1:9" s="185" customFormat="1" ht="11.25">
      <c r="A78" s="180"/>
      <c r="B78" s="181" t="s">
        <v>1772</v>
      </c>
      <c r="C78" s="667">
        <v>1</v>
      </c>
      <c r="D78" s="182"/>
      <c r="E78" s="182"/>
      <c r="F78" s="182"/>
      <c r="G78" s="183"/>
      <c r="H78" s="184"/>
      <c r="I78" s="184"/>
    </row>
    <row r="79" spans="1:9" s="185" customFormat="1" ht="11.25">
      <c r="A79" s="180"/>
      <c r="B79" s="181" t="s">
        <v>1773</v>
      </c>
      <c r="C79" s="667">
        <v>1</v>
      </c>
      <c r="D79" s="182"/>
      <c r="E79" s="182"/>
      <c r="F79" s="182"/>
      <c r="G79" s="183"/>
      <c r="H79" s="184"/>
      <c r="I79" s="184"/>
    </row>
    <row r="80" spans="1:9" s="118" customFormat="1">
      <c r="A80" s="92" t="s">
        <v>153</v>
      </c>
      <c r="B80" s="93" t="s">
        <v>1770</v>
      </c>
      <c r="C80" s="666" t="s">
        <v>143</v>
      </c>
      <c r="D80" s="94">
        <v>1</v>
      </c>
      <c r="E80" s="94"/>
      <c r="F80" s="94">
        <f>D80-E80</f>
        <v>1</v>
      </c>
      <c r="G80" s="75"/>
      <c r="H80" s="9">
        <f>G80*E80</f>
        <v>0</v>
      </c>
      <c r="I80" s="9">
        <f>G80*F80</f>
        <v>0</v>
      </c>
    </row>
    <row r="81" spans="1:9" s="185" customFormat="1" ht="11.25">
      <c r="A81" s="180"/>
      <c r="B81" s="181" t="s">
        <v>1774</v>
      </c>
      <c r="C81" s="667">
        <v>1</v>
      </c>
      <c r="D81" s="182"/>
      <c r="E81" s="182"/>
      <c r="F81" s="182"/>
      <c r="G81" s="183"/>
      <c r="H81" s="184"/>
      <c r="I81" s="184"/>
    </row>
    <row r="82" spans="1:9" s="185" customFormat="1" ht="11.25">
      <c r="A82" s="180"/>
      <c r="B82" s="181" t="s">
        <v>1772</v>
      </c>
      <c r="C82" s="667">
        <v>1</v>
      </c>
      <c r="D82" s="182"/>
      <c r="E82" s="182"/>
      <c r="F82" s="182"/>
      <c r="G82" s="183"/>
      <c r="H82" s="184"/>
      <c r="I82" s="184"/>
    </row>
    <row r="83" spans="1:9" s="185" customFormat="1" ht="11.25">
      <c r="A83" s="180"/>
      <c r="B83" s="181" t="s">
        <v>1763</v>
      </c>
      <c r="C83" s="667">
        <v>5</v>
      </c>
      <c r="D83" s="182"/>
      <c r="E83" s="182"/>
      <c r="F83" s="182"/>
      <c r="G83" s="183"/>
      <c r="H83" s="184"/>
      <c r="I83" s="184"/>
    </row>
    <row r="84" spans="1:9" s="185" customFormat="1" ht="11.25">
      <c r="A84" s="180"/>
      <c r="B84" s="181" t="s">
        <v>1773</v>
      </c>
      <c r="C84" s="667">
        <v>1</v>
      </c>
      <c r="D84" s="182"/>
      <c r="E84" s="182"/>
      <c r="F84" s="182"/>
      <c r="G84" s="183"/>
      <c r="H84" s="184"/>
      <c r="I84" s="184"/>
    </row>
    <row r="85" spans="1:9" s="118" customFormat="1">
      <c r="A85" s="92" t="s">
        <v>154</v>
      </c>
      <c r="B85" s="93" t="s">
        <v>1757</v>
      </c>
      <c r="C85" s="666" t="s">
        <v>143</v>
      </c>
      <c r="D85" s="94">
        <v>1</v>
      </c>
      <c r="E85" s="94"/>
      <c r="F85" s="94">
        <f t="shared" ref="F85:F147" si="0">D85-E85</f>
        <v>1</v>
      </c>
      <c r="G85" s="75"/>
      <c r="H85" s="9">
        <f t="shared" ref="H85:H147" si="1">G85*E85</f>
        <v>0</v>
      </c>
      <c r="I85" s="9">
        <f t="shared" ref="I85:I147" si="2">G85*F85</f>
        <v>0</v>
      </c>
    </row>
    <row r="86" spans="1:9" s="185" customFormat="1" ht="11.25">
      <c r="A86" s="180"/>
      <c r="B86" s="181" t="s">
        <v>1771</v>
      </c>
      <c r="C86" s="667">
        <v>1</v>
      </c>
      <c r="D86" s="182"/>
      <c r="E86" s="182"/>
      <c r="F86" s="182"/>
      <c r="G86" s="183"/>
      <c r="H86" s="184"/>
      <c r="I86" s="184"/>
    </row>
    <row r="87" spans="1:9" s="185" customFormat="1" ht="11.25">
      <c r="A87" s="180"/>
      <c r="B87" s="181" t="s">
        <v>1772</v>
      </c>
      <c r="C87" s="667">
        <v>1</v>
      </c>
      <c r="D87" s="182"/>
      <c r="E87" s="182"/>
      <c r="F87" s="182"/>
      <c r="G87" s="183"/>
      <c r="H87" s="184"/>
      <c r="I87" s="184"/>
    </row>
    <row r="88" spans="1:9" s="185" customFormat="1" ht="11.25">
      <c r="A88" s="180"/>
      <c r="B88" s="181" t="s">
        <v>1763</v>
      </c>
      <c r="C88" s="667">
        <v>2</v>
      </c>
      <c r="D88" s="182"/>
      <c r="E88" s="182"/>
      <c r="F88" s="182"/>
      <c r="G88" s="183"/>
      <c r="H88" s="184"/>
      <c r="I88" s="184"/>
    </row>
    <row r="89" spans="1:9" s="185" customFormat="1" ht="11.25">
      <c r="A89" s="180"/>
      <c r="B89" s="181" t="s">
        <v>1775</v>
      </c>
      <c r="C89" s="667">
        <v>4</v>
      </c>
      <c r="D89" s="182"/>
      <c r="E89" s="182"/>
      <c r="F89" s="182"/>
      <c r="G89" s="183"/>
      <c r="H89" s="184"/>
      <c r="I89" s="184"/>
    </row>
    <row r="90" spans="1:9" s="185" customFormat="1" ht="11.25">
      <c r="A90" s="180"/>
      <c r="B90" s="181" t="s">
        <v>1776</v>
      </c>
      <c r="C90" s="667">
        <v>1</v>
      </c>
      <c r="D90" s="182"/>
      <c r="E90" s="182"/>
      <c r="F90" s="182"/>
      <c r="G90" s="183"/>
      <c r="H90" s="184"/>
      <c r="I90" s="184"/>
    </row>
    <row r="91" spans="1:9" s="185" customFormat="1" ht="11.25">
      <c r="A91" s="180"/>
      <c r="B91" s="181" t="s">
        <v>1777</v>
      </c>
      <c r="C91" s="667">
        <v>1</v>
      </c>
      <c r="D91" s="182"/>
      <c r="E91" s="182"/>
      <c r="F91" s="182"/>
      <c r="G91" s="183"/>
      <c r="H91" s="184"/>
      <c r="I91" s="184"/>
    </row>
    <row r="92" spans="1:9" s="118" customFormat="1">
      <c r="A92" s="95" t="s">
        <v>144</v>
      </c>
      <c r="B92" s="96" t="s">
        <v>236</v>
      </c>
      <c r="C92" s="668"/>
      <c r="D92" s="97"/>
      <c r="E92" s="97"/>
      <c r="F92" s="97"/>
      <c r="G92" s="77"/>
      <c r="H92" s="8"/>
      <c r="I92" s="8"/>
    </row>
    <row r="93" spans="1:9" s="118" customFormat="1" ht="24">
      <c r="A93" s="92" t="s">
        <v>208</v>
      </c>
      <c r="B93" s="93" t="s">
        <v>2349</v>
      </c>
      <c r="C93" s="666" t="s">
        <v>143</v>
      </c>
      <c r="D93" s="94">
        <v>25</v>
      </c>
      <c r="E93" s="94"/>
      <c r="F93" s="94">
        <f t="shared" si="0"/>
        <v>25</v>
      </c>
      <c r="G93" s="75"/>
      <c r="H93" s="9">
        <f t="shared" si="1"/>
        <v>0</v>
      </c>
      <c r="I93" s="9">
        <f t="shared" si="2"/>
        <v>0</v>
      </c>
    </row>
    <row r="94" spans="1:9" s="118" customFormat="1">
      <c r="A94" s="92" t="s">
        <v>210</v>
      </c>
      <c r="B94" s="93" t="s">
        <v>2350</v>
      </c>
      <c r="C94" s="666" t="s">
        <v>143</v>
      </c>
      <c r="D94" s="94">
        <v>25</v>
      </c>
      <c r="E94" s="94"/>
      <c r="F94" s="94">
        <f t="shared" si="0"/>
        <v>25</v>
      </c>
      <c r="G94" s="75"/>
      <c r="H94" s="9">
        <f t="shared" si="1"/>
        <v>0</v>
      </c>
      <c r="I94" s="9">
        <f t="shared" si="2"/>
        <v>0</v>
      </c>
    </row>
    <row r="95" spans="1:9" s="118" customFormat="1" ht="24">
      <c r="A95" s="92" t="s">
        <v>209</v>
      </c>
      <c r="B95" s="93" t="s">
        <v>2351</v>
      </c>
      <c r="C95" s="666" t="s">
        <v>143</v>
      </c>
      <c r="D95" s="94">
        <v>25</v>
      </c>
      <c r="E95" s="94"/>
      <c r="F95" s="94">
        <f t="shared" si="0"/>
        <v>25</v>
      </c>
      <c r="G95" s="75"/>
      <c r="H95" s="9">
        <f t="shared" si="1"/>
        <v>0</v>
      </c>
      <c r="I95" s="9">
        <f t="shared" si="2"/>
        <v>0</v>
      </c>
    </row>
    <row r="96" spans="1:9" s="118" customFormat="1" ht="24">
      <c r="A96" s="92" t="s">
        <v>212</v>
      </c>
      <c r="B96" s="93" t="s">
        <v>2352</v>
      </c>
      <c r="C96" s="666" t="s">
        <v>143</v>
      </c>
      <c r="D96" s="94">
        <v>0</v>
      </c>
      <c r="E96" s="94"/>
      <c r="F96" s="94">
        <f t="shared" si="0"/>
        <v>0</v>
      </c>
      <c r="G96" s="75"/>
      <c r="H96" s="9">
        <f t="shared" si="1"/>
        <v>0</v>
      </c>
      <c r="I96" s="9">
        <f t="shared" si="2"/>
        <v>0</v>
      </c>
    </row>
    <row r="97" spans="1:9" s="118" customFormat="1" ht="24">
      <c r="A97" s="92" t="s">
        <v>213</v>
      </c>
      <c r="B97" s="93" t="s">
        <v>2353</v>
      </c>
      <c r="C97" s="666" t="s">
        <v>143</v>
      </c>
      <c r="D97" s="94">
        <v>0</v>
      </c>
      <c r="E97" s="94"/>
      <c r="F97" s="94">
        <f t="shared" si="0"/>
        <v>0</v>
      </c>
      <c r="G97" s="75"/>
      <c r="H97" s="9">
        <f t="shared" si="1"/>
        <v>0</v>
      </c>
      <c r="I97" s="9">
        <f t="shared" si="2"/>
        <v>0</v>
      </c>
    </row>
    <row r="98" spans="1:9" s="118" customFormat="1" ht="24">
      <c r="A98" s="92" t="s">
        <v>211</v>
      </c>
      <c r="B98" s="93" t="s">
        <v>2354</v>
      </c>
      <c r="C98" s="666" t="s">
        <v>143</v>
      </c>
      <c r="D98" s="94">
        <v>0</v>
      </c>
      <c r="E98" s="94"/>
      <c r="F98" s="94">
        <f t="shared" si="0"/>
        <v>0</v>
      </c>
      <c r="G98" s="75"/>
      <c r="H98" s="9">
        <f t="shared" si="1"/>
        <v>0</v>
      </c>
      <c r="I98" s="9">
        <f t="shared" si="2"/>
        <v>0</v>
      </c>
    </row>
    <row r="99" spans="1:9" s="118" customFormat="1" ht="24">
      <c r="A99" s="92" t="s">
        <v>587</v>
      </c>
      <c r="B99" s="93" t="s">
        <v>2355</v>
      </c>
      <c r="C99" s="666" t="s">
        <v>143</v>
      </c>
      <c r="D99" s="94">
        <v>10</v>
      </c>
      <c r="E99" s="94"/>
      <c r="F99" s="94">
        <f t="shared" si="0"/>
        <v>10</v>
      </c>
      <c r="G99" s="75"/>
      <c r="H99" s="9">
        <f t="shared" si="1"/>
        <v>0</v>
      </c>
      <c r="I99" s="9">
        <f t="shared" si="2"/>
        <v>0</v>
      </c>
    </row>
    <row r="100" spans="1:9" s="118" customFormat="1" ht="24">
      <c r="A100" s="92" t="s">
        <v>1778</v>
      </c>
      <c r="B100" s="93" t="s">
        <v>2356</v>
      </c>
      <c r="C100" s="666" t="s">
        <v>143</v>
      </c>
      <c r="D100" s="94">
        <v>6</v>
      </c>
      <c r="E100" s="94"/>
      <c r="F100" s="94">
        <f t="shared" si="0"/>
        <v>6</v>
      </c>
      <c r="G100" s="75"/>
      <c r="H100" s="9">
        <f t="shared" si="1"/>
        <v>0</v>
      </c>
      <c r="I100" s="9">
        <f t="shared" si="2"/>
        <v>0</v>
      </c>
    </row>
    <row r="101" spans="1:9" s="118" customFormat="1" ht="24">
      <c r="A101" s="92" t="s">
        <v>1779</v>
      </c>
      <c r="B101" s="93" t="s">
        <v>2357</v>
      </c>
      <c r="C101" s="666" t="s">
        <v>143</v>
      </c>
      <c r="D101" s="94">
        <v>0</v>
      </c>
      <c r="E101" s="94"/>
      <c r="F101" s="94">
        <f t="shared" si="0"/>
        <v>0</v>
      </c>
      <c r="G101" s="75"/>
      <c r="H101" s="9">
        <f t="shared" si="1"/>
        <v>0</v>
      </c>
      <c r="I101" s="9">
        <f t="shared" si="2"/>
        <v>0</v>
      </c>
    </row>
    <row r="102" spans="1:9" s="118" customFormat="1" ht="24">
      <c r="A102" s="92" t="s">
        <v>1780</v>
      </c>
      <c r="B102" s="93" t="s">
        <v>2358</v>
      </c>
      <c r="C102" s="666" t="s">
        <v>143</v>
      </c>
      <c r="D102" s="94">
        <v>1</v>
      </c>
      <c r="E102" s="94"/>
      <c r="F102" s="94">
        <f t="shared" si="0"/>
        <v>1</v>
      </c>
      <c r="G102" s="75"/>
      <c r="H102" s="9">
        <f t="shared" si="1"/>
        <v>0</v>
      </c>
      <c r="I102" s="9">
        <f t="shared" si="2"/>
        <v>0</v>
      </c>
    </row>
    <row r="103" spans="1:9" s="118" customFormat="1" ht="24">
      <c r="A103" s="92" t="s">
        <v>1781</v>
      </c>
      <c r="B103" s="93" t="s">
        <v>2359</v>
      </c>
      <c r="C103" s="666" t="s">
        <v>143</v>
      </c>
      <c r="D103" s="94">
        <v>4</v>
      </c>
      <c r="E103" s="94">
        <v>1</v>
      </c>
      <c r="F103" s="94">
        <f t="shared" si="0"/>
        <v>3</v>
      </c>
      <c r="G103" s="75"/>
      <c r="H103" s="9">
        <f t="shared" si="1"/>
        <v>0</v>
      </c>
      <c r="I103" s="9">
        <f t="shared" si="2"/>
        <v>0</v>
      </c>
    </row>
    <row r="104" spans="1:9" s="118" customFormat="1" ht="24">
      <c r="A104" s="92" t="s">
        <v>1782</v>
      </c>
      <c r="B104" s="93" t="s">
        <v>2360</v>
      </c>
      <c r="C104" s="666" t="s">
        <v>143</v>
      </c>
      <c r="D104" s="94">
        <v>1</v>
      </c>
      <c r="E104" s="94"/>
      <c r="F104" s="94">
        <f t="shared" si="0"/>
        <v>1</v>
      </c>
      <c r="G104" s="75"/>
      <c r="H104" s="9">
        <f t="shared" si="1"/>
        <v>0</v>
      </c>
      <c r="I104" s="9">
        <f t="shared" si="2"/>
        <v>0</v>
      </c>
    </row>
    <row r="105" spans="1:9" s="118" customFormat="1" ht="24">
      <c r="A105" s="92" t="s">
        <v>1783</v>
      </c>
      <c r="B105" s="93" t="s">
        <v>2361</v>
      </c>
      <c r="C105" s="666" t="s">
        <v>143</v>
      </c>
      <c r="D105" s="94">
        <v>12</v>
      </c>
      <c r="E105" s="94"/>
      <c r="F105" s="94">
        <f t="shared" si="0"/>
        <v>12</v>
      </c>
      <c r="G105" s="75"/>
      <c r="H105" s="9">
        <f t="shared" si="1"/>
        <v>0</v>
      </c>
      <c r="I105" s="9">
        <f t="shared" si="2"/>
        <v>0</v>
      </c>
    </row>
    <row r="106" spans="1:9" s="118" customFormat="1" ht="24">
      <c r="A106" s="92" t="s">
        <v>1784</v>
      </c>
      <c r="B106" s="93" t="s">
        <v>2362</v>
      </c>
      <c r="C106" s="666" t="s">
        <v>143</v>
      </c>
      <c r="D106" s="94">
        <v>3</v>
      </c>
      <c r="E106" s="94"/>
      <c r="F106" s="94">
        <f t="shared" si="0"/>
        <v>3</v>
      </c>
      <c r="G106" s="75"/>
      <c r="H106" s="9">
        <f t="shared" si="1"/>
        <v>0</v>
      </c>
      <c r="I106" s="9">
        <f t="shared" si="2"/>
        <v>0</v>
      </c>
    </row>
    <row r="107" spans="1:9" s="118" customFormat="1" ht="24">
      <c r="A107" s="92" t="s">
        <v>1785</v>
      </c>
      <c r="B107" s="93" t="s">
        <v>2363</v>
      </c>
      <c r="C107" s="666" t="s">
        <v>143</v>
      </c>
      <c r="D107" s="94">
        <v>3</v>
      </c>
      <c r="E107" s="94"/>
      <c r="F107" s="94">
        <f t="shared" si="0"/>
        <v>3</v>
      </c>
      <c r="G107" s="75"/>
      <c r="H107" s="9">
        <f t="shared" si="1"/>
        <v>0</v>
      </c>
      <c r="I107" s="9">
        <f t="shared" si="2"/>
        <v>0</v>
      </c>
    </row>
    <row r="108" spans="1:9" s="118" customFormat="1" ht="24">
      <c r="A108" s="92" t="s">
        <v>1786</v>
      </c>
      <c r="B108" s="93" t="s">
        <v>2364</v>
      </c>
      <c r="C108" s="666" t="s">
        <v>143</v>
      </c>
      <c r="D108" s="94">
        <v>6</v>
      </c>
      <c r="E108" s="94"/>
      <c r="F108" s="94">
        <f t="shared" si="0"/>
        <v>6</v>
      </c>
      <c r="G108" s="75"/>
      <c r="H108" s="9">
        <f t="shared" si="1"/>
        <v>0</v>
      </c>
      <c r="I108" s="9">
        <f t="shared" si="2"/>
        <v>0</v>
      </c>
    </row>
    <row r="109" spans="1:9" s="118" customFormat="1" ht="24">
      <c r="A109" s="92" t="s">
        <v>1787</v>
      </c>
      <c r="B109" s="93" t="s">
        <v>2365</v>
      </c>
      <c r="C109" s="666" t="s">
        <v>143</v>
      </c>
      <c r="D109" s="94">
        <v>16</v>
      </c>
      <c r="E109" s="94"/>
      <c r="F109" s="94">
        <f t="shared" si="0"/>
        <v>16</v>
      </c>
      <c r="G109" s="75"/>
      <c r="H109" s="9">
        <f t="shared" si="1"/>
        <v>0</v>
      </c>
      <c r="I109" s="9">
        <f t="shared" si="2"/>
        <v>0</v>
      </c>
    </row>
    <row r="110" spans="1:9" s="118" customFormat="1" ht="24">
      <c r="A110" s="92" t="s">
        <v>1788</v>
      </c>
      <c r="B110" s="93" t="s">
        <v>2366</v>
      </c>
      <c r="C110" s="666" t="s">
        <v>143</v>
      </c>
      <c r="D110" s="94">
        <v>1</v>
      </c>
      <c r="E110" s="94"/>
      <c r="F110" s="94">
        <f t="shared" si="0"/>
        <v>1</v>
      </c>
      <c r="G110" s="75"/>
      <c r="H110" s="9">
        <f t="shared" si="1"/>
        <v>0</v>
      </c>
      <c r="I110" s="9">
        <f t="shared" si="2"/>
        <v>0</v>
      </c>
    </row>
    <row r="111" spans="1:9" s="118" customFormat="1" ht="24">
      <c r="A111" s="92" t="s">
        <v>1789</v>
      </c>
      <c r="B111" s="93" t="s">
        <v>2367</v>
      </c>
      <c r="C111" s="666" t="s">
        <v>143</v>
      </c>
      <c r="D111" s="94">
        <v>3</v>
      </c>
      <c r="E111" s="94">
        <v>3</v>
      </c>
      <c r="F111" s="94">
        <f t="shared" si="0"/>
        <v>0</v>
      </c>
      <c r="G111" s="75"/>
      <c r="H111" s="9">
        <f t="shared" si="1"/>
        <v>0</v>
      </c>
      <c r="I111" s="9">
        <f t="shared" si="2"/>
        <v>0</v>
      </c>
    </row>
    <row r="112" spans="1:9" s="118" customFormat="1" ht="24">
      <c r="A112" s="92" t="s">
        <v>1790</v>
      </c>
      <c r="B112" s="93" t="s">
        <v>2368</v>
      </c>
      <c r="C112" s="666" t="s">
        <v>143</v>
      </c>
      <c r="D112" s="94">
        <v>9</v>
      </c>
      <c r="E112" s="94">
        <v>9</v>
      </c>
      <c r="F112" s="94">
        <f t="shared" si="0"/>
        <v>0</v>
      </c>
      <c r="G112" s="75"/>
      <c r="H112" s="9">
        <f t="shared" si="1"/>
        <v>0</v>
      </c>
      <c r="I112" s="9">
        <f t="shared" si="2"/>
        <v>0</v>
      </c>
    </row>
    <row r="113" spans="1:9" s="118" customFormat="1" ht="24">
      <c r="A113" s="92" t="s">
        <v>1791</v>
      </c>
      <c r="B113" s="93" t="s">
        <v>2369</v>
      </c>
      <c r="C113" s="666" t="s">
        <v>143</v>
      </c>
      <c r="D113" s="94">
        <v>6</v>
      </c>
      <c r="E113" s="94">
        <v>2</v>
      </c>
      <c r="F113" s="94">
        <f t="shared" si="0"/>
        <v>4</v>
      </c>
      <c r="G113" s="75"/>
      <c r="H113" s="9">
        <f t="shared" si="1"/>
        <v>0</v>
      </c>
      <c r="I113" s="9">
        <f t="shared" si="2"/>
        <v>0</v>
      </c>
    </row>
    <row r="114" spans="1:9" s="118" customFormat="1" ht="24">
      <c r="A114" s="92" t="s">
        <v>1792</v>
      </c>
      <c r="B114" s="93" t="s">
        <v>2370</v>
      </c>
      <c r="C114" s="666" t="s">
        <v>143</v>
      </c>
      <c r="D114" s="94">
        <v>13</v>
      </c>
      <c r="E114" s="94"/>
      <c r="F114" s="94">
        <f t="shared" si="0"/>
        <v>13</v>
      </c>
      <c r="G114" s="75"/>
      <c r="H114" s="9">
        <f t="shared" si="1"/>
        <v>0</v>
      </c>
      <c r="I114" s="9">
        <f t="shared" si="2"/>
        <v>0</v>
      </c>
    </row>
    <row r="115" spans="1:9" s="118" customFormat="1" ht="24">
      <c r="A115" s="92" t="s">
        <v>1793</v>
      </c>
      <c r="B115" s="93" t="s">
        <v>2371</v>
      </c>
      <c r="C115" s="666" t="s">
        <v>143</v>
      </c>
      <c r="D115" s="94">
        <v>8</v>
      </c>
      <c r="E115" s="94"/>
      <c r="F115" s="94">
        <f t="shared" si="0"/>
        <v>8</v>
      </c>
      <c r="G115" s="75"/>
      <c r="H115" s="9">
        <f t="shared" si="1"/>
        <v>0</v>
      </c>
      <c r="I115" s="9">
        <f t="shared" si="2"/>
        <v>0</v>
      </c>
    </row>
    <row r="116" spans="1:9" s="118" customFormat="1" ht="24">
      <c r="A116" s="92" t="s">
        <v>1794</v>
      </c>
      <c r="B116" s="93" t="s">
        <v>2372</v>
      </c>
      <c r="C116" s="666" t="s">
        <v>143</v>
      </c>
      <c r="D116" s="94">
        <v>12</v>
      </c>
      <c r="E116" s="94"/>
      <c r="F116" s="94">
        <f t="shared" si="0"/>
        <v>12</v>
      </c>
      <c r="G116" s="75"/>
      <c r="H116" s="9">
        <f t="shared" si="1"/>
        <v>0</v>
      </c>
      <c r="I116" s="9">
        <f t="shared" si="2"/>
        <v>0</v>
      </c>
    </row>
    <row r="117" spans="1:9" s="118" customFormat="1">
      <c r="A117" s="92" t="s">
        <v>1795</v>
      </c>
      <c r="B117" s="93" t="s">
        <v>2373</v>
      </c>
      <c r="C117" s="666" t="s">
        <v>143</v>
      </c>
      <c r="D117" s="94">
        <v>8</v>
      </c>
      <c r="E117" s="94"/>
      <c r="F117" s="94">
        <f t="shared" si="0"/>
        <v>8</v>
      </c>
      <c r="G117" s="75"/>
      <c r="H117" s="9">
        <f t="shared" si="1"/>
        <v>0</v>
      </c>
      <c r="I117" s="9">
        <f t="shared" si="2"/>
        <v>0</v>
      </c>
    </row>
    <row r="118" spans="1:9" s="118" customFormat="1" ht="24">
      <c r="A118" s="92" t="s">
        <v>1796</v>
      </c>
      <c r="B118" s="93" t="s">
        <v>2374</v>
      </c>
      <c r="C118" s="666" t="s">
        <v>143</v>
      </c>
      <c r="D118" s="94">
        <v>40</v>
      </c>
      <c r="E118" s="94"/>
      <c r="F118" s="94">
        <f t="shared" si="0"/>
        <v>40</v>
      </c>
      <c r="G118" s="75"/>
      <c r="H118" s="9">
        <f t="shared" si="1"/>
        <v>0</v>
      </c>
      <c r="I118" s="9">
        <f t="shared" si="2"/>
        <v>0</v>
      </c>
    </row>
    <row r="119" spans="1:9" s="118" customFormat="1">
      <c r="A119" s="92" t="s">
        <v>1797</v>
      </c>
      <c r="B119" s="93" t="s">
        <v>2375</v>
      </c>
      <c r="C119" s="666" t="s">
        <v>143</v>
      </c>
      <c r="D119" s="94">
        <v>12</v>
      </c>
      <c r="E119" s="94"/>
      <c r="F119" s="94">
        <f t="shared" si="0"/>
        <v>12</v>
      </c>
      <c r="G119" s="75"/>
      <c r="H119" s="9">
        <f t="shared" si="1"/>
        <v>0</v>
      </c>
      <c r="I119" s="9">
        <f t="shared" si="2"/>
        <v>0</v>
      </c>
    </row>
    <row r="120" spans="1:9" s="118" customFormat="1" ht="24">
      <c r="A120" s="92" t="s">
        <v>1798</v>
      </c>
      <c r="B120" s="93" t="s">
        <v>2376</v>
      </c>
      <c r="C120" s="666" t="s">
        <v>143</v>
      </c>
      <c r="D120" s="94">
        <v>36</v>
      </c>
      <c r="E120" s="94">
        <v>36</v>
      </c>
      <c r="F120" s="94">
        <f t="shared" si="0"/>
        <v>0</v>
      </c>
      <c r="G120" s="75"/>
      <c r="H120" s="9">
        <f t="shared" si="1"/>
        <v>0</v>
      </c>
      <c r="I120" s="9">
        <f t="shared" si="2"/>
        <v>0</v>
      </c>
    </row>
    <row r="121" spans="1:9" s="118" customFormat="1" ht="24">
      <c r="A121" s="92" t="s">
        <v>1799</v>
      </c>
      <c r="B121" s="93" t="s">
        <v>2377</v>
      </c>
      <c r="C121" s="666" t="s">
        <v>143</v>
      </c>
      <c r="D121" s="94">
        <v>42</v>
      </c>
      <c r="E121" s="94">
        <v>37</v>
      </c>
      <c r="F121" s="94">
        <f t="shared" si="0"/>
        <v>5</v>
      </c>
      <c r="G121" s="75"/>
      <c r="H121" s="9">
        <f t="shared" si="1"/>
        <v>0</v>
      </c>
      <c r="I121" s="9">
        <f t="shared" si="2"/>
        <v>0</v>
      </c>
    </row>
    <row r="122" spans="1:9" s="118" customFormat="1">
      <c r="A122" s="92" t="s">
        <v>1800</v>
      </c>
      <c r="B122" s="93" t="s">
        <v>2378</v>
      </c>
      <c r="C122" s="666" t="s">
        <v>143</v>
      </c>
      <c r="D122" s="94">
        <v>18</v>
      </c>
      <c r="E122" s="94"/>
      <c r="F122" s="94">
        <f t="shared" si="0"/>
        <v>18</v>
      </c>
      <c r="G122" s="75"/>
      <c r="H122" s="9">
        <f t="shared" si="1"/>
        <v>0</v>
      </c>
      <c r="I122" s="9">
        <f t="shared" si="2"/>
        <v>0</v>
      </c>
    </row>
    <row r="123" spans="1:9" s="118" customFormat="1">
      <c r="A123" s="92" t="s">
        <v>1801</v>
      </c>
      <c r="B123" s="93" t="s">
        <v>2379</v>
      </c>
      <c r="C123" s="666" t="s">
        <v>143</v>
      </c>
      <c r="D123" s="94">
        <v>3</v>
      </c>
      <c r="E123" s="94"/>
      <c r="F123" s="94">
        <f t="shared" si="0"/>
        <v>3</v>
      </c>
      <c r="G123" s="75"/>
      <c r="H123" s="9">
        <f t="shared" si="1"/>
        <v>0</v>
      </c>
      <c r="I123" s="9">
        <f t="shared" si="2"/>
        <v>0</v>
      </c>
    </row>
    <row r="124" spans="1:9" s="118" customFormat="1">
      <c r="A124" s="92" t="s">
        <v>1802</v>
      </c>
      <c r="B124" s="93" t="s">
        <v>2380</v>
      </c>
      <c r="C124" s="666" t="s">
        <v>143</v>
      </c>
      <c r="D124" s="94">
        <v>3</v>
      </c>
      <c r="E124" s="94"/>
      <c r="F124" s="94">
        <f t="shared" si="0"/>
        <v>3</v>
      </c>
      <c r="G124" s="75"/>
      <c r="H124" s="9">
        <f t="shared" si="1"/>
        <v>0</v>
      </c>
      <c r="I124" s="9">
        <f t="shared" si="2"/>
        <v>0</v>
      </c>
    </row>
    <row r="125" spans="1:9" s="118" customFormat="1">
      <c r="A125" s="92" t="s">
        <v>1803</v>
      </c>
      <c r="B125" s="93" t="s">
        <v>2381</v>
      </c>
      <c r="C125" s="666" t="s">
        <v>143</v>
      </c>
      <c r="D125" s="94">
        <v>6</v>
      </c>
      <c r="E125" s="94"/>
      <c r="F125" s="94">
        <f t="shared" si="0"/>
        <v>6</v>
      </c>
      <c r="G125" s="75"/>
      <c r="H125" s="9">
        <f t="shared" si="1"/>
        <v>0</v>
      </c>
      <c r="I125" s="9">
        <f t="shared" si="2"/>
        <v>0</v>
      </c>
    </row>
    <row r="126" spans="1:9" s="118" customFormat="1">
      <c r="A126" s="92" t="s">
        <v>1804</v>
      </c>
      <c r="B126" s="93" t="s">
        <v>2382</v>
      </c>
      <c r="C126" s="666" t="s">
        <v>143</v>
      </c>
      <c r="D126" s="94">
        <v>5</v>
      </c>
      <c r="E126" s="94">
        <v>5</v>
      </c>
      <c r="F126" s="94">
        <f t="shared" si="0"/>
        <v>0</v>
      </c>
      <c r="G126" s="75"/>
      <c r="H126" s="9">
        <f t="shared" si="1"/>
        <v>0</v>
      </c>
      <c r="I126" s="9">
        <f t="shared" si="2"/>
        <v>0</v>
      </c>
    </row>
    <row r="127" spans="1:9" s="118" customFormat="1">
      <c r="A127" s="92" t="s">
        <v>1805</v>
      </c>
      <c r="B127" s="93" t="s">
        <v>2383</v>
      </c>
      <c r="C127" s="666" t="s">
        <v>143</v>
      </c>
      <c r="D127" s="94">
        <v>10</v>
      </c>
      <c r="E127" s="94">
        <v>10</v>
      </c>
      <c r="F127" s="94">
        <f t="shared" si="0"/>
        <v>0</v>
      </c>
      <c r="G127" s="75"/>
      <c r="H127" s="9">
        <f t="shared" si="1"/>
        <v>0</v>
      </c>
      <c r="I127" s="9">
        <f t="shared" si="2"/>
        <v>0</v>
      </c>
    </row>
    <row r="128" spans="1:9" s="118" customFormat="1">
      <c r="A128" s="92" t="s">
        <v>1806</v>
      </c>
      <c r="B128" s="93" t="s">
        <v>2384</v>
      </c>
      <c r="C128" s="666" t="s">
        <v>143</v>
      </c>
      <c r="D128" s="94">
        <v>0</v>
      </c>
      <c r="E128" s="94"/>
      <c r="F128" s="94">
        <f t="shared" si="0"/>
        <v>0</v>
      </c>
      <c r="G128" s="75"/>
      <c r="H128" s="9">
        <f t="shared" si="1"/>
        <v>0</v>
      </c>
      <c r="I128" s="9">
        <f t="shared" si="2"/>
        <v>0</v>
      </c>
    </row>
    <row r="129" spans="1:9" s="118" customFormat="1">
      <c r="A129" s="92" t="s">
        <v>1807</v>
      </c>
      <c r="B129" s="93" t="s">
        <v>2385</v>
      </c>
      <c r="C129" s="666" t="s">
        <v>143</v>
      </c>
      <c r="D129" s="94">
        <v>1</v>
      </c>
      <c r="E129" s="94">
        <v>1</v>
      </c>
      <c r="F129" s="94">
        <f t="shared" si="0"/>
        <v>0</v>
      </c>
      <c r="G129" s="75"/>
      <c r="H129" s="9">
        <f t="shared" si="1"/>
        <v>0</v>
      </c>
      <c r="I129" s="9">
        <f t="shared" si="2"/>
        <v>0</v>
      </c>
    </row>
    <row r="130" spans="1:9" s="118" customFormat="1">
      <c r="A130" s="92" t="s">
        <v>1808</v>
      </c>
      <c r="B130" s="93" t="s">
        <v>2386</v>
      </c>
      <c r="C130" s="666" t="s">
        <v>143</v>
      </c>
      <c r="D130" s="94">
        <v>8</v>
      </c>
      <c r="E130" s="94">
        <v>8</v>
      </c>
      <c r="F130" s="94">
        <f t="shared" si="0"/>
        <v>0</v>
      </c>
      <c r="G130" s="75"/>
      <c r="H130" s="9">
        <f t="shared" si="1"/>
        <v>0</v>
      </c>
      <c r="I130" s="9">
        <f t="shared" si="2"/>
        <v>0</v>
      </c>
    </row>
    <row r="131" spans="1:9" s="118" customFormat="1">
      <c r="A131" s="92" t="s">
        <v>1809</v>
      </c>
      <c r="B131" s="93" t="s">
        <v>2387</v>
      </c>
      <c r="C131" s="666" t="s">
        <v>143</v>
      </c>
      <c r="D131" s="94">
        <v>5</v>
      </c>
      <c r="E131" s="94">
        <v>5</v>
      </c>
      <c r="F131" s="94">
        <f t="shared" si="0"/>
        <v>0</v>
      </c>
      <c r="G131" s="75"/>
      <c r="H131" s="9">
        <f t="shared" si="1"/>
        <v>0</v>
      </c>
      <c r="I131" s="9">
        <f t="shared" si="2"/>
        <v>0</v>
      </c>
    </row>
    <row r="132" spans="1:9" s="118" customFormat="1">
      <c r="A132" s="92" t="s">
        <v>1810</v>
      </c>
      <c r="B132" s="93" t="s">
        <v>2388</v>
      </c>
      <c r="C132" s="666" t="s">
        <v>143</v>
      </c>
      <c r="D132" s="94">
        <v>1</v>
      </c>
      <c r="E132" s="94"/>
      <c r="F132" s="94">
        <f t="shared" si="0"/>
        <v>1</v>
      </c>
      <c r="G132" s="75"/>
      <c r="H132" s="9">
        <f t="shared" si="1"/>
        <v>0</v>
      </c>
      <c r="I132" s="9">
        <f t="shared" si="2"/>
        <v>0</v>
      </c>
    </row>
    <row r="133" spans="1:9" s="118" customFormat="1" ht="24">
      <c r="A133" s="92" t="s">
        <v>1811</v>
      </c>
      <c r="B133" s="93" t="s">
        <v>2389</v>
      </c>
      <c r="C133" s="666" t="s">
        <v>143</v>
      </c>
      <c r="D133" s="94">
        <v>2</v>
      </c>
      <c r="E133" s="94"/>
      <c r="F133" s="94">
        <f t="shared" si="0"/>
        <v>2</v>
      </c>
      <c r="G133" s="75"/>
      <c r="H133" s="9">
        <f t="shared" si="1"/>
        <v>0</v>
      </c>
      <c r="I133" s="9">
        <f t="shared" si="2"/>
        <v>0</v>
      </c>
    </row>
    <row r="134" spans="1:9" s="118" customFormat="1" ht="24">
      <c r="A134" s="92" t="s">
        <v>1812</v>
      </c>
      <c r="B134" s="93" t="s">
        <v>2390</v>
      </c>
      <c r="C134" s="666" t="s">
        <v>143</v>
      </c>
      <c r="D134" s="94">
        <v>3</v>
      </c>
      <c r="E134" s="94"/>
      <c r="F134" s="94">
        <f t="shared" si="0"/>
        <v>3</v>
      </c>
      <c r="G134" s="75"/>
      <c r="H134" s="9">
        <f t="shared" si="1"/>
        <v>0</v>
      </c>
      <c r="I134" s="9">
        <f t="shared" si="2"/>
        <v>0</v>
      </c>
    </row>
    <row r="135" spans="1:9" s="118" customFormat="1" ht="24">
      <c r="A135" s="92" t="s">
        <v>1813</v>
      </c>
      <c r="B135" s="93" t="s">
        <v>2391</v>
      </c>
      <c r="C135" s="666" t="s">
        <v>143</v>
      </c>
      <c r="D135" s="94">
        <v>0</v>
      </c>
      <c r="E135" s="94"/>
      <c r="F135" s="94">
        <f t="shared" si="0"/>
        <v>0</v>
      </c>
      <c r="G135" s="75"/>
      <c r="H135" s="9">
        <f t="shared" si="1"/>
        <v>0</v>
      </c>
      <c r="I135" s="9">
        <f t="shared" si="2"/>
        <v>0</v>
      </c>
    </row>
    <row r="136" spans="1:9" s="118" customFormat="1" ht="24">
      <c r="A136" s="92" t="s">
        <v>1814</v>
      </c>
      <c r="B136" s="93" t="s">
        <v>2392</v>
      </c>
      <c r="C136" s="666" t="s">
        <v>143</v>
      </c>
      <c r="D136" s="94">
        <v>2</v>
      </c>
      <c r="E136" s="94">
        <v>2</v>
      </c>
      <c r="F136" s="94">
        <f t="shared" si="0"/>
        <v>0</v>
      </c>
      <c r="G136" s="75"/>
      <c r="H136" s="9">
        <f t="shared" si="1"/>
        <v>0</v>
      </c>
      <c r="I136" s="9">
        <f t="shared" si="2"/>
        <v>0</v>
      </c>
    </row>
    <row r="137" spans="1:9" s="118" customFormat="1" ht="24">
      <c r="A137" s="92" t="s">
        <v>1815</v>
      </c>
      <c r="B137" s="93" t="s">
        <v>2393</v>
      </c>
      <c r="C137" s="666" t="s">
        <v>143</v>
      </c>
      <c r="D137" s="94">
        <v>5</v>
      </c>
      <c r="E137" s="94"/>
      <c r="F137" s="94">
        <f t="shared" si="0"/>
        <v>5</v>
      </c>
      <c r="G137" s="75"/>
      <c r="H137" s="9">
        <f t="shared" si="1"/>
        <v>0</v>
      </c>
      <c r="I137" s="9">
        <f t="shared" si="2"/>
        <v>0</v>
      </c>
    </row>
    <row r="138" spans="1:9" s="118" customFormat="1" ht="24">
      <c r="A138" s="92" t="s">
        <v>1816</v>
      </c>
      <c r="B138" s="93" t="s">
        <v>2394</v>
      </c>
      <c r="C138" s="666" t="s">
        <v>143</v>
      </c>
      <c r="D138" s="94">
        <v>8</v>
      </c>
      <c r="E138" s="94"/>
      <c r="F138" s="94">
        <f t="shared" si="0"/>
        <v>8</v>
      </c>
      <c r="G138" s="75"/>
      <c r="H138" s="9">
        <f t="shared" si="1"/>
        <v>0</v>
      </c>
      <c r="I138" s="9">
        <f t="shared" si="2"/>
        <v>0</v>
      </c>
    </row>
    <row r="139" spans="1:9" s="118" customFormat="1" ht="24">
      <c r="A139" s="92" t="s">
        <v>1817</v>
      </c>
      <c r="B139" s="93" t="s">
        <v>2395</v>
      </c>
      <c r="C139" s="666" t="s">
        <v>143</v>
      </c>
      <c r="D139" s="94">
        <v>0</v>
      </c>
      <c r="E139" s="94"/>
      <c r="F139" s="94">
        <f t="shared" si="0"/>
        <v>0</v>
      </c>
      <c r="G139" s="75"/>
      <c r="H139" s="9">
        <f t="shared" si="1"/>
        <v>0</v>
      </c>
      <c r="I139" s="9">
        <f t="shared" si="2"/>
        <v>0</v>
      </c>
    </row>
    <row r="140" spans="1:9" s="118" customFormat="1" ht="24">
      <c r="A140" s="92" t="s">
        <v>1818</v>
      </c>
      <c r="B140" s="93" t="s">
        <v>2396</v>
      </c>
      <c r="C140" s="666" t="s">
        <v>143</v>
      </c>
      <c r="D140" s="94">
        <v>2</v>
      </c>
      <c r="E140" s="94"/>
      <c r="F140" s="94">
        <f t="shared" si="0"/>
        <v>2</v>
      </c>
      <c r="G140" s="75"/>
      <c r="H140" s="9">
        <f t="shared" si="1"/>
        <v>0</v>
      </c>
      <c r="I140" s="9">
        <f t="shared" si="2"/>
        <v>0</v>
      </c>
    </row>
    <row r="141" spans="1:9" s="118" customFormat="1" ht="24">
      <c r="A141" s="92" t="s">
        <v>1819</v>
      </c>
      <c r="B141" s="93" t="s">
        <v>2397</v>
      </c>
      <c r="C141" s="666" t="s">
        <v>143</v>
      </c>
      <c r="D141" s="94">
        <v>2</v>
      </c>
      <c r="E141" s="94"/>
      <c r="F141" s="94">
        <f t="shared" si="0"/>
        <v>2</v>
      </c>
      <c r="G141" s="75"/>
      <c r="H141" s="9">
        <f t="shared" si="1"/>
        <v>0</v>
      </c>
      <c r="I141" s="9">
        <f t="shared" si="2"/>
        <v>0</v>
      </c>
    </row>
    <row r="142" spans="1:9" s="118" customFormat="1" ht="24">
      <c r="A142" s="92" t="s">
        <v>1820</v>
      </c>
      <c r="B142" s="93" t="s">
        <v>2398</v>
      </c>
      <c r="C142" s="666" t="s">
        <v>143</v>
      </c>
      <c r="D142" s="94">
        <v>26</v>
      </c>
      <c r="E142" s="94">
        <v>5</v>
      </c>
      <c r="F142" s="94">
        <f t="shared" si="0"/>
        <v>21</v>
      </c>
      <c r="G142" s="75"/>
      <c r="H142" s="9">
        <f t="shared" si="1"/>
        <v>0</v>
      </c>
      <c r="I142" s="9">
        <f t="shared" si="2"/>
        <v>0</v>
      </c>
    </row>
    <row r="143" spans="1:9" s="118" customFormat="1" ht="24">
      <c r="A143" s="92" t="s">
        <v>1821</v>
      </c>
      <c r="B143" s="93" t="s">
        <v>2399</v>
      </c>
      <c r="C143" s="666" t="s">
        <v>143</v>
      </c>
      <c r="D143" s="94">
        <v>7</v>
      </c>
      <c r="E143" s="94"/>
      <c r="F143" s="94">
        <f t="shared" si="0"/>
        <v>7</v>
      </c>
      <c r="G143" s="75"/>
      <c r="H143" s="9">
        <f t="shared" si="1"/>
        <v>0</v>
      </c>
      <c r="I143" s="9">
        <f t="shared" si="2"/>
        <v>0</v>
      </c>
    </row>
    <row r="144" spans="1:9" s="118" customFormat="1" ht="24">
      <c r="A144" s="92" t="s">
        <v>1822</v>
      </c>
      <c r="B144" s="93" t="s">
        <v>2400</v>
      </c>
      <c r="C144" s="666" t="s">
        <v>143</v>
      </c>
      <c r="D144" s="94">
        <v>24</v>
      </c>
      <c r="E144" s="94">
        <v>8</v>
      </c>
      <c r="F144" s="94">
        <f t="shared" si="0"/>
        <v>16</v>
      </c>
      <c r="G144" s="75"/>
      <c r="H144" s="9">
        <f t="shared" si="1"/>
        <v>0</v>
      </c>
      <c r="I144" s="9">
        <f t="shared" si="2"/>
        <v>0</v>
      </c>
    </row>
    <row r="145" spans="1:9" s="118" customFormat="1" ht="24">
      <c r="A145" s="92" t="s">
        <v>1823</v>
      </c>
      <c r="B145" s="93" t="s">
        <v>2401</v>
      </c>
      <c r="C145" s="666" t="s">
        <v>143</v>
      </c>
      <c r="D145" s="94">
        <v>2</v>
      </c>
      <c r="E145" s="94"/>
      <c r="F145" s="94">
        <f t="shared" si="0"/>
        <v>2</v>
      </c>
      <c r="G145" s="75"/>
      <c r="H145" s="9">
        <f t="shared" si="1"/>
        <v>0</v>
      </c>
      <c r="I145" s="9">
        <f t="shared" si="2"/>
        <v>0</v>
      </c>
    </row>
    <row r="146" spans="1:9" s="118" customFormat="1" ht="24">
      <c r="A146" s="92" t="s">
        <v>1824</v>
      </c>
      <c r="B146" s="93" t="s">
        <v>2402</v>
      </c>
      <c r="C146" s="666" t="s">
        <v>143</v>
      </c>
      <c r="D146" s="94">
        <v>4</v>
      </c>
      <c r="E146" s="94"/>
      <c r="F146" s="94">
        <f t="shared" si="0"/>
        <v>4</v>
      </c>
      <c r="G146" s="75"/>
      <c r="H146" s="9">
        <f t="shared" si="1"/>
        <v>0</v>
      </c>
      <c r="I146" s="9">
        <f t="shared" si="2"/>
        <v>0</v>
      </c>
    </row>
    <row r="147" spans="1:9" s="118" customFormat="1" ht="24">
      <c r="A147" s="92" t="s">
        <v>1825</v>
      </c>
      <c r="B147" s="93" t="s">
        <v>2403</v>
      </c>
      <c r="C147" s="666" t="s">
        <v>143</v>
      </c>
      <c r="D147" s="94">
        <v>8</v>
      </c>
      <c r="E147" s="94"/>
      <c r="F147" s="94">
        <f t="shared" si="0"/>
        <v>8</v>
      </c>
      <c r="G147" s="75"/>
      <c r="H147" s="9">
        <f t="shared" si="1"/>
        <v>0</v>
      </c>
      <c r="I147" s="9">
        <f t="shared" si="2"/>
        <v>0</v>
      </c>
    </row>
    <row r="148" spans="1:9" s="118" customFormat="1" ht="24">
      <c r="A148" s="92" t="s">
        <v>2270</v>
      </c>
      <c r="B148" s="93" t="s">
        <v>2404</v>
      </c>
      <c r="C148" s="666" t="s">
        <v>143</v>
      </c>
      <c r="D148" s="94">
        <v>3</v>
      </c>
      <c r="E148" s="94"/>
      <c r="F148" s="94">
        <f t="shared" ref="F148:F211" si="3">D148-E148</f>
        <v>3</v>
      </c>
      <c r="G148" s="75"/>
      <c r="H148" s="9">
        <f t="shared" ref="H148:H211" si="4">G148*E148</f>
        <v>0</v>
      </c>
      <c r="I148" s="9">
        <f t="shared" ref="I148:I211" si="5">G148*F148</f>
        <v>0</v>
      </c>
    </row>
    <row r="149" spans="1:9" s="118" customFormat="1" ht="24">
      <c r="A149" s="92" t="s">
        <v>2271</v>
      </c>
      <c r="B149" s="93" t="s">
        <v>2405</v>
      </c>
      <c r="C149" s="666" t="s">
        <v>143</v>
      </c>
      <c r="D149" s="94">
        <v>2</v>
      </c>
      <c r="E149" s="94"/>
      <c r="F149" s="94">
        <f t="shared" si="3"/>
        <v>2</v>
      </c>
      <c r="G149" s="75"/>
      <c r="H149" s="9">
        <f t="shared" si="4"/>
        <v>0</v>
      </c>
      <c r="I149" s="9">
        <f t="shared" si="5"/>
        <v>0</v>
      </c>
    </row>
    <row r="150" spans="1:9" s="118" customFormat="1">
      <c r="A150" s="95" t="s">
        <v>145</v>
      </c>
      <c r="B150" s="96" t="s">
        <v>2406</v>
      </c>
      <c r="C150" s="668"/>
      <c r="D150" s="97"/>
      <c r="E150" s="97"/>
      <c r="F150" s="97"/>
      <c r="G150" s="77"/>
      <c r="H150" s="8"/>
      <c r="I150" s="8"/>
    </row>
    <row r="151" spans="1:9" s="118" customFormat="1">
      <c r="A151" s="92" t="s">
        <v>214</v>
      </c>
      <c r="B151" s="93" t="s">
        <v>1826</v>
      </c>
      <c r="C151" s="666" t="s">
        <v>143</v>
      </c>
      <c r="D151" s="94">
        <v>64</v>
      </c>
      <c r="E151" s="94">
        <v>8</v>
      </c>
      <c r="F151" s="94">
        <f t="shared" si="3"/>
        <v>56</v>
      </c>
      <c r="G151" s="75"/>
      <c r="H151" s="9">
        <f t="shared" si="4"/>
        <v>0</v>
      </c>
      <c r="I151" s="9">
        <f t="shared" si="5"/>
        <v>0</v>
      </c>
    </row>
    <row r="152" spans="1:9" s="118" customFormat="1">
      <c r="A152" s="92" t="s">
        <v>220</v>
      </c>
      <c r="B152" s="93" t="s">
        <v>1827</v>
      </c>
      <c r="C152" s="666" t="s">
        <v>143</v>
      </c>
      <c r="D152" s="94">
        <v>8</v>
      </c>
      <c r="E152" s="94"/>
      <c r="F152" s="94">
        <f t="shared" si="3"/>
        <v>8</v>
      </c>
      <c r="G152" s="75"/>
      <c r="H152" s="9">
        <f t="shared" si="4"/>
        <v>0</v>
      </c>
      <c r="I152" s="9">
        <f t="shared" si="5"/>
        <v>0</v>
      </c>
    </row>
    <row r="153" spans="1:9" s="118" customFormat="1">
      <c r="A153" s="92" t="s">
        <v>221</v>
      </c>
      <c r="B153" s="93" t="s">
        <v>1828</v>
      </c>
      <c r="C153" s="666" t="s">
        <v>143</v>
      </c>
      <c r="D153" s="94">
        <v>1</v>
      </c>
      <c r="E153" s="94"/>
      <c r="F153" s="94">
        <f t="shared" si="3"/>
        <v>1</v>
      </c>
      <c r="G153" s="75"/>
      <c r="H153" s="9">
        <f t="shared" si="4"/>
        <v>0</v>
      </c>
      <c r="I153" s="9">
        <f t="shared" si="5"/>
        <v>0</v>
      </c>
    </row>
    <row r="154" spans="1:9" s="118" customFormat="1">
      <c r="A154" s="92" t="s">
        <v>222</v>
      </c>
      <c r="B154" s="93" t="s">
        <v>1829</v>
      </c>
      <c r="C154" s="666" t="s">
        <v>143</v>
      </c>
      <c r="D154" s="94">
        <v>1</v>
      </c>
      <c r="E154" s="94"/>
      <c r="F154" s="94">
        <f t="shared" si="3"/>
        <v>1</v>
      </c>
      <c r="G154" s="75"/>
      <c r="H154" s="9">
        <f t="shared" si="4"/>
        <v>0</v>
      </c>
      <c r="I154" s="9">
        <f t="shared" si="5"/>
        <v>0</v>
      </c>
    </row>
    <row r="155" spans="1:9" s="118" customFormat="1">
      <c r="A155" s="92" t="s">
        <v>231</v>
      </c>
      <c r="B155" s="93" t="s">
        <v>1830</v>
      </c>
      <c r="C155" s="666" t="s">
        <v>143</v>
      </c>
      <c r="D155" s="94">
        <v>1</v>
      </c>
      <c r="E155" s="94"/>
      <c r="F155" s="94">
        <f t="shared" si="3"/>
        <v>1</v>
      </c>
      <c r="G155" s="75"/>
      <c r="H155" s="9">
        <f t="shared" si="4"/>
        <v>0</v>
      </c>
      <c r="I155" s="9">
        <f t="shared" si="5"/>
        <v>0</v>
      </c>
    </row>
    <row r="156" spans="1:9" s="118" customFormat="1">
      <c r="A156" s="92" t="s">
        <v>232</v>
      </c>
      <c r="B156" s="93" t="s">
        <v>1831</v>
      </c>
      <c r="C156" s="666" t="s">
        <v>143</v>
      </c>
      <c r="D156" s="94">
        <v>7</v>
      </c>
      <c r="E156" s="94"/>
      <c r="F156" s="94">
        <f t="shared" si="3"/>
        <v>7</v>
      </c>
      <c r="G156" s="75"/>
      <c r="H156" s="9">
        <f t="shared" si="4"/>
        <v>0</v>
      </c>
      <c r="I156" s="9">
        <f t="shared" si="5"/>
        <v>0</v>
      </c>
    </row>
    <row r="157" spans="1:9" s="118" customFormat="1">
      <c r="A157" s="92" t="s">
        <v>1852</v>
      </c>
      <c r="B157" s="93" t="s">
        <v>1832</v>
      </c>
      <c r="C157" s="666" t="s">
        <v>143</v>
      </c>
      <c r="D157" s="94">
        <v>17</v>
      </c>
      <c r="E157" s="94">
        <v>1</v>
      </c>
      <c r="F157" s="94">
        <f t="shared" si="3"/>
        <v>16</v>
      </c>
      <c r="G157" s="75"/>
      <c r="H157" s="9">
        <f t="shared" si="4"/>
        <v>0</v>
      </c>
      <c r="I157" s="9">
        <f t="shared" si="5"/>
        <v>0</v>
      </c>
    </row>
    <row r="158" spans="1:9" s="118" customFormat="1">
      <c r="A158" s="92" t="s">
        <v>1853</v>
      </c>
      <c r="B158" s="93" t="s">
        <v>1833</v>
      </c>
      <c r="C158" s="666" t="s">
        <v>143</v>
      </c>
      <c r="D158" s="94">
        <v>117</v>
      </c>
      <c r="E158" s="94">
        <v>25</v>
      </c>
      <c r="F158" s="94">
        <f t="shared" si="3"/>
        <v>92</v>
      </c>
      <c r="G158" s="75"/>
      <c r="H158" s="9">
        <f t="shared" si="4"/>
        <v>0</v>
      </c>
      <c r="I158" s="9">
        <f t="shared" si="5"/>
        <v>0</v>
      </c>
    </row>
    <row r="159" spans="1:9" s="118" customFormat="1">
      <c r="A159" s="92" t="s">
        <v>1854</v>
      </c>
      <c r="B159" s="93" t="s">
        <v>1834</v>
      </c>
      <c r="C159" s="666" t="s">
        <v>143</v>
      </c>
      <c r="D159" s="94">
        <v>21</v>
      </c>
      <c r="E159" s="94">
        <v>10</v>
      </c>
      <c r="F159" s="94">
        <f t="shared" si="3"/>
        <v>11</v>
      </c>
      <c r="G159" s="75"/>
      <c r="H159" s="9">
        <f t="shared" si="4"/>
        <v>0</v>
      </c>
      <c r="I159" s="9">
        <f t="shared" si="5"/>
        <v>0</v>
      </c>
    </row>
    <row r="160" spans="1:9" s="118" customFormat="1">
      <c r="A160" s="92" t="s">
        <v>1855</v>
      </c>
      <c r="B160" s="93" t="s">
        <v>1835</v>
      </c>
      <c r="C160" s="666" t="s">
        <v>143</v>
      </c>
      <c r="D160" s="94">
        <v>2</v>
      </c>
      <c r="E160" s="94"/>
      <c r="F160" s="94">
        <f t="shared" si="3"/>
        <v>2</v>
      </c>
      <c r="G160" s="75"/>
      <c r="H160" s="9">
        <f t="shared" si="4"/>
        <v>0</v>
      </c>
      <c r="I160" s="9">
        <f t="shared" si="5"/>
        <v>0</v>
      </c>
    </row>
    <row r="161" spans="1:9" s="118" customFormat="1">
      <c r="A161" s="92" t="s">
        <v>1856</v>
      </c>
      <c r="B161" s="93" t="s">
        <v>1836</v>
      </c>
      <c r="C161" s="666" t="s">
        <v>143</v>
      </c>
      <c r="D161" s="94">
        <v>1</v>
      </c>
      <c r="E161" s="94"/>
      <c r="F161" s="94">
        <f t="shared" si="3"/>
        <v>1</v>
      </c>
      <c r="G161" s="75"/>
      <c r="H161" s="9">
        <f t="shared" si="4"/>
        <v>0</v>
      </c>
      <c r="I161" s="9">
        <f t="shared" si="5"/>
        <v>0</v>
      </c>
    </row>
    <row r="162" spans="1:9" s="118" customFormat="1">
      <c r="A162" s="92" t="s">
        <v>1857</v>
      </c>
      <c r="B162" s="93" t="s">
        <v>1837</v>
      </c>
      <c r="C162" s="666" t="s">
        <v>143</v>
      </c>
      <c r="D162" s="94">
        <v>15</v>
      </c>
      <c r="E162" s="94">
        <v>8</v>
      </c>
      <c r="F162" s="94">
        <f t="shared" si="3"/>
        <v>7</v>
      </c>
      <c r="G162" s="75"/>
      <c r="H162" s="9">
        <f t="shared" si="4"/>
        <v>0</v>
      </c>
      <c r="I162" s="9">
        <f t="shared" si="5"/>
        <v>0</v>
      </c>
    </row>
    <row r="163" spans="1:9" s="118" customFormat="1">
      <c r="A163" s="92" t="s">
        <v>1858</v>
      </c>
      <c r="B163" s="93" t="s">
        <v>1838</v>
      </c>
      <c r="C163" s="666" t="s">
        <v>143</v>
      </c>
      <c r="D163" s="94">
        <v>6</v>
      </c>
      <c r="E163" s="94"/>
      <c r="F163" s="94">
        <f t="shared" si="3"/>
        <v>6</v>
      </c>
      <c r="G163" s="75"/>
      <c r="H163" s="9">
        <f t="shared" si="4"/>
        <v>0</v>
      </c>
      <c r="I163" s="9">
        <f t="shared" si="5"/>
        <v>0</v>
      </c>
    </row>
    <row r="164" spans="1:9" s="118" customFormat="1">
      <c r="A164" s="92" t="s">
        <v>1859</v>
      </c>
      <c r="B164" s="93" t="s">
        <v>1839</v>
      </c>
      <c r="C164" s="666" t="s">
        <v>143</v>
      </c>
      <c r="D164" s="94">
        <v>11</v>
      </c>
      <c r="E164" s="94">
        <v>1</v>
      </c>
      <c r="F164" s="94">
        <f t="shared" si="3"/>
        <v>10</v>
      </c>
      <c r="G164" s="75"/>
      <c r="H164" s="9">
        <f t="shared" si="4"/>
        <v>0</v>
      </c>
      <c r="I164" s="9">
        <f t="shared" si="5"/>
        <v>0</v>
      </c>
    </row>
    <row r="165" spans="1:9" s="118" customFormat="1">
      <c r="A165" s="92" t="s">
        <v>1860</v>
      </c>
      <c r="B165" s="93" t="s">
        <v>1840</v>
      </c>
      <c r="C165" s="666" t="s">
        <v>143</v>
      </c>
      <c r="D165" s="94">
        <v>6</v>
      </c>
      <c r="E165" s="94">
        <v>3</v>
      </c>
      <c r="F165" s="94">
        <f t="shared" si="3"/>
        <v>3</v>
      </c>
      <c r="G165" s="75"/>
      <c r="H165" s="9">
        <f t="shared" si="4"/>
        <v>0</v>
      </c>
      <c r="I165" s="9">
        <f t="shared" si="5"/>
        <v>0</v>
      </c>
    </row>
    <row r="166" spans="1:9" s="118" customFormat="1">
      <c r="A166" s="92" t="s">
        <v>1861</v>
      </c>
      <c r="B166" s="93" t="s">
        <v>1841</v>
      </c>
      <c r="C166" s="666" t="s">
        <v>143</v>
      </c>
      <c r="D166" s="94">
        <v>1</v>
      </c>
      <c r="E166" s="94">
        <v>1</v>
      </c>
      <c r="F166" s="94">
        <f t="shared" si="3"/>
        <v>0</v>
      </c>
      <c r="G166" s="75"/>
      <c r="H166" s="9">
        <f t="shared" si="4"/>
        <v>0</v>
      </c>
      <c r="I166" s="9">
        <f t="shared" si="5"/>
        <v>0</v>
      </c>
    </row>
    <row r="167" spans="1:9" s="118" customFormat="1">
      <c r="A167" s="92" t="s">
        <v>1862</v>
      </c>
      <c r="B167" s="93" t="s">
        <v>1842</v>
      </c>
      <c r="C167" s="666" t="s">
        <v>143</v>
      </c>
      <c r="D167" s="94">
        <v>5</v>
      </c>
      <c r="E167" s="94"/>
      <c r="F167" s="94">
        <f t="shared" si="3"/>
        <v>5</v>
      </c>
      <c r="G167" s="75"/>
      <c r="H167" s="9">
        <f t="shared" si="4"/>
        <v>0</v>
      </c>
      <c r="I167" s="9">
        <f t="shared" si="5"/>
        <v>0</v>
      </c>
    </row>
    <row r="168" spans="1:9" s="118" customFormat="1">
      <c r="A168" s="92" t="s">
        <v>1863</v>
      </c>
      <c r="B168" s="93" t="s">
        <v>1843</v>
      </c>
      <c r="C168" s="666" t="s">
        <v>143</v>
      </c>
      <c r="D168" s="94">
        <v>5</v>
      </c>
      <c r="E168" s="94"/>
      <c r="F168" s="94">
        <f t="shared" si="3"/>
        <v>5</v>
      </c>
      <c r="G168" s="75"/>
      <c r="H168" s="9">
        <f t="shared" si="4"/>
        <v>0</v>
      </c>
      <c r="I168" s="9">
        <f t="shared" si="5"/>
        <v>0</v>
      </c>
    </row>
    <row r="169" spans="1:9" s="118" customFormat="1">
      <c r="A169" s="92" t="s">
        <v>1864</v>
      </c>
      <c r="B169" s="93" t="s">
        <v>1844</v>
      </c>
      <c r="C169" s="666" t="s">
        <v>143</v>
      </c>
      <c r="D169" s="94">
        <v>1</v>
      </c>
      <c r="E169" s="94"/>
      <c r="F169" s="94">
        <f t="shared" si="3"/>
        <v>1</v>
      </c>
      <c r="G169" s="75"/>
      <c r="H169" s="9">
        <f t="shared" si="4"/>
        <v>0</v>
      </c>
      <c r="I169" s="9">
        <f t="shared" si="5"/>
        <v>0</v>
      </c>
    </row>
    <row r="170" spans="1:9" s="118" customFormat="1">
      <c r="A170" s="92" t="s">
        <v>1865</v>
      </c>
      <c r="B170" s="93" t="s">
        <v>1845</v>
      </c>
      <c r="C170" s="666" t="s">
        <v>143</v>
      </c>
      <c r="D170" s="94">
        <v>261</v>
      </c>
      <c r="E170" s="94">
        <f>E151+E152+E153+E154+E155+E156+E157+E158+E159</f>
        <v>44</v>
      </c>
      <c r="F170" s="94">
        <f t="shared" si="3"/>
        <v>217</v>
      </c>
      <c r="G170" s="75"/>
      <c r="H170" s="9">
        <f t="shared" si="4"/>
        <v>0</v>
      </c>
      <c r="I170" s="9">
        <f t="shared" si="5"/>
        <v>0</v>
      </c>
    </row>
    <row r="171" spans="1:9" s="118" customFormat="1">
      <c r="A171" s="92" t="s">
        <v>1866</v>
      </c>
      <c r="B171" s="93" t="s">
        <v>1846</v>
      </c>
      <c r="C171" s="666" t="s">
        <v>143</v>
      </c>
      <c r="D171" s="94">
        <v>120</v>
      </c>
      <c r="E171" s="94"/>
      <c r="F171" s="94">
        <f t="shared" si="3"/>
        <v>120</v>
      </c>
      <c r="G171" s="75"/>
      <c r="H171" s="9">
        <f t="shared" si="4"/>
        <v>0</v>
      </c>
      <c r="I171" s="9">
        <f t="shared" si="5"/>
        <v>0</v>
      </c>
    </row>
    <row r="172" spans="1:9" s="118" customFormat="1">
      <c r="A172" s="92" t="s">
        <v>1867</v>
      </c>
      <c r="B172" s="93" t="s">
        <v>1847</v>
      </c>
      <c r="C172" s="666" t="s">
        <v>143</v>
      </c>
      <c r="D172" s="94">
        <v>3</v>
      </c>
      <c r="E172" s="94">
        <v>1</v>
      </c>
      <c r="F172" s="94">
        <f t="shared" si="3"/>
        <v>2</v>
      </c>
      <c r="G172" s="75"/>
      <c r="H172" s="9">
        <f t="shared" si="4"/>
        <v>0</v>
      </c>
      <c r="I172" s="9">
        <f t="shared" si="5"/>
        <v>0</v>
      </c>
    </row>
    <row r="173" spans="1:9" s="118" customFormat="1">
      <c r="A173" s="92" t="s">
        <v>1868</v>
      </c>
      <c r="B173" s="93" t="s">
        <v>1848</v>
      </c>
      <c r="C173" s="666" t="s">
        <v>143</v>
      </c>
      <c r="D173" s="94">
        <v>14</v>
      </c>
      <c r="E173" s="94"/>
      <c r="F173" s="94">
        <f t="shared" si="3"/>
        <v>14</v>
      </c>
      <c r="G173" s="75"/>
      <c r="H173" s="9">
        <f t="shared" si="4"/>
        <v>0</v>
      </c>
      <c r="I173" s="9">
        <f t="shared" si="5"/>
        <v>0</v>
      </c>
    </row>
    <row r="174" spans="1:9" s="118" customFormat="1">
      <c r="A174" s="92" t="s">
        <v>1869</v>
      </c>
      <c r="B174" s="93" t="s">
        <v>1849</v>
      </c>
      <c r="C174" s="666" t="s">
        <v>68</v>
      </c>
      <c r="D174" s="94">
        <v>35</v>
      </c>
      <c r="E174" s="94"/>
      <c r="F174" s="94">
        <f t="shared" si="3"/>
        <v>35</v>
      </c>
      <c r="G174" s="75"/>
      <c r="H174" s="9">
        <f t="shared" si="4"/>
        <v>0</v>
      </c>
      <c r="I174" s="9">
        <f t="shared" si="5"/>
        <v>0</v>
      </c>
    </row>
    <row r="175" spans="1:9" s="118" customFormat="1">
      <c r="A175" s="92" t="s">
        <v>1870</v>
      </c>
      <c r="B175" s="93" t="s">
        <v>1850</v>
      </c>
      <c r="C175" s="666" t="s">
        <v>68</v>
      </c>
      <c r="D175" s="94">
        <v>80</v>
      </c>
      <c r="E175" s="94"/>
      <c r="F175" s="94">
        <f t="shared" si="3"/>
        <v>80</v>
      </c>
      <c r="G175" s="75"/>
      <c r="H175" s="9">
        <f t="shared" si="4"/>
        <v>0</v>
      </c>
      <c r="I175" s="9">
        <f t="shared" si="5"/>
        <v>0</v>
      </c>
    </row>
    <row r="176" spans="1:9" s="118" customFormat="1">
      <c r="A176" s="92" t="s">
        <v>1871</v>
      </c>
      <c r="B176" s="93" t="s">
        <v>1851</v>
      </c>
      <c r="C176" s="666" t="s">
        <v>68</v>
      </c>
      <c r="D176" s="94">
        <v>50</v>
      </c>
      <c r="E176" s="94"/>
      <c r="F176" s="94">
        <f t="shared" si="3"/>
        <v>50</v>
      </c>
      <c r="G176" s="75"/>
      <c r="H176" s="9">
        <f t="shared" si="4"/>
        <v>0</v>
      </c>
      <c r="I176" s="9">
        <f t="shared" si="5"/>
        <v>0</v>
      </c>
    </row>
    <row r="177" spans="1:9" s="118" customFormat="1">
      <c r="A177" s="92" t="s">
        <v>2325</v>
      </c>
      <c r="B177" s="93" t="s">
        <v>2326</v>
      </c>
      <c r="C177" s="666" t="s">
        <v>143</v>
      </c>
      <c r="D177" s="94">
        <v>1</v>
      </c>
      <c r="E177" s="94"/>
      <c r="F177" s="94">
        <f t="shared" si="3"/>
        <v>1</v>
      </c>
      <c r="G177" s="75"/>
      <c r="H177" s="9">
        <f t="shared" si="4"/>
        <v>0</v>
      </c>
      <c r="I177" s="9">
        <f t="shared" si="5"/>
        <v>0</v>
      </c>
    </row>
    <row r="178" spans="1:9" s="118" customFormat="1">
      <c r="A178" s="95" t="s">
        <v>173</v>
      </c>
      <c r="B178" s="96" t="s">
        <v>1872</v>
      </c>
      <c r="C178" s="668"/>
      <c r="D178" s="97"/>
      <c r="E178" s="97"/>
      <c r="F178" s="97"/>
      <c r="G178" s="77"/>
      <c r="H178" s="8"/>
      <c r="I178" s="8"/>
    </row>
    <row r="179" spans="1:9" s="118" customFormat="1">
      <c r="A179" s="92" t="s">
        <v>215</v>
      </c>
      <c r="B179" s="93" t="s">
        <v>1873</v>
      </c>
      <c r="C179" s="666" t="s">
        <v>68</v>
      </c>
      <c r="D179" s="94">
        <v>1600</v>
      </c>
      <c r="E179" s="94">
        <v>420</v>
      </c>
      <c r="F179" s="94">
        <f t="shared" si="3"/>
        <v>1180</v>
      </c>
      <c r="G179" s="75"/>
      <c r="H179" s="9">
        <f t="shared" si="4"/>
        <v>0</v>
      </c>
      <c r="I179" s="9">
        <f t="shared" si="5"/>
        <v>0</v>
      </c>
    </row>
    <row r="180" spans="1:9" s="118" customFormat="1">
      <c r="A180" s="92" t="s">
        <v>216</v>
      </c>
      <c r="B180" s="93" t="s">
        <v>1874</v>
      </c>
      <c r="C180" s="666" t="s">
        <v>68</v>
      </c>
      <c r="D180" s="94">
        <v>525</v>
      </c>
      <c r="E180" s="94"/>
      <c r="F180" s="94">
        <f t="shared" si="3"/>
        <v>525</v>
      </c>
      <c r="G180" s="75"/>
      <c r="H180" s="9">
        <f t="shared" si="4"/>
        <v>0</v>
      </c>
      <c r="I180" s="9">
        <f t="shared" si="5"/>
        <v>0</v>
      </c>
    </row>
    <row r="181" spans="1:9" s="118" customFormat="1">
      <c r="A181" s="92" t="s">
        <v>217</v>
      </c>
      <c r="B181" s="93" t="s">
        <v>1875</v>
      </c>
      <c r="C181" s="666" t="s">
        <v>68</v>
      </c>
      <c r="D181" s="94">
        <v>450</v>
      </c>
      <c r="E181" s="94"/>
      <c r="F181" s="94">
        <f t="shared" si="3"/>
        <v>450</v>
      </c>
      <c r="G181" s="75"/>
      <c r="H181" s="9">
        <f t="shared" si="4"/>
        <v>0</v>
      </c>
      <c r="I181" s="9">
        <f t="shared" si="5"/>
        <v>0</v>
      </c>
    </row>
    <row r="182" spans="1:9" s="118" customFormat="1">
      <c r="A182" s="92" t="s">
        <v>218</v>
      </c>
      <c r="B182" s="93" t="s">
        <v>1876</v>
      </c>
      <c r="C182" s="666" t="s">
        <v>68</v>
      </c>
      <c r="D182" s="94">
        <v>230</v>
      </c>
      <c r="E182" s="94"/>
      <c r="F182" s="94">
        <f t="shared" si="3"/>
        <v>230</v>
      </c>
      <c r="G182" s="75"/>
      <c r="H182" s="9">
        <f t="shared" si="4"/>
        <v>0</v>
      </c>
      <c r="I182" s="9">
        <f t="shared" si="5"/>
        <v>0</v>
      </c>
    </row>
    <row r="183" spans="1:9" s="118" customFormat="1">
      <c r="A183" s="92" t="s">
        <v>219</v>
      </c>
      <c r="B183" s="93" t="s">
        <v>1877</v>
      </c>
      <c r="C183" s="666" t="s">
        <v>68</v>
      </c>
      <c r="D183" s="94">
        <v>2050</v>
      </c>
      <c r="E183" s="94">
        <v>380</v>
      </c>
      <c r="F183" s="94">
        <f t="shared" si="3"/>
        <v>1670</v>
      </c>
      <c r="G183" s="75"/>
      <c r="H183" s="9">
        <f t="shared" si="4"/>
        <v>0</v>
      </c>
      <c r="I183" s="9">
        <f t="shared" si="5"/>
        <v>0</v>
      </c>
    </row>
    <row r="184" spans="1:9" s="118" customFormat="1">
      <c r="A184" s="92" t="s">
        <v>257</v>
      </c>
      <c r="B184" s="93" t="s">
        <v>1878</v>
      </c>
      <c r="C184" s="666" t="s">
        <v>68</v>
      </c>
      <c r="D184" s="94">
        <v>1200</v>
      </c>
      <c r="E184" s="94"/>
      <c r="F184" s="94">
        <f t="shared" si="3"/>
        <v>1200</v>
      </c>
      <c r="G184" s="75"/>
      <c r="H184" s="9">
        <f t="shared" si="4"/>
        <v>0</v>
      </c>
      <c r="I184" s="9">
        <f t="shared" si="5"/>
        <v>0</v>
      </c>
    </row>
    <row r="185" spans="1:9" s="118" customFormat="1">
      <c r="A185" s="92" t="s">
        <v>258</v>
      </c>
      <c r="B185" s="93" t="s">
        <v>1879</v>
      </c>
      <c r="C185" s="666" t="s">
        <v>68</v>
      </c>
      <c r="D185" s="94">
        <v>90</v>
      </c>
      <c r="E185" s="94"/>
      <c r="F185" s="94">
        <f t="shared" si="3"/>
        <v>90</v>
      </c>
      <c r="G185" s="75"/>
      <c r="H185" s="9">
        <f t="shared" si="4"/>
        <v>0</v>
      </c>
      <c r="I185" s="9">
        <f t="shared" si="5"/>
        <v>0</v>
      </c>
    </row>
    <row r="186" spans="1:9" s="118" customFormat="1">
      <c r="A186" s="92" t="s">
        <v>259</v>
      </c>
      <c r="B186" s="93" t="s">
        <v>1880</v>
      </c>
      <c r="C186" s="666" t="s">
        <v>68</v>
      </c>
      <c r="D186" s="94">
        <v>70</v>
      </c>
      <c r="E186" s="94"/>
      <c r="F186" s="94">
        <f t="shared" si="3"/>
        <v>70</v>
      </c>
      <c r="G186" s="75"/>
      <c r="H186" s="9">
        <f t="shared" si="4"/>
        <v>0</v>
      </c>
      <c r="I186" s="9">
        <f t="shared" si="5"/>
        <v>0</v>
      </c>
    </row>
    <row r="187" spans="1:9" s="118" customFormat="1">
      <c r="A187" s="92" t="s">
        <v>260</v>
      </c>
      <c r="B187" s="93" t="s">
        <v>1881</v>
      </c>
      <c r="C187" s="666" t="s">
        <v>68</v>
      </c>
      <c r="D187" s="94">
        <v>960</v>
      </c>
      <c r="E187" s="94"/>
      <c r="F187" s="94">
        <f t="shared" si="3"/>
        <v>960</v>
      </c>
      <c r="G187" s="75"/>
      <c r="H187" s="9">
        <f t="shared" si="4"/>
        <v>0</v>
      </c>
      <c r="I187" s="9">
        <f t="shared" si="5"/>
        <v>0</v>
      </c>
    </row>
    <row r="188" spans="1:9" s="118" customFormat="1">
      <c r="A188" s="92" t="s">
        <v>261</v>
      </c>
      <c r="B188" s="93" t="s">
        <v>1882</v>
      </c>
      <c r="C188" s="666" t="s">
        <v>68</v>
      </c>
      <c r="D188" s="94">
        <v>320</v>
      </c>
      <c r="E188" s="94"/>
      <c r="F188" s="94">
        <f t="shared" si="3"/>
        <v>320</v>
      </c>
      <c r="G188" s="75"/>
      <c r="H188" s="9">
        <f t="shared" si="4"/>
        <v>0</v>
      </c>
      <c r="I188" s="9">
        <f t="shared" si="5"/>
        <v>0</v>
      </c>
    </row>
    <row r="189" spans="1:9" s="118" customFormat="1">
      <c r="A189" s="92" t="s">
        <v>1887</v>
      </c>
      <c r="B189" s="93" t="s">
        <v>1883</v>
      </c>
      <c r="C189" s="666" t="s">
        <v>68</v>
      </c>
      <c r="D189" s="94">
        <v>1200</v>
      </c>
      <c r="E189" s="94">
        <v>110</v>
      </c>
      <c r="F189" s="94">
        <f t="shared" si="3"/>
        <v>1090</v>
      </c>
      <c r="G189" s="75"/>
      <c r="H189" s="9">
        <f t="shared" si="4"/>
        <v>0</v>
      </c>
      <c r="I189" s="9">
        <f t="shared" si="5"/>
        <v>0</v>
      </c>
    </row>
    <row r="190" spans="1:9" s="118" customFormat="1">
      <c r="A190" s="92" t="s">
        <v>1888</v>
      </c>
      <c r="B190" s="93" t="s">
        <v>1884</v>
      </c>
      <c r="C190" s="666" t="s">
        <v>68</v>
      </c>
      <c r="D190" s="94">
        <v>150</v>
      </c>
      <c r="E190" s="94"/>
      <c r="F190" s="94">
        <f t="shared" si="3"/>
        <v>150</v>
      </c>
      <c r="G190" s="75"/>
      <c r="H190" s="9">
        <f t="shared" si="4"/>
        <v>0</v>
      </c>
      <c r="I190" s="9">
        <f t="shared" si="5"/>
        <v>0</v>
      </c>
    </row>
    <row r="191" spans="1:9" s="118" customFormat="1">
      <c r="A191" s="92" t="s">
        <v>1889</v>
      </c>
      <c r="B191" s="93" t="s">
        <v>1885</v>
      </c>
      <c r="C191" s="666" t="s">
        <v>68</v>
      </c>
      <c r="D191" s="94">
        <v>160</v>
      </c>
      <c r="E191" s="94"/>
      <c r="F191" s="94">
        <f t="shared" si="3"/>
        <v>160</v>
      </c>
      <c r="G191" s="75"/>
      <c r="H191" s="9">
        <f t="shared" si="4"/>
        <v>0</v>
      </c>
      <c r="I191" s="9">
        <f t="shared" si="5"/>
        <v>0</v>
      </c>
    </row>
    <row r="192" spans="1:9" s="118" customFormat="1">
      <c r="A192" s="92" t="s">
        <v>1890</v>
      </c>
      <c r="B192" s="93" t="s">
        <v>1886</v>
      </c>
      <c r="C192" s="666" t="s">
        <v>68</v>
      </c>
      <c r="D192" s="94">
        <v>35</v>
      </c>
      <c r="E192" s="94"/>
      <c r="F192" s="94">
        <f t="shared" si="3"/>
        <v>35</v>
      </c>
      <c r="G192" s="75"/>
      <c r="H192" s="9">
        <f t="shared" si="4"/>
        <v>0</v>
      </c>
      <c r="I192" s="9">
        <f t="shared" si="5"/>
        <v>0</v>
      </c>
    </row>
    <row r="193" spans="1:9" s="118" customFormat="1">
      <c r="A193" s="92" t="s">
        <v>1891</v>
      </c>
      <c r="B193" s="93" t="s">
        <v>589</v>
      </c>
      <c r="C193" s="666" t="s">
        <v>68</v>
      </c>
      <c r="D193" s="94">
        <v>30</v>
      </c>
      <c r="E193" s="94"/>
      <c r="F193" s="94">
        <f t="shared" si="3"/>
        <v>30</v>
      </c>
      <c r="G193" s="75"/>
      <c r="H193" s="9">
        <f t="shared" si="4"/>
        <v>0</v>
      </c>
      <c r="I193" s="9">
        <f t="shared" si="5"/>
        <v>0</v>
      </c>
    </row>
    <row r="194" spans="1:9" s="118" customFormat="1">
      <c r="A194" s="95" t="s">
        <v>174</v>
      </c>
      <c r="B194" s="96" t="s">
        <v>594</v>
      </c>
      <c r="C194" s="668"/>
      <c r="D194" s="97"/>
      <c r="E194" s="97"/>
      <c r="F194" s="97"/>
      <c r="G194" s="77"/>
      <c r="H194" s="8"/>
      <c r="I194" s="8"/>
    </row>
    <row r="195" spans="1:9" s="118" customFormat="1">
      <c r="A195" s="92" t="s">
        <v>223</v>
      </c>
      <c r="B195" s="93" t="s">
        <v>1893</v>
      </c>
      <c r="C195" s="666" t="s">
        <v>68</v>
      </c>
      <c r="D195" s="94">
        <v>420</v>
      </c>
      <c r="E195" s="94"/>
      <c r="F195" s="94">
        <f t="shared" si="3"/>
        <v>420</v>
      </c>
      <c r="G195" s="75"/>
      <c r="H195" s="9">
        <f t="shared" si="4"/>
        <v>0</v>
      </c>
      <c r="I195" s="9">
        <f t="shared" si="5"/>
        <v>0</v>
      </c>
    </row>
    <row r="196" spans="1:9" s="118" customFormat="1">
      <c r="A196" s="92" t="s">
        <v>224</v>
      </c>
      <c r="B196" s="93" t="s">
        <v>1894</v>
      </c>
      <c r="C196" s="666" t="s">
        <v>143</v>
      </c>
      <c r="D196" s="94">
        <v>5</v>
      </c>
      <c r="E196" s="94"/>
      <c r="F196" s="94">
        <f t="shared" si="3"/>
        <v>5</v>
      </c>
      <c r="G196" s="75"/>
      <c r="H196" s="9">
        <f t="shared" si="4"/>
        <v>0</v>
      </c>
      <c r="I196" s="9">
        <f t="shared" si="5"/>
        <v>0</v>
      </c>
    </row>
    <row r="197" spans="1:9" s="118" customFormat="1">
      <c r="A197" s="92" t="s">
        <v>1572</v>
      </c>
      <c r="B197" s="93" t="s">
        <v>1895</v>
      </c>
      <c r="C197" s="666" t="s">
        <v>143</v>
      </c>
      <c r="D197" s="94">
        <v>5</v>
      </c>
      <c r="E197" s="94"/>
      <c r="F197" s="94">
        <f t="shared" si="3"/>
        <v>5</v>
      </c>
      <c r="G197" s="75"/>
      <c r="H197" s="9">
        <f t="shared" si="4"/>
        <v>0</v>
      </c>
      <c r="I197" s="9">
        <f t="shared" si="5"/>
        <v>0</v>
      </c>
    </row>
    <row r="198" spans="1:9" s="118" customFormat="1">
      <c r="A198" s="92" t="s">
        <v>1918</v>
      </c>
      <c r="B198" s="93" t="s">
        <v>1896</v>
      </c>
      <c r="C198" s="666" t="s">
        <v>143</v>
      </c>
      <c r="D198" s="94">
        <v>5</v>
      </c>
      <c r="E198" s="94"/>
      <c r="F198" s="94">
        <f t="shared" si="3"/>
        <v>5</v>
      </c>
      <c r="G198" s="75"/>
      <c r="H198" s="9">
        <f t="shared" si="4"/>
        <v>0</v>
      </c>
      <c r="I198" s="9">
        <f t="shared" si="5"/>
        <v>0</v>
      </c>
    </row>
    <row r="199" spans="1:9" s="118" customFormat="1">
      <c r="A199" s="92" t="s">
        <v>1919</v>
      </c>
      <c r="B199" s="93" t="s">
        <v>1897</v>
      </c>
      <c r="C199" s="666" t="s">
        <v>143</v>
      </c>
      <c r="D199" s="94">
        <v>240</v>
      </c>
      <c r="E199" s="94"/>
      <c r="F199" s="94">
        <f t="shared" si="3"/>
        <v>240</v>
      </c>
      <c r="G199" s="75"/>
      <c r="H199" s="9">
        <f t="shared" si="4"/>
        <v>0</v>
      </c>
      <c r="I199" s="9">
        <f t="shared" si="5"/>
        <v>0</v>
      </c>
    </row>
    <row r="200" spans="1:9" s="118" customFormat="1">
      <c r="A200" s="92" t="s">
        <v>1920</v>
      </c>
      <c r="B200" s="93" t="s">
        <v>1898</v>
      </c>
      <c r="C200" s="666" t="s">
        <v>143</v>
      </c>
      <c r="D200" s="94">
        <v>11</v>
      </c>
      <c r="E200" s="94"/>
      <c r="F200" s="94">
        <f t="shared" si="3"/>
        <v>11</v>
      </c>
      <c r="G200" s="75"/>
      <c r="H200" s="9">
        <f t="shared" si="4"/>
        <v>0</v>
      </c>
      <c r="I200" s="9">
        <f t="shared" si="5"/>
        <v>0</v>
      </c>
    </row>
    <row r="201" spans="1:9" s="118" customFormat="1">
      <c r="A201" s="92" t="s">
        <v>1921</v>
      </c>
      <c r="B201" s="93" t="s">
        <v>1899</v>
      </c>
      <c r="C201" s="666" t="s">
        <v>143</v>
      </c>
      <c r="D201" s="94">
        <v>110</v>
      </c>
      <c r="E201" s="94"/>
      <c r="F201" s="94">
        <f t="shared" si="3"/>
        <v>110</v>
      </c>
      <c r="G201" s="75"/>
      <c r="H201" s="9">
        <f t="shared" si="4"/>
        <v>0</v>
      </c>
      <c r="I201" s="9">
        <f t="shared" si="5"/>
        <v>0</v>
      </c>
    </row>
    <row r="202" spans="1:9" s="118" customFormat="1">
      <c r="A202" s="92" t="s">
        <v>1922</v>
      </c>
      <c r="B202" s="93" t="s">
        <v>1900</v>
      </c>
      <c r="C202" s="666" t="s">
        <v>143</v>
      </c>
      <c r="D202" s="94">
        <v>11</v>
      </c>
      <c r="E202" s="94"/>
      <c r="F202" s="94">
        <f t="shared" si="3"/>
        <v>11</v>
      </c>
      <c r="G202" s="75"/>
      <c r="H202" s="9">
        <f t="shared" si="4"/>
        <v>0</v>
      </c>
      <c r="I202" s="9">
        <f t="shared" si="5"/>
        <v>0</v>
      </c>
    </row>
    <row r="203" spans="1:9" s="118" customFormat="1">
      <c r="A203" s="92" t="s">
        <v>1923</v>
      </c>
      <c r="B203" s="93" t="s">
        <v>1901</v>
      </c>
      <c r="C203" s="666" t="s">
        <v>143</v>
      </c>
      <c r="D203" s="94">
        <v>7</v>
      </c>
      <c r="E203" s="94"/>
      <c r="F203" s="94">
        <f t="shared" si="3"/>
        <v>7</v>
      </c>
      <c r="G203" s="75"/>
      <c r="H203" s="9">
        <f t="shared" si="4"/>
        <v>0</v>
      </c>
      <c r="I203" s="9">
        <f t="shared" si="5"/>
        <v>0</v>
      </c>
    </row>
    <row r="204" spans="1:9" s="118" customFormat="1">
      <c r="A204" s="92" t="s">
        <v>1924</v>
      </c>
      <c r="B204" s="93" t="s">
        <v>1902</v>
      </c>
      <c r="C204" s="666" t="s">
        <v>143</v>
      </c>
      <c r="D204" s="94">
        <v>6</v>
      </c>
      <c r="E204" s="94"/>
      <c r="F204" s="94">
        <f t="shared" si="3"/>
        <v>6</v>
      </c>
      <c r="G204" s="75"/>
      <c r="H204" s="9">
        <f t="shared" si="4"/>
        <v>0</v>
      </c>
      <c r="I204" s="9">
        <f t="shared" si="5"/>
        <v>0</v>
      </c>
    </row>
    <row r="205" spans="1:9" s="118" customFormat="1">
      <c r="A205" s="92" t="s">
        <v>1925</v>
      </c>
      <c r="B205" s="93" t="s">
        <v>1903</v>
      </c>
      <c r="C205" s="666" t="s">
        <v>143</v>
      </c>
      <c r="D205" s="94">
        <v>8</v>
      </c>
      <c r="E205" s="94"/>
      <c r="F205" s="94">
        <f t="shared" si="3"/>
        <v>8</v>
      </c>
      <c r="G205" s="75"/>
      <c r="H205" s="9">
        <f t="shared" si="4"/>
        <v>0</v>
      </c>
      <c r="I205" s="9">
        <f t="shared" si="5"/>
        <v>0</v>
      </c>
    </row>
    <row r="206" spans="1:9" s="118" customFormat="1">
      <c r="A206" s="92" t="s">
        <v>1926</v>
      </c>
      <c r="B206" s="93" t="s">
        <v>1904</v>
      </c>
      <c r="C206" s="666" t="s">
        <v>143</v>
      </c>
      <c r="D206" s="94">
        <v>11</v>
      </c>
      <c r="E206" s="94"/>
      <c r="F206" s="94">
        <f t="shared" si="3"/>
        <v>11</v>
      </c>
      <c r="G206" s="75"/>
      <c r="H206" s="9">
        <f t="shared" si="4"/>
        <v>0</v>
      </c>
      <c r="I206" s="9">
        <f t="shared" si="5"/>
        <v>0</v>
      </c>
    </row>
    <row r="207" spans="1:9" s="118" customFormat="1">
      <c r="A207" s="95" t="s">
        <v>175</v>
      </c>
      <c r="B207" s="96" t="s">
        <v>1892</v>
      </c>
      <c r="C207" s="668"/>
      <c r="D207" s="11"/>
      <c r="E207" s="11"/>
      <c r="F207" s="11"/>
      <c r="G207" s="77"/>
      <c r="H207" s="8"/>
      <c r="I207" s="8"/>
    </row>
    <row r="208" spans="1:9" s="118" customFormat="1">
      <c r="A208" s="92" t="s">
        <v>225</v>
      </c>
      <c r="B208" s="93" t="s">
        <v>1905</v>
      </c>
      <c r="C208" s="666" t="s">
        <v>68</v>
      </c>
      <c r="D208" s="94">
        <v>120</v>
      </c>
      <c r="E208" s="94"/>
      <c r="F208" s="94">
        <f t="shared" si="3"/>
        <v>120</v>
      </c>
      <c r="G208" s="75"/>
      <c r="H208" s="9">
        <f t="shared" si="4"/>
        <v>0</v>
      </c>
      <c r="I208" s="9">
        <f t="shared" si="5"/>
        <v>0</v>
      </c>
    </row>
    <row r="209" spans="1:9" s="118" customFormat="1">
      <c r="A209" s="92" t="s">
        <v>226</v>
      </c>
      <c r="B209" s="93" t="s">
        <v>1906</v>
      </c>
      <c r="C209" s="666" t="s">
        <v>68</v>
      </c>
      <c r="D209" s="94">
        <v>125</v>
      </c>
      <c r="E209" s="94"/>
      <c r="F209" s="94">
        <f t="shared" si="3"/>
        <v>125</v>
      </c>
      <c r="G209" s="75"/>
      <c r="H209" s="9">
        <f t="shared" si="4"/>
        <v>0</v>
      </c>
      <c r="I209" s="9">
        <f t="shared" si="5"/>
        <v>0</v>
      </c>
    </row>
    <row r="210" spans="1:9" s="118" customFormat="1">
      <c r="A210" s="92" t="s">
        <v>227</v>
      </c>
      <c r="B210" s="93" t="s">
        <v>1907</v>
      </c>
      <c r="C210" s="666" t="s">
        <v>143</v>
      </c>
      <c r="D210" s="94">
        <v>12</v>
      </c>
      <c r="E210" s="94"/>
      <c r="F210" s="94">
        <f t="shared" si="3"/>
        <v>12</v>
      </c>
      <c r="G210" s="75"/>
      <c r="H210" s="9">
        <f t="shared" si="4"/>
        <v>0</v>
      </c>
      <c r="I210" s="9">
        <f t="shared" si="5"/>
        <v>0</v>
      </c>
    </row>
    <row r="211" spans="1:9" s="118" customFormat="1">
      <c r="A211" s="92" t="s">
        <v>1915</v>
      </c>
      <c r="B211" s="93" t="s">
        <v>1908</v>
      </c>
      <c r="C211" s="666" t="s">
        <v>143</v>
      </c>
      <c r="D211" s="94">
        <v>12</v>
      </c>
      <c r="E211" s="94"/>
      <c r="F211" s="94">
        <f t="shared" si="3"/>
        <v>12</v>
      </c>
      <c r="G211" s="75"/>
      <c r="H211" s="9">
        <f t="shared" si="4"/>
        <v>0</v>
      </c>
      <c r="I211" s="9">
        <f t="shared" si="5"/>
        <v>0</v>
      </c>
    </row>
    <row r="212" spans="1:9" s="118" customFormat="1">
      <c r="A212" s="92" t="s">
        <v>1916</v>
      </c>
      <c r="B212" s="93" t="s">
        <v>1909</v>
      </c>
      <c r="C212" s="666" t="s">
        <v>143</v>
      </c>
      <c r="D212" s="94">
        <v>1</v>
      </c>
      <c r="E212" s="94"/>
      <c r="F212" s="94">
        <f>D212-E212</f>
        <v>1</v>
      </c>
      <c r="G212" s="75"/>
      <c r="H212" s="9">
        <f t="shared" ref="H212:H221" si="6">G212*E212</f>
        <v>0</v>
      </c>
      <c r="I212" s="9">
        <f t="shared" ref="I212:I221" si="7">G212*F212</f>
        <v>0</v>
      </c>
    </row>
    <row r="213" spans="1:9" s="118" customFormat="1">
      <c r="A213" s="92" t="s">
        <v>1917</v>
      </c>
      <c r="B213" s="93" t="s">
        <v>1910</v>
      </c>
      <c r="C213" s="666" t="s">
        <v>143</v>
      </c>
      <c r="D213" s="94">
        <v>2</v>
      </c>
      <c r="E213" s="94"/>
      <c r="F213" s="94">
        <f>D213-E213</f>
        <v>2</v>
      </c>
      <c r="G213" s="75"/>
      <c r="H213" s="9">
        <f t="shared" si="6"/>
        <v>0</v>
      </c>
      <c r="I213" s="9">
        <f t="shared" si="7"/>
        <v>0</v>
      </c>
    </row>
    <row r="214" spans="1:9" s="118" customFormat="1">
      <c r="A214" s="95" t="s">
        <v>176</v>
      </c>
      <c r="B214" s="96" t="s">
        <v>262</v>
      </c>
      <c r="C214" s="668"/>
      <c r="D214" s="11"/>
      <c r="E214" s="11"/>
      <c r="F214" s="11"/>
      <c r="G214" s="77"/>
      <c r="H214" s="8"/>
      <c r="I214" s="8"/>
    </row>
    <row r="215" spans="1:9" s="118" customFormat="1">
      <c r="A215" s="92" t="s">
        <v>228</v>
      </c>
      <c r="B215" s="143" t="s">
        <v>1911</v>
      </c>
      <c r="C215" s="666" t="s">
        <v>70</v>
      </c>
      <c r="D215" s="10">
        <f>SUM(E215:F215)</f>
        <v>0</v>
      </c>
      <c r="E215" s="10">
        <f>SUM(H11:H214)</f>
        <v>0</v>
      </c>
      <c r="F215" s="10">
        <f>SUM(I11:I214)</f>
        <v>0</v>
      </c>
      <c r="G215" s="186"/>
      <c r="H215" s="9">
        <f t="shared" si="6"/>
        <v>0</v>
      </c>
      <c r="I215" s="9">
        <f t="shared" si="7"/>
        <v>0</v>
      </c>
    </row>
    <row r="216" spans="1:9" s="118" customFormat="1">
      <c r="A216" s="92" t="s">
        <v>229</v>
      </c>
      <c r="B216" s="143" t="s">
        <v>588</v>
      </c>
      <c r="C216" s="666" t="s">
        <v>143</v>
      </c>
      <c r="D216" s="10">
        <v>1</v>
      </c>
      <c r="E216" s="10">
        <v>0.2</v>
      </c>
      <c r="F216" s="10">
        <f t="shared" ref="F216:F221" si="8">D216-E216</f>
        <v>0.8</v>
      </c>
      <c r="G216" s="76"/>
      <c r="H216" s="9">
        <f t="shared" si="6"/>
        <v>0</v>
      </c>
      <c r="I216" s="9">
        <f t="shared" si="7"/>
        <v>0</v>
      </c>
    </row>
    <row r="217" spans="1:9" s="118" customFormat="1">
      <c r="A217" s="92" t="s">
        <v>590</v>
      </c>
      <c r="B217" s="143" t="s">
        <v>1912</v>
      </c>
      <c r="C217" s="666" t="s">
        <v>143</v>
      </c>
      <c r="D217" s="10">
        <v>1</v>
      </c>
      <c r="E217" s="10"/>
      <c r="F217" s="10">
        <f t="shared" si="8"/>
        <v>1</v>
      </c>
      <c r="G217" s="76"/>
      <c r="H217" s="9">
        <f t="shared" si="6"/>
        <v>0</v>
      </c>
      <c r="I217" s="9">
        <f t="shared" si="7"/>
        <v>0</v>
      </c>
    </row>
    <row r="218" spans="1:9" s="118" customFormat="1">
      <c r="A218" s="92" t="s">
        <v>591</v>
      </c>
      <c r="B218" s="143" t="s">
        <v>1974</v>
      </c>
      <c r="C218" s="666" t="s">
        <v>143</v>
      </c>
      <c r="D218" s="10">
        <v>1</v>
      </c>
      <c r="E218" s="10"/>
      <c r="F218" s="10">
        <f t="shared" si="8"/>
        <v>1</v>
      </c>
      <c r="G218" s="76"/>
      <c r="H218" s="9">
        <f t="shared" si="6"/>
        <v>0</v>
      </c>
      <c r="I218" s="9">
        <f t="shared" si="7"/>
        <v>0</v>
      </c>
    </row>
    <row r="219" spans="1:9" s="118" customFormat="1">
      <c r="A219" s="92" t="s">
        <v>592</v>
      </c>
      <c r="B219" s="143" t="s">
        <v>572</v>
      </c>
      <c r="C219" s="666" t="s">
        <v>581</v>
      </c>
      <c r="D219" s="10">
        <v>30</v>
      </c>
      <c r="E219" s="10">
        <v>6</v>
      </c>
      <c r="F219" s="10">
        <f t="shared" si="8"/>
        <v>24</v>
      </c>
      <c r="G219" s="76"/>
      <c r="H219" s="9">
        <f t="shared" si="6"/>
        <v>0</v>
      </c>
      <c r="I219" s="9">
        <f t="shared" si="7"/>
        <v>0</v>
      </c>
    </row>
    <row r="220" spans="1:9" s="118" customFormat="1">
      <c r="A220" s="92" t="s">
        <v>593</v>
      </c>
      <c r="B220" s="143" t="s">
        <v>573</v>
      </c>
      <c r="C220" s="666" t="s">
        <v>511</v>
      </c>
      <c r="D220" s="10">
        <v>4</v>
      </c>
      <c r="E220" s="10"/>
      <c r="F220" s="10">
        <f t="shared" si="8"/>
        <v>4</v>
      </c>
      <c r="G220" s="76"/>
      <c r="H220" s="9">
        <f t="shared" si="6"/>
        <v>0</v>
      </c>
      <c r="I220" s="9">
        <f t="shared" si="7"/>
        <v>0</v>
      </c>
    </row>
    <row r="221" spans="1:9" s="118" customFormat="1">
      <c r="A221" s="92" t="s">
        <v>1975</v>
      </c>
      <c r="B221" s="143" t="s">
        <v>574</v>
      </c>
      <c r="C221" s="666" t="s">
        <v>581</v>
      </c>
      <c r="D221" s="10">
        <v>10</v>
      </c>
      <c r="E221" s="10"/>
      <c r="F221" s="10">
        <f t="shared" si="8"/>
        <v>10</v>
      </c>
      <c r="G221" s="76"/>
      <c r="H221" s="9">
        <f t="shared" si="6"/>
        <v>0</v>
      </c>
      <c r="I221" s="9">
        <f t="shared" si="7"/>
        <v>0</v>
      </c>
    </row>
    <row r="222" spans="1:9" s="119" customFormat="1" ht="12.75">
      <c r="D222" s="120"/>
      <c r="E222" s="120"/>
      <c r="F222" s="120"/>
      <c r="G222" s="193"/>
      <c r="H222" s="121"/>
      <c r="I222" s="121"/>
    </row>
    <row r="223" spans="1:9" s="122" customFormat="1" ht="12.75">
      <c r="A223" s="857" t="s">
        <v>146</v>
      </c>
      <c r="B223" s="858"/>
      <c r="C223" s="858"/>
      <c r="D223" s="858"/>
      <c r="E223" s="858"/>
      <c r="F223" s="858"/>
      <c r="G223" s="228"/>
      <c r="H223" s="228">
        <f>SUM(H10:H222)</f>
        <v>0</v>
      </c>
      <c r="I223" s="228">
        <f>SUM(I10:I222)</f>
        <v>0</v>
      </c>
    </row>
    <row r="224" spans="1:9">
      <c r="A224" s="123"/>
      <c r="B224" s="123"/>
      <c r="C224" s="123"/>
      <c r="D224" s="124"/>
      <c r="E224" s="124"/>
      <c r="F224" s="124"/>
      <c r="G224" s="125"/>
      <c r="H224" s="125"/>
      <c r="I224" s="125"/>
    </row>
    <row r="225" spans="1:9">
      <c r="A225" s="856" t="s">
        <v>263</v>
      </c>
      <c r="B225" s="856"/>
      <c r="C225" s="856"/>
      <c r="D225" s="856"/>
      <c r="E225" s="856"/>
      <c r="F225" s="856"/>
      <c r="G225" s="856"/>
      <c r="H225" s="856"/>
      <c r="I225" s="856"/>
    </row>
    <row r="226" spans="1:9" s="119" customFormat="1" ht="12.75">
      <c r="A226" s="855" t="s">
        <v>264</v>
      </c>
      <c r="B226" s="855"/>
      <c r="C226" s="855"/>
      <c r="D226" s="855"/>
      <c r="E226" s="855"/>
      <c r="F226" s="855"/>
      <c r="G226" s="855"/>
      <c r="H226" s="855"/>
      <c r="I226" s="855"/>
    </row>
    <row r="227" spans="1:9" ht="12.75">
      <c r="A227" s="855" t="s">
        <v>265</v>
      </c>
      <c r="B227" s="855"/>
      <c r="C227" s="855"/>
      <c r="D227" s="855"/>
      <c r="E227" s="855"/>
      <c r="F227" s="855"/>
      <c r="G227" s="855"/>
      <c r="H227" s="855"/>
      <c r="I227" s="855"/>
    </row>
  </sheetData>
  <sheetProtection algorithmName="SHA-512" hashValue="lrTNMu13YDpKX48D4VHDY2yW7HqEk3449vKmhg6KIVFlBoOKDBdOM2kES3nPe/8xC6F2e7byQWqcfBBNJ25Buw==" saltValue="0+3JYCdFr6fBP2ARSvcQSw==" spinCount="100000" sheet="1"/>
  <mergeCells count="5">
    <mergeCell ref="A4:F4"/>
    <mergeCell ref="A227:I227"/>
    <mergeCell ref="A226:I226"/>
    <mergeCell ref="A225:I225"/>
    <mergeCell ref="A223:F223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&amp;LBD Hübnerové&amp;ROdhad stavebních nákladů</oddHeader>
    <oddFooter>Stránka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N41"/>
  <sheetViews>
    <sheetView view="pageBreakPreview" zoomScaleNormal="100" zoomScaleSheetLayoutView="100" workbookViewId="0">
      <selection activeCell="B5" sqref="B5"/>
    </sheetView>
  </sheetViews>
  <sheetFormatPr defaultColWidth="10.6640625" defaultRowHeight="12"/>
  <cols>
    <col min="1" max="1" width="13.5" style="127" customWidth="1"/>
    <col min="2" max="2" width="84.6640625" style="128" customWidth="1"/>
    <col min="3" max="3" width="10" style="129" customWidth="1"/>
    <col min="4" max="6" width="18.1640625" style="130" customWidth="1"/>
    <col min="7" max="7" width="18.1640625" style="131" customWidth="1"/>
    <col min="8" max="9" width="21" style="132" customWidth="1"/>
    <col min="10" max="10" width="15.1640625" style="126" customWidth="1"/>
    <col min="11" max="16384" width="10.6640625" style="126"/>
  </cols>
  <sheetData>
    <row r="1" spans="1:14" s="657" customFormat="1" ht="15">
      <c r="A1" s="656" t="s">
        <v>3</v>
      </c>
      <c r="B1" s="656" t="str">
        <f>Rekapitulace!K4</f>
        <v>Stavební úpravy, vestavba a přístavba stávajícího objektu</v>
      </c>
      <c r="C1" s="656"/>
      <c r="D1" s="99"/>
      <c r="E1" s="99"/>
      <c r="F1" s="99"/>
      <c r="G1" s="101"/>
      <c r="H1" s="98"/>
      <c r="I1" s="98"/>
    </row>
    <row r="2" spans="1:14" s="657" customFormat="1" ht="12.75">
      <c r="A2" s="658"/>
      <c r="B2" s="659"/>
      <c r="D2" s="102"/>
      <c r="E2" s="102"/>
      <c r="F2" s="102"/>
      <c r="G2" s="98"/>
      <c r="H2" s="98"/>
      <c r="I2" s="98"/>
    </row>
    <row r="3" spans="1:14" s="660" customFormat="1">
      <c r="B3" s="661" t="s">
        <v>124</v>
      </c>
      <c r="C3" s="661"/>
      <c r="D3" s="100"/>
      <c r="E3" s="100"/>
      <c r="F3" s="100"/>
      <c r="G3" s="108"/>
      <c r="H3" s="109"/>
      <c r="I3" s="109"/>
    </row>
    <row r="4" spans="1:14" s="660" customFormat="1">
      <c r="A4" s="854"/>
      <c r="B4" s="854"/>
      <c r="C4" s="854"/>
      <c r="D4" s="854"/>
      <c r="E4" s="854"/>
      <c r="F4" s="854"/>
      <c r="G4" s="109"/>
      <c r="H4" s="109"/>
      <c r="I4" s="109"/>
    </row>
    <row r="5" spans="1:14" s="656" customFormat="1" ht="15">
      <c r="B5" s="656" t="s">
        <v>1943</v>
      </c>
      <c r="D5" s="99"/>
      <c r="E5" s="99"/>
      <c r="F5" s="99"/>
      <c r="G5" s="101"/>
      <c r="H5" s="101"/>
      <c r="I5" s="101"/>
    </row>
    <row r="6" spans="1:14" s="656" customFormat="1" ht="15.75" thickBot="1">
      <c r="A6" s="662"/>
      <c r="B6" s="663"/>
      <c r="C6" s="662"/>
      <c r="D6" s="110"/>
      <c r="E6" s="110"/>
      <c r="F6" s="110"/>
      <c r="G6" s="111"/>
      <c r="H6" s="101"/>
      <c r="I6" s="101"/>
    </row>
    <row r="7" spans="1:14" s="665" customFormat="1" ht="15.75" thickBot="1">
      <c r="A7" s="664" t="s">
        <v>11</v>
      </c>
      <c r="B7" s="112">
        <f>Rekapitulace!K11</f>
        <v>0</v>
      </c>
      <c r="C7" s="662"/>
      <c r="D7" s="110"/>
      <c r="E7" s="110"/>
      <c r="F7" s="110"/>
      <c r="G7" s="111"/>
      <c r="H7" s="113"/>
      <c r="I7" s="113"/>
    </row>
    <row r="8" spans="1:14" s="118" customFormat="1" ht="15">
      <c r="A8" s="114"/>
      <c r="B8" s="114"/>
      <c r="C8" s="114"/>
      <c r="D8" s="115"/>
      <c r="E8" s="115"/>
      <c r="F8" s="115"/>
      <c r="G8" s="116"/>
      <c r="H8" s="116"/>
      <c r="I8" s="116"/>
      <c r="J8" s="117"/>
      <c r="K8" s="117"/>
      <c r="L8" s="117"/>
      <c r="M8" s="117"/>
      <c r="N8" s="117"/>
    </row>
    <row r="9" spans="1:14" s="118" customFormat="1" ht="36">
      <c r="A9" s="103"/>
      <c r="B9" s="104" t="s">
        <v>157</v>
      </c>
      <c r="C9" s="105" t="s">
        <v>59</v>
      </c>
      <c r="D9" s="226" t="s">
        <v>2479</v>
      </c>
      <c r="E9" s="226" t="s">
        <v>2487</v>
      </c>
      <c r="F9" s="226" t="s">
        <v>2478</v>
      </c>
      <c r="G9" s="226" t="s">
        <v>256</v>
      </c>
      <c r="H9" s="226" t="s">
        <v>2492</v>
      </c>
      <c r="I9" s="226" t="s">
        <v>2485</v>
      </c>
    </row>
    <row r="10" spans="1:14" s="118" customFormat="1" ht="12.75">
      <c r="A10" s="106" t="s">
        <v>142</v>
      </c>
      <c r="B10" s="107" t="s">
        <v>1913</v>
      </c>
      <c r="C10" s="107"/>
      <c r="D10" s="6"/>
      <c r="E10" s="6"/>
      <c r="F10" s="6"/>
      <c r="G10" s="192"/>
      <c r="H10" s="7"/>
      <c r="I10" s="7"/>
    </row>
    <row r="11" spans="1:14" s="118" customFormat="1">
      <c r="A11" s="92" t="s">
        <v>147</v>
      </c>
      <c r="B11" s="93" t="s">
        <v>1927</v>
      </c>
      <c r="C11" s="666" t="s">
        <v>143</v>
      </c>
      <c r="D11" s="94">
        <v>1</v>
      </c>
      <c r="E11" s="94">
        <v>0.2</v>
      </c>
      <c r="F11" s="94">
        <f t="shared" ref="F11:F19" si="0">D11-E11</f>
        <v>0.8</v>
      </c>
      <c r="G11" s="75"/>
      <c r="H11" s="9">
        <f t="shared" ref="H11:H19" si="1">G11*E11</f>
        <v>0</v>
      </c>
      <c r="I11" s="9">
        <f t="shared" ref="I11:I19" si="2">G11*F11</f>
        <v>0</v>
      </c>
    </row>
    <row r="12" spans="1:14" s="118" customFormat="1">
      <c r="A12" s="92" t="s">
        <v>148</v>
      </c>
      <c r="B12" s="93" t="s">
        <v>1928</v>
      </c>
      <c r="C12" s="666" t="s">
        <v>143</v>
      </c>
      <c r="D12" s="94">
        <v>1</v>
      </c>
      <c r="E12" s="94">
        <v>0.2</v>
      </c>
      <c r="F12" s="94">
        <f t="shared" si="0"/>
        <v>0.8</v>
      </c>
      <c r="G12" s="75"/>
      <c r="H12" s="9">
        <f t="shared" si="1"/>
        <v>0</v>
      </c>
      <c r="I12" s="9">
        <f t="shared" si="2"/>
        <v>0</v>
      </c>
    </row>
    <row r="13" spans="1:14" s="118" customFormat="1">
      <c r="A13" s="92" t="s">
        <v>148</v>
      </c>
      <c r="B13" s="93" t="s">
        <v>1929</v>
      </c>
      <c r="C13" s="666" t="s">
        <v>143</v>
      </c>
      <c r="D13" s="94">
        <v>1</v>
      </c>
      <c r="E13" s="94">
        <v>0.2</v>
      </c>
      <c r="F13" s="94">
        <f t="shared" si="0"/>
        <v>0.8</v>
      </c>
      <c r="G13" s="75"/>
      <c r="H13" s="9">
        <f t="shared" si="1"/>
        <v>0</v>
      </c>
      <c r="I13" s="9">
        <f t="shared" si="2"/>
        <v>0</v>
      </c>
    </row>
    <row r="14" spans="1:14" s="118" customFormat="1">
      <c r="A14" s="92" t="s">
        <v>148</v>
      </c>
      <c r="B14" s="93" t="s">
        <v>1930</v>
      </c>
      <c r="C14" s="666" t="s">
        <v>143</v>
      </c>
      <c r="D14" s="94">
        <v>5</v>
      </c>
      <c r="E14" s="94">
        <v>1</v>
      </c>
      <c r="F14" s="94">
        <f t="shared" si="0"/>
        <v>4</v>
      </c>
      <c r="G14" s="75"/>
      <c r="H14" s="9">
        <f t="shared" si="1"/>
        <v>0</v>
      </c>
      <c r="I14" s="9">
        <f t="shared" si="2"/>
        <v>0</v>
      </c>
    </row>
    <row r="15" spans="1:14" s="118" customFormat="1">
      <c r="A15" s="92" t="s">
        <v>148</v>
      </c>
      <c r="B15" s="93" t="s">
        <v>1931</v>
      </c>
      <c r="C15" s="666" t="s">
        <v>143</v>
      </c>
      <c r="D15" s="94">
        <v>21</v>
      </c>
      <c r="E15" s="94">
        <v>3</v>
      </c>
      <c r="F15" s="94">
        <f t="shared" si="0"/>
        <v>18</v>
      </c>
      <c r="G15" s="75"/>
      <c r="H15" s="9">
        <f t="shared" si="1"/>
        <v>0</v>
      </c>
      <c r="I15" s="9">
        <f t="shared" si="2"/>
        <v>0</v>
      </c>
    </row>
    <row r="16" spans="1:14" s="118" customFormat="1">
      <c r="A16" s="92" t="s">
        <v>148</v>
      </c>
      <c r="B16" s="93" t="s">
        <v>1932</v>
      </c>
      <c r="C16" s="666" t="s">
        <v>143</v>
      </c>
      <c r="D16" s="94">
        <v>6</v>
      </c>
      <c r="E16" s="94">
        <v>2</v>
      </c>
      <c r="F16" s="94">
        <f t="shared" si="0"/>
        <v>4</v>
      </c>
      <c r="G16" s="75"/>
      <c r="H16" s="9">
        <f t="shared" si="1"/>
        <v>0</v>
      </c>
      <c r="I16" s="9">
        <f t="shared" si="2"/>
        <v>0</v>
      </c>
    </row>
    <row r="17" spans="1:9" s="118" customFormat="1">
      <c r="A17" s="92" t="s">
        <v>148</v>
      </c>
      <c r="B17" s="93" t="s">
        <v>1933</v>
      </c>
      <c r="C17" s="666" t="s">
        <v>143</v>
      </c>
      <c r="D17" s="94">
        <v>2</v>
      </c>
      <c r="E17" s="94"/>
      <c r="F17" s="94">
        <f t="shared" si="0"/>
        <v>2</v>
      </c>
      <c r="G17" s="75"/>
      <c r="H17" s="9">
        <f t="shared" si="1"/>
        <v>0</v>
      </c>
      <c r="I17" s="9">
        <f t="shared" si="2"/>
        <v>0</v>
      </c>
    </row>
    <row r="18" spans="1:9" s="118" customFormat="1">
      <c r="A18" s="92" t="s">
        <v>148</v>
      </c>
      <c r="B18" s="93" t="s">
        <v>1934</v>
      </c>
      <c r="C18" s="666" t="s">
        <v>143</v>
      </c>
      <c r="D18" s="94">
        <v>1</v>
      </c>
      <c r="E18" s="94"/>
      <c r="F18" s="94">
        <f t="shared" si="0"/>
        <v>1</v>
      </c>
      <c r="G18" s="75"/>
      <c r="H18" s="9">
        <f t="shared" si="1"/>
        <v>0</v>
      </c>
      <c r="I18" s="9">
        <f t="shared" si="2"/>
        <v>0</v>
      </c>
    </row>
    <row r="19" spans="1:9" s="118" customFormat="1">
      <c r="A19" s="92" t="s">
        <v>148</v>
      </c>
      <c r="B19" s="93" t="s">
        <v>1935</v>
      </c>
      <c r="C19" s="666" t="s">
        <v>143</v>
      </c>
      <c r="D19" s="94">
        <v>1</v>
      </c>
      <c r="E19" s="94"/>
      <c r="F19" s="94">
        <f t="shared" si="0"/>
        <v>1</v>
      </c>
      <c r="G19" s="75"/>
      <c r="H19" s="9">
        <f t="shared" si="1"/>
        <v>0</v>
      </c>
      <c r="I19" s="9">
        <f t="shared" si="2"/>
        <v>0</v>
      </c>
    </row>
    <row r="20" spans="1:9" s="118" customFormat="1">
      <c r="A20" s="95" t="s">
        <v>144</v>
      </c>
      <c r="B20" s="96" t="s">
        <v>1914</v>
      </c>
      <c r="C20" s="668"/>
      <c r="D20" s="11"/>
      <c r="E20" s="11"/>
      <c r="F20" s="11"/>
      <c r="G20" s="77"/>
      <c r="H20" s="8"/>
      <c r="I20" s="8"/>
    </row>
    <row r="21" spans="1:9" s="118" customFormat="1">
      <c r="A21" s="92" t="s">
        <v>208</v>
      </c>
      <c r="B21" s="93" t="s">
        <v>1936</v>
      </c>
      <c r="C21" s="666" t="s">
        <v>143</v>
      </c>
      <c r="D21" s="94">
        <v>1</v>
      </c>
      <c r="E21" s="94">
        <v>0.2</v>
      </c>
      <c r="F21" s="94">
        <f t="shared" ref="F21:F26" si="3">D21-E21</f>
        <v>0.8</v>
      </c>
      <c r="G21" s="75"/>
      <c r="H21" s="9">
        <f t="shared" ref="H21:H26" si="4">G21*E21</f>
        <v>0</v>
      </c>
      <c r="I21" s="9">
        <f t="shared" ref="I21:I26" si="5">G21*F21</f>
        <v>0</v>
      </c>
    </row>
    <row r="22" spans="1:9" s="118" customFormat="1">
      <c r="A22" s="92" t="s">
        <v>210</v>
      </c>
      <c r="B22" s="93" t="s">
        <v>1937</v>
      </c>
      <c r="C22" s="666" t="s">
        <v>143</v>
      </c>
      <c r="D22" s="94">
        <v>1</v>
      </c>
      <c r="E22" s="94">
        <v>0.2</v>
      </c>
      <c r="F22" s="94">
        <f t="shared" si="3"/>
        <v>0.8</v>
      </c>
      <c r="G22" s="75"/>
      <c r="H22" s="9">
        <f t="shared" si="4"/>
        <v>0</v>
      </c>
      <c r="I22" s="9">
        <f t="shared" si="5"/>
        <v>0</v>
      </c>
    </row>
    <row r="23" spans="1:9" s="118" customFormat="1">
      <c r="A23" s="92" t="s">
        <v>210</v>
      </c>
      <c r="B23" s="93" t="s">
        <v>1938</v>
      </c>
      <c r="C23" s="666" t="s">
        <v>143</v>
      </c>
      <c r="D23" s="94">
        <v>1</v>
      </c>
      <c r="E23" s="94">
        <v>0.2</v>
      </c>
      <c r="F23" s="94">
        <f t="shared" si="3"/>
        <v>0.8</v>
      </c>
      <c r="G23" s="75"/>
      <c r="H23" s="9">
        <f t="shared" si="4"/>
        <v>0</v>
      </c>
      <c r="I23" s="9">
        <f t="shared" si="5"/>
        <v>0</v>
      </c>
    </row>
    <row r="24" spans="1:9" s="118" customFormat="1">
      <c r="A24" s="92" t="s">
        <v>210</v>
      </c>
      <c r="B24" s="93" t="s">
        <v>1939</v>
      </c>
      <c r="C24" s="666" t="s">
        <v>143</v>
      </c>
      <c r="D24" s="94">
        <v>5</v>
      </c>
      <c r="E24" s="94">
        <v>2</v>
      </c>
      <c r="F24" s="94">
        <f t="shared" si="3"/>
        <v>3</v>
      </c>
      <c r="G24" s="75"/>
      <c r="H24" s="9">
        <f t="shared" si="4"/>
        <v>0</v>
      </c>
      <c r="I24" s="9">
        <f t="shared" si="5"/>
        <v>0</v>
      </c>
    </row>
    <row r="25" spans="1:9" s="118" customFormat="1">
      <c r="A25" s="92" t="s">
        <v>209</v>
      </c>
      <c r="B25" s="93" t="s">
        <v>1940</v>
      </c>
      <c r="C25" s="666" t="s">
        <v>143</v>
      </c>
      <c r="D25" s="94">
        <v>5</v>
      </c>
      <c r="E25" s="94">
        <f>E24</f>
        <v>2</v>
      </c>
      <c r="F25" s="94">
        <f t="shared" si="3"/>
        <v>3</v>
      </c>
      <c r="G25" s="75"/>
      <c r="H25" s="9">
        <f t="shared" si="4"/>
        <v>0</v>
      </c>
      <c r="I25" s="9">
        <f t="shared" si="5"/>
        <v>0</v>
      </c>
    </row>
    <row r="26" spans="1:9" s="118" customFormat="1">
      <c r="A26" s="92" t="s">
        <v>212</v>
      </c>
      <c r="B26" s="93" t="s">
        <v>1935</v>
      </c>
      <c r="C26" s="666" t="s">
        <v>143</v>
      </c>
      <c r="D26" s="94">
        <v>1</v>
      </c>
      <c r="E26" s="94">
        <v>0.2</v>
      </c>
      <c r="F26" s="94">
        <f t="shared" si="3"/>
        <v>0.8</v>
      </c>
      <c r="G26" s="75"/>
      <c r="H26" s="9">
        <f t="shared" si="4"/>
        <v>0</v>
      </c>
      <c r="I26" s="9">
        <f t="shared" si="5"/>
        <v>0</v>
      </c>
    </row>
    <row r="27" spans="1:9" s="118" customFormat="1">
      <c r="A27" s="95" t="s">
        <v>145</v>
      </c>
      <c r="B27" s="96" t="s">
        <v>1872</v>
      </c>
      <c r="C27" s="668"/>
      <c r="D27" s="11"/>
      <c r="E27" s="11"/>
      <c r="F27" s="11"/>
      <c r="G27" s="77"/>
      <c r="H27" s="8"/>
      <c r="I27" s="8"/>
    </row>
    <row r="28" spans="1:9" s="118" customFormat="1">
      <c r="A28" s="92" t="s">
        <v>208</v>
      </c>
      <c r="B28" s="93" t="s">
        <v>1883</v>
      </c>
      <c r="C28" s="666" t="s">
        <v>68</v>
      </c>
      <c r="D28" s="94">
        <v>1500</v>
      </c>
      <c r="E28" s="94">
        <v>60</v>
      </c>
      <c r="F28" s="94">
        <f>D28-E28</f>
        <v>1440</v>
      </c>
      <c r="G28" s="75"/>
      <c r="H28" s="9">
        <f>G28*E28</f>
        <v>0</v>
      </c>
      <c r="I28" s="9">
        <f>G28*F28</f>
        <v>0</v>
      </c>
    </row>
    <row r="29" spans="1:9" s="118" customFormat="1">
      <c r="A29" s="92" t="s">
        <v>210</v>
      </c>
      <c r="B29" s="93" t="s">
        <v>1884</v>
      </c>
      <c r="C29" s="666" t="s">
        <v>68</v>
      </c>
      <c r="D29" s="94">
        <v>150</v>
      </c>
      <c r="E29" s="94"/>
      <c r="F29" s="94">
        <f>D29-E29</f>
        <v>150</v>
      </c>
      <c r="G29" s="75"/>
      <c r="H29" s="9">
        <f>G29*E29</f>
        <v>0</v>
      </c>
      <c r="I29" s="9">
        <f>G29*F29</f>
        <v>0</v>
      </c>
    </row>
    <row r="30" spans="1:9" s="118" customFormat="1">
      <c r="A30" s="92" t="s">
        <v>209</v>
      </c>
      <c r="B30" s="93" t="s">
        <v>1885</v>
      </c>
      <c r="C30" s="666" t="s">
        <v>68</v>
      </c>
      <c r="D30" s="94">
        <v>5</v>
      </c>
      <c r="E30" s="94"/>
      <c r="F30" s="94">
        <f>D30-E30</f>
        <v>5</v>
      </c>
      <c r="G30" s="75"/>
      <c r="H30" s="9">
        <f>G30*E30</f>
        <v>0</v>
      </c>
      <c r="I30" s="9">
        <f>G30*F30</f>
        <v>0</v>
      </c>
    </row>
    <row r="31" spans="1:9" s="118" customFormat="1">
      <c r="A31" s="95" t="s">
        <v>145</v>
      </c>
      <c r="B31" s="96" t="s">
        <v>262</v>
      </c>
      <c r="C31" s="668"/>
      <c r="D31" s="11"/>
      <c r="E31" s="11"/>
      <c r="F31" s="11"/>
      <c r="G31" s="77"/>
      <c r="H31" s="8"/>
      <c r="I31" s="8"/>
    </row>
    <row r="32" spans="1:9" s="118" customFormat="1">
      <c r="A32" s="92" t="s">
        <v>214</v>
      </c>
      <c r="B32" s="143" t="s">
        <v>1911</v>
      </c>
      <c r="C32" s="666" t="s">
        <v>70</v>
      </c>
      <c r="D32" s="10">
        <f>SUM(E32:F32)</f>
        <v>0</v>
      </c>
      <c r="E32" s="10">
        <f>SUM(H10:H31)</f>
        <v>0</v>
      </c>
      <c r="F32" s="10">
        <f>SUM(I10:I31)</f>
        <v>0</v>
      </c>
      <c r="G32" s="142"/>
      <c r="H32" s="9">
        <f>G32*E32</f>
        <v>0</v>
      </c>
      <c r="I32" s="9">
        <f>G32*F32</f>
        <v>0</v>
      </c>
    </row>
    <row r="33" spans="1:9" s="118" customFormat="1">
      <c r="A33" s="92" t="s">
        <v>220</v>
      </c>
      <c r="B33" s="143" t="s">
        <v>572</v>
      </c>
      <c r="C33" s="666" t="s">
        <v>581</v>
      </c>
      <c r="D33" s="10">
        <v>20</v>
      </c>
      <c r="E33" s="10">
        <v>2</v>
      </c>
      <c r="F33" s="10">
        <f>D33-E33</f>
        <v>18</v>
      </c>
      <c r="G33" s="76"/>
      <c r="H33" s="9">
        <f>G33*E33</f>
        <v>0</v>
      </c>
      <c r="I33" s="9">
        <f>G33*F33</f>
        <v>0</v>
      </c>
    </row>
    <row r="34" spans="1:9" s="118" customFormat="1">
      <c r="A34" s="92" t="s">
        <v>221</v>
      </c>
      <c r="B34" s="143" t="s">
        <v>573</v>
      </c>
      <c r="C34" s="666" t="s">
        <v>511</v>
      </c>
      <c r="D34" s="10">
        <v>4</v>
      </c>
      <c r="E34" s="10"/>
      <c r="F34" s="10">
        <f>D34-E34</f>
        <v>4</v>
      </c>
      <c r="G34" s="76"/>
      <c r="H34" s="9">
        <f>G34*E34</f>
        <v>0</v>
      </c>
      <c r="I34" s="9">
        <f>G34*F34</f>
        <v>0</v>
      </c>
    </row>
    <row r="35" spans="1:9" s="118" customFormat="1">
      <c r="A35" s="92" t="s">
        <v>593</v>
      </c>
      <c r="B35" s="143" t="s">
        <v>574</v>
      </c>
      <c r="C35" s="666" t="s">
        <v>581</v>
      </c>
      <c r="D35" s="10">
        <v>5</v>
      </c>
      <c r="E35" s="10">
        <v>1</v>
      </c>
      <c r="F35" s="10">
        <f>D35-E35</f>
        <v>4</v>
      </c>
      <c r="G35" s="76"/>
      <c r="H35" s="9">
        <f>G35*E35</f>
        <v>0</v>
      </c>
      <c r="I35" s="9">
        <f>G35*F35</f>
        <v>0</v>
      </c>
    </row>
    <row r="36" spans="1:9" s="119" customFormat="1" ht="12.75">
      <c r="D36" s="120"/>
      <c r="E36" s="120"/>
      <c r="F36" s="120"/>
      <c r="G36" s="193"/>
      <c r="H36" s="121"/>
      <c r="I36" s="121"/>
    </row>
    <row r="37" spans="1:9" s="122" customFormat="1" ht="12.75">
      <c r="A37" s="857" t="s">
        <v>146</v>
      </c>
      <c r="B37" s="858"/>
      <c r="C37" s="858"/>
      <c r="D37" s="858"/>
      <c r="E37" s="858"/>
      <c r="F37" s="858"/>
      <c r="G37" s="228"/>
      <c r="H37" s="228">
        <f>SUM(H10:H36)</f>
        <v>0</v>
      </c>
      <c r="I37" s="229">
        <f>SUM(I10:I36)</f>
        <v>0</v>
      </c>
    </row>
    <row r="38" spans="1:9">
      <c r="A38" s="123"/>
      <c r="B38" s="123"/>
      <c r="C38" s="123"/>
      <c r="D38" s="124"/>
      <c r="E38" s="124"/>
      <c r="F38" s="124"/>
      <c r="G38" s="125"/>
      <c r="H38" s="125"/>
      <c r="I38" s="125"/>
    </row>
    <row r="39" spans="1:9">
      <c r="A39" s="856" t="s">
        <v>263</v>
      </c>
      <c r="B39" s="856"/>
      <c r="C39" s="856"/>
      <c r="D39" s="856"/>
      <c r="E39" s="856"/>
      <c r="F39" s="856"/>
      <c r="G39" s="856"/>
      <c r="H39" s="856"/>
      <c r="I39" s="856"/>
    </row>
    <row r="40" spans="1:9" s="119" customFormat="1" ht="12.75">
      <c r="A40" s="855" t="s">
        <v>264</v>
      </c>
      <c r="B40" s="855"/>
      <c r="C40" s="855"/>
      <c r="D40" s="855"/>
      <c r="E40" s="855"/>
      <c r="F40" s="855"/>
      <c r="G40" s="855"/>
      <c r="H40" s="855"/>
      <c r="I40" s="855"/>
    </row>
    <row r="41" spans="1:9" ht="12.75">
      <c r="A41" s="855" t="s">
        <v>265</v>
      </c>
      <c r="B41" s="855"/>
      <c r="C41" s="855"/>
      <c r="D41" s="855"/>
      <c r="E41" s="855"/>
      <c r="F41" s="855"/>
      <c r="G41" s="855"/>
      <c r="H41" s="855"/>
      <c r="I41" s="855"/>
    </row>
  </sheetData>
  <sheetProtection algorithmName="SHA-512" hashValue="DU8mMHf+2Rmcbd8UX+bfA5PyLbUuRDdHpSOIUuLT1MlAlXI+ywczZ3mpGSVKls94H1eWMO/BZLzm7o/NzqKiTw==" saltValue="/qVXiYj2/YIH7qVr6J+JiQ==" spinCount="100000" sheet="1"/>
  <mergeCells count="5">
    <mergeCell ref="A41:I41"/>
    <mergeCell ref="A4:F4"/>
    <mergeCell ref="A37:F37"/>
    <mergeCell ref="A39:I39"/>
    <mergeCell ref="A40:I40"/>
  </mergeCells>
  <phoneticPr fontId="0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2" fitToHeight="0" orientation="portrait" r:id="rId1"/>
  <headerFooter>
    <oddHeader>&amp;LBD Hübnerové&amp;ROdhad stavebních nákladů</oddHead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13</vt:i4>
      </vt:variant>
      <vt:variant>
        <vt:lpstr>Pojmenované oblasti</vt:lpstr>
      </vt:variant>
      <vt:variant>
        <vt:i4>22</vt:i4>
      </vt:variant>
    </vt:vector>
  </HeadingPairs>
  <TitlesOfParts>
    <vt:vector size="35" baseType="lpstr">
      <vt:lpstr>Rekapitulace</vt:lpstr>
      <vt:lpstr>bourání a demolice ROZ</vt:lpstr>
      <vt:lpstr>sanace ROZ</vt:lpstr>
      <vt:lpstr>stavební úpravy ROZ</vt:lpstr>
      <vt:lpstr>venkovní plochy a nové objekty</vt:lpstr>
      <vt:lpstr>výrobky a specifikace</vt:lpstr>
      <vt:lpstr>ZTI vodovod</vt:lpstr>
      <vt:lpstr>ZTI kanalizace</vt:lpstr>
      <vt:lpstr>ZTI plynovod</vt:lpstr>
      <vt:lpstr>VZT</vt:lpstr>
      <vt:lpstr>Ústřední vytápění</vt:lpstr>
      <vt:lpstr>elektro SIL+SLA</vt:lpstr>
      <vt:lpstr>EZS+CCTV</vt:lpstr>
      <vt:lpstr>'bourání a demolice ROZ'!Názvy_tisku</vt:lpstr>
      <vt:lpstr>Rekapitulace!Názvy_tisku</vt:lpstr>
      <vt:lpstr>'sanace ROZ'!Názvy_tisku</vt:lpstr>
      <vt:lpstr>'stavební úpravy ROZ'!Názvy_tisku</vt:lpstr>
      <vt:lpstr>'venkovní plochy a nové objekty'!Názvy_tisku</vt:lpstr>
      <vt:lpstr>'výrobky a specifikace'!Názvy_tisku</vt:lpstr>
      <vt:lpstr>'ZTI kanalizace'!Názvy_tisku</vt:lpstr>
      <vt:lpstr>'ZTI plynovod'!Názvy_tisku</vt:lpstr>
      <vt:lpstr>'ZTI vodovod'!Názvy_tisku</vt:lpstr>
      <vt:lpstr>'bourání a demolice ROZ'!Oblast_tisku</vt:lpstr>
      <vt:lpstr>'elektro SIL+SLA'!Oblast_tisku</vt:lpstr>
      <vt:lpstr>'EZS+CCTV'!Oblast_tisku</vt:lpstr>
      <vt:lpstr>Rekapitulace!Oblast_tisku</vt:lpstr>
      <vt:lpstr>'sanace ROZ'!Oblast_tisku</vt:lpstr>
      <vt:lpstr>'stavební úpravy ROZ'!Oblast_tisku</vt:lpstr>
      <vt:lpstr>'Ústřední vytápění'!Oblast_tisku</vt:lpstr>
      <vt:lpstr>'venkovní plochy a nové objekty'!Oblast_tisku</vt:lpstr>
      <vt:lpstr>'výrobky a specifikace'!Oblast_tisku</vt:lpstr>
      <vt:lpstr>VZT!Oblast_tisku</vt:lpstr>
      <vt:lpstr>'ZTI kanalizace'!Oblast_tisku</vt:lpstr>
      <vt:lpstr>'ZTI plynovod'!Oblast_tisku</vt:lpstr>
      <vt:lpstr>'ZTI vodovod'!Oblast_tisku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Jakub Kulhavý</dc:creator>
  <cp:lastModifiedBy>Nodžáková Galina</cp:lastModifiedBy>
  <cp:lastPrinted>2022-05-23T21:56:58Z</cp:lastPrinted>
  <dcterms:created xsi:type="dcterms:W3CDTF">2018-01-04T16:39:17Z</dcterms:created>
  <dcterms:modified xsi:type="dcterms:W3CDTF">2023-09-27T13:22:51Z</dcterms:modified>
</cp:coreProperties>
</file>