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Práce\003KOMON\2502+3 proluka Bílina aktualizace\2512 aktualizace\"/>
    </mc:Choice>
  </mc:AlternateContent>
  <xr:revisionPtr revIDLastSave="0" documentId="13_ncr:1_{6F6146D0-7F09-4C1E-B11A-2B1FBF19DCCB}" xr6:coauthVersionLast="47" xr6:coauthVersionMax="47" xr10:uidLastSave="{00000000-0000-0000-0000-000000000000}"/>
  <bookViews>
    <workbookView xWindow="-108" yWindow="-108" windowWidth="30936" windowHeight="18696" tabRatio="945" xr2:uid="{00000000-000D-0000-FFFF-FFFF00000000}"/>
  </bookViews>
  <sheets>
    <sheet name="Rekapitulace" sheetId="1" r:id="rId1"/>
    <sheet name="SO.01 bourání a demolice" sheetId="43" r:id="rId2"/>
    <sheet name="SO.02 proluka" sheetId="50" r:id="rId3"/>
    <sheet name="SO.03 dětské hřiště" sheetId="51" r:id="rId4"/>
    <sheet name="SO.04 vyvýšené sezení" sheetId="52" r:id="rId5"/>
    <sheet name="SO.05 ohradní zeď" sheetId="31" r:id="rId6"/>
    <sheet name="SO.06 sanace zdivo ZUŠ" sheetId="49" r:id="rId7"/>
    <sheet name="SO.09 sadové úpravy" sheetId="54" r:id="rId8"/>
    <sheet name="SO.07 přípojka vodovod" sheetId="22" r:id="rId9"/>
    <sheet name="SO.08 dešťová kanalizace" sheetId="53" r:id="rId10"/>
    <sheet name="Specifikace" sheetId="4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">"$#REF!.$A$2:$L$263"</definedName>
    <definedName name="__CENA__">#REF!</definedName>
    <definedName name="__MAIN__">#REF!</definedName>
    <definedName name="__MAIN2__">#REF!</definedName>
    <definedName name="__MAIN3__">#REF!</definedName>
    <definedName name="__SAZBA__">#REF!</definedName>
    <definedName name="__T0__">#REF!</definedName>
    <definedName name="__T1__">#REF!</definedName>
    <definedName name="__T2__">#REF!</definedName>
    <definedName name="__T3__">#REF!</definedName>
    <definedName name="__T4__">#REF!</definedName>
    <definedName name="__T5__">#REF!</definedName>
    <definedName name="__T7__">'[1]Položkový rozpočet'!#REF!</definedName>
    <definedName name="__TE0__">#REF!</definedName>
    <definedName name="__TE1__">#REF!</definedName>
    <definedName name="__TE2__">#REF!</definedName>
    <definedName name="__TE3__">#REF!</definedName>
    <definedName name="__TR0__">#REF!</definedName>
    <definedName name="__TR1__">#REF!</definedName>
    <definedName name="__TR2__">#REF!</definedName>
    <definedName name="__TR3__">#REF!</definedName>
    <definedName name="__xlnm._FilterDatabase_1">#REF!</definedName>
    <definedName name="__xlnm._FilterDatabase_1_1">#REF!</definedName>
    <definedName name="__xlnm._FilterDatabase_2">#REF!</definedName>
    <definedName name="__xlnm._FilterDatabase_3">#REF!</definedName>
    <definedName name="__xlnm._FilterDatabase_4">#REF!</definedName>
    <definedName name="__xlnm._FilterDatabase_5">#REF!</definedName>
    <definedName name="__xlnm._FilterDatabase_6">#REF!</definedName>
    <definedName name="_axx1">#REF!</definedName>
    <definedName name="_B100000">#REF!</definedName>
    <definedName name="_BPK1">[2]Položky!#REF!</definedName>
    <definedName name="_BPK2">[2]Položky!#REF!</definedName>
    <definedName name="_BPK3">[2]Položky!#REF!</definedName>
    <definedName name="_info">#REF!</definedName>
    <definedName name="_nic2">#REF!</definedName>
    <definedName name="_obl11">#REF!</definedName>
    <definedName name="_obl12">#REF!</definedName>
    <definedName name="_obl13">#REF!</definedName>
    <definedName name="_obl14">#REF!</definedName>
    <definedName name="_obl15">#REF!</definedName>
    <definedName name="_obl16">#REF!</definedName>
    <definedName name="_obl17">#REF!</definedName>
    <definedName name="_obl1710">#REF!</definedName>
    <definedName name="_obl1711">#REF!</definedName>
    <definedName name="_obl1712">#REF!</definedName>
    <definedName name="_obl1713">#REF!</definedName>
    <definedName name="_obl1714">#REF!</definedName>
    <definedName name="_obl1715">#REF!</definedName>
    <definedName name="_obl1716">#REF!</definedName>
    <definedName name="_obl1717">#REF!</definedName>
    <definedName name="_obl1718">#REF!</definedName>
    <definedName name="_obl1719">#REF!</definedName>
    <definedName name="_obl173">#REF!</definedName>
    <definedName name="_obl174">#REF!</definedName>
    <definedName name="_obl175">#REF!</definedName>
    <definedName name="_obl176">#REF!</definedName>
    <definedName name="_obl177">#REF!</definedName>
    <definedName name="_obl178">#REF!</definedName>
    <definedName name="_obl179">#REF!</definedName>
    <definedName name="_obl18">#REF!</definedName>
    <definedName name="_obl181">#REF!</definedName>
    <definedName name="_obl1816">#REF!</definedName>
    <definedName name="_obl1820">#REF!</definedName>
    <definedName name="_obl1821">#REF!</definedName>
    <definedName name="_obl1822">#REF!</definedName>
    <definedName name="_obl1823">#REF!</definedName>
    <definedName name="_obl1824">#REF!</definedName>
    <definedName name="_obl1825">#REF!</definedName>
    <definedName name="_obl1826">#REF!</definedName>
    <definedName name="_obl1827">#REF!</definedName>
    <definedName name="_obl1828">#REF!</definedName>
    <definedName name="_obl1829">#REF!</definedName>
    <definedName name="_obl183">#REF!</definedName>
    <definedName name="_obl1831">#REF!</definedName>
    <definedName name="_obl1832">#REF!</definedName>
    <definedName name="_obl184">#REF!</definedName>
    <definedName name="_obl185">#REF!</definedName>
    <definedName name="_obl186">#REF!</definedName>
    <definedName name="_obl187">#REF!</definedName>
    <definedName name="_odd11">'[3]Stavební část'!#REF!</definedName>
    <definedName name="_odd12">'[3]Stavební část'!#REF!</definedName>
    <definedName name="_odd13">'[3]Stavební část'!#REF!</definedName>
    <definedName name="_odd14">'[3]Stavební část'!#REF!</definedName>
    <definedName name="_odd15">'[3]Stavební část'!#REF!</definedName>
    <definedName name="_RB15">#REF!</definedName>
    <definedName name="_RF15">#REF!</definedName>
    <definedName name="_RF18">#REF!</definedName>
    <definedName name="_RF20">#REF!</definedName>
    <definedName name="_RF25">#REF!</definedName>
    <definedName name="_RFI15">#REF!</definedName>
    <definedName name="_SO01">[4]Venky!$A$10:$A$26</definedName>
    <definedName name="_SO02">[4]Venky!$A$29:$A$39</definedName>
    <definedName name="_SO03">[4]Venky!$A$42:$A$50</definedName>
    <definedName name="_SO04">[4]Venky!$A$53:$A$60</definedName>
    <definedName name="_SO05">[4]Venky!$A$63:$A$74</definedName>
    <definedName name="_SO06">[4]Venky!$A$77:$A$100</definedName>
    <definedName name="_SO08">[4]Venky!$A$103:$A$184</definedName>
    <definedName name="_SO09">[4]Venky!$A$187:$A$209</definedName>
    <definedName name="_SO10">[4]Venky!$A$212:$A$221</definedName>
    <definedName name="_T1">#REF!</definedName>
    <definedName name="_TWF14050">#REF!</definedName>
    <definedName name="_TWF16075">#REF!</definedName>
    <definedName name="_TWF180100">#REF!</definedName>
    <definedName name="_TWP1100">#REF!</definedName>
    <definedName name="_TWP1120">#REF!</definedName>
    <definedName name="_TWP1140">#REF!</definedName>
    <definedName name="_TWP140">#REF!</definedName>
    <definedName name="_TWP150">#REF!</definedName>
    <definedName name="_TWP160">#REF!</definedName>
    <definedName name="_TWP180">#REF!</definedName>
    <definedName name="_UA100">#REF!</definedName>
    <definedName name="_UA50">#REF!</definedName>
    <definedName name="_UA75">#REF!</definedName>
    <definedName name="_UD28">#REF!</definedName>
    <definedName name="_UD30">#REF!</definedName>
    <definedName name="_UW100">#REF!</definedName>
    <definedName name="_UW150">#REF!</definedName>
    <definedName name="_UW50">#REF!</definedName>
    <definedName name="_UW75">#REF!</definedName>
    <definedName name="_VO1">'[5]SO 01 - 06 ELEKTROINSTALACE'!$B$9644</definedName>
    <definedName name="_VO2">'[5]SO 01 - 06 ELEKTROINSTALACE'!$B$9644</definedName>
    <definedName name="a">#REF!</definedName>
    <definedName name="aa">#REF!</definedName>
    <definedName name="AAAAA">'[6]01'!$A$8:$A$10,'[6]01'!$A$14:$A$16,'[6]01'!$A$20:$A$22,'[6]01'!$A$26:$A$28,'[6]01'!$A$32:$A$34,'[6]01'!$A$38:$A$40,'[6]01'!$A$44:$A$46,'[6]01'!$A$50:$A$52,'[6]01'!$A$56:$A$58,'[6]01'!$A$62:$A$64,'[6]01'!$A$68:$A$70,'[6]01'!$A$74:$A$76,'[6]01'!$A$80:$A$82,'[6]01'!$A$86:$A$88,'[6]01'!$A$92:$A$94,'[6]01'!$A$98:$A$100,'[6]01'!$A$104:$A$106,'[6]01'!$A$110:$A$112,'[6]01'!$A$116:$A$118,'[6]01'!$A$122:$A$124</definedName>
    <definedName name="aaaaaa">[7]Rozpočet!#REF!</definedName>
    <definedName name="aaxx">#REF!</definedName>
    <definedName name="aaxx1">#REF!</definedName>
    <definedName name="aaxx10">#REF!</definedName>
    <definedName name="aaxx11">#REF!</definedName>
    <definedName name="aaxx12">#REF!</definedName>
    <definedName name="aaxx13">#REF!</definedName>
    <definedName name="aaxx14">#REF!</definedName>
    <definedName name="aaxx15">#REF!</definedName>
    <definedName name="aaxx16">#REF!</definedName>
    <definedName name="aaxx17">#REF!</definedName>
    <definedName name="aaxx18">#REF!</definedName>
    <definedName name="aaxx19">#REF!</definedName>
    <definedName name="aaxx2">#REF!</definedName>
    <definedName name="aaxx20">#REF!</definedName>
    <definedName name="aaxx21">#REF!</definedName>
    <definedName name="aaxx22">#REF!</definedName>
    <definedName name="aaxx23">#REF!</definedName>
    <definedName name="aaxx24">#REF!</definedName>
    <definedName name="aaxx25">#REF!</definedName>
    <definedName name="aaxx26">#REF!</definedName>
    <definedName name="aaxx27">#REF!</definedName>
    <definedName name="aaxx28">#REF!</definedName>
    <definedName name="aaxx29">#REF!</definedName>
    <definedName name="aaxx3">#REF!</definedName>
    <definedName name="aaxx30">#REF!</definedName>
    <definedName name="aaxx35">#REF!</definedName>
    <definedName name="aaxx4">#REF!</definedName>
    <definedName name="aaxx5">#REF!</definedName>
    <definedName name="aaxx6">#REF!</definedName>
    <definedName name="aaxx7">#REF!</definedName>
    <definedName name="aaxx8">#REF!</definedName>
    <definedName name="aaxx9">#REF!</definedName>
    <definedName name="aayy1">#REF!</definedName>
    <definedName name="aayy10">#REF!</definedName>
    <definedName name="aayy11">#REF!</definedName>
    <definedName name="aayy12">#REF!</definedName>
    <definedName name="aayy13">#REF!</definedName>
    <definedName name="aayy14">#REF!</definedName>
    <definedName name="aayy15">#REF!</definedName>
    <definedName name="aayy16">#REF!</definedName>
    <definedName name="aayy17">#REF!</definedName>
    <definedName name="aayy18">#REF!</definedName>
    <definedName name="aayy19">#REF!</definedName>
    <definedName name="aayy2">#REF!</definedName>
    <definedName name="aayy20">#REF!</definedName>
    <definedName name="aayy3">#REF!</definedName>
    <definedName name="aayy4">#REF!</definedName>
    <definedName name="aayy5">#REF!</definedName>
    <definedName name="aayy6">#REF!</definedName>
    <definedName name="aayy7">#REF!</definedName>
    <definedName name="aayy8">#REF!</definedName>
    <definedName name="aayy9">#REF!</definedName>
    <definedName name="ABC">#REF!</definedName>
    <definedName name="AccessDatabase" hidden="1">"C:\Marek\ex - nab99\Czg 990.mdb"</definedName>
    <definedName name="Acelý">#REF!,#REF!,#REF!,#REF!,#REF!,#REF!,#REF!,#REF!,#REF!,#REF!,#REF!,#REF!,#REF!,#REF!,#REF!,#REF!,#REF!,#REF!,#REF!,#REF!</definedName>
    <definedName name="Adam">"$vm_1np_200_050d.$#REF!$#REF!:$#REF!$#REF!"</definedName>
    <definedName name="ADRIAHYGIENE">#REF!</definedName>
    <definedName name="ADRIAHYGIENE_A">#REF!</definedName>
    <definedName name="ADRIAHYGIENE_B">#REF!</definedName>
    <definedName name="ADRIAHYGIENE_C">#REF!</definedName>
    <definedName name="ADRIAHYGIENE_D">#REF!</definedName>
    <definedName name="ADRIAHYGIENE_E">#REF!</definedName>
    <definedName name="afterdetail_rkap">#REF!</definedName>
    <definedName name="afterdetail_rozpocty">#REF!</definedName>
    <definedName name="AKRYLOVYTMEL">#REF!</definedName>
    <definedName name="AKRYLOVYTMEL_A">#REF!</definedName>
    <definedName name="AKRYLOVYTMEL_B">#REF!</definedName>
    <definedName name="AKRYLOVYTMEL_C">#REF!</definedName>
    <definedName name="AKRYLOVYTMEL_D">#REF!</definedName>
    <definedName name="AKRYLOVYTMEL_E">#REF!</definedName>
    <definedName name="AL_obvodový_plášť">'[8]SO 11.1A Výkaz výměr'!#REF!</definedName>
    <definedName name="ALUL">#REF!</definedName>
    <definedName name="ALUL_A">#REF!</definedName>
    <definedName name="ALUL_B">#REF!</definedName>
    <definedName name="ALUL_C">#REF!</definedName>
    <definedName name="ALUL_D">#REF!</definedName>
    <definedName name="ALUL_E">#REF!</definedName>
    <definedName name="ALUROH135">#REF!</definedName>
    <definedName name="ALUROH135_A">#REF!</definedName>
    <definedName name="ALUROH135_B">#REF!</definedName>
    <definedName name="ALUROH135_C">#REF!</definedName>
    <definedName name="ALUROH135_D">#REF!</definedName>
    <definedName name="ALUROH135_E">#REF!</definedName>
    <definedName name="ALUROH25X25">#REF!</definedName>
    <definedName name="ALUROH25X25_A">#REF!</definedName>
    <definedName name="ALUROH25X25_B">#REF!</definedName>
    <definedName name="ALUROH25X25_C">#REF!</definedName>
    <definedName name="ALUROH25X25_D">#REF!</definedName>
    <definedName name="ALUROH25X25_E">#REF!</definedName>
    <definedName name="ALUX">#REF!</definedName>
    <definedName name="ALUX_A">#REF!</definedName>
    <definedName name="ALUX_B">#REF!</definedName>
    <definedName name="ALUX_C">#REF!</definedName>
    <definedName name="ALUX_D">#REF!</definedName>
    <definedName name="ALUX_E">#REF!</definedName>
    <definedName name="amech1">'[4]ZS, VR'!$A$10:$A$31</definedName>
    <definedName name="ARMSTRONGBIOGUARD_PER_MIC_A">#REF!</definedName>
    <definedName name="ARMSTRONGBIOGUARD_PER_MIC_B">#REF!</definedName>
    <definedName name="ARMSTRONGBIOGUARD_PER_MIC_C">#REF!</definedName>
    <definedName name="ARMSTRONGBIOGUARD_PER_MIC_D">#REF!</definedName>
    <definedName name="ARMSTRONGBIOGUARD_PER_MIC_E">#REF!</definedName>
    <definedName name="ARMSTRONGBIOGUARDMICROLOOK_A">#REF!</definedName>
    <definedName name="ARMSTRONGBIOGUARDMICROLOOK_B">#REF!</definedName>
    <definedName name="ARMSTRONGBIOGUARDMICROLOOK_C">#REF!</definedName>
    <definedName name="ARMSTRONGBIOGUARDMICROLOOK_D">#REF!</definedName>
    <definedName name="ARMSTRONGBIOGUARDMICROLOOK_E">#REF!</definedName>
    <definedName name="ARMSTRONGBIOGUARDMICROLOOKPERF_C">#REF!</definedName>
    <definedName name="ARMSTRONGDUNE_MIC_A">#REF!</definedName>
    <definedName name="ARMSTRONGDUNE_MIC_B">#REF!</definedName>
    <definedName name="ARMSTRONGDUNE_MIC_C">#REF!</definedName>
    <definedName name="ARMSTRONGDUNE_MIC_D">#REF!</definedName>
    <definedName name="ARMSTRONGDUNE_MIC_E">#REF!</definedName>
    <definedName name="ARMSTRONGPLAINMICROLOOK_A">#REF!</definedName>
    <definedName name="ARMSTRONGPLAINMICROLOOK_B">#REF!</definedName>
    <definedName name="ARMSTRONGPLAINMICROLOOK_C">#REF!</definedName>
    <definedName name="ARMSTRONGPLAINMICROLOOK_D">#REF!</definedName>
    <definedName name="ARMSTRONGPLAINMICROLOOK_E">#REF!</definedName>
    <definedName name="AS">#REF!</definedName>
    <definedName name="ats">#REF!</definedName>
    <definedName name="b_10">#REF!</definedName>
    <definedName name="b_25">#REF!</definedName>
    <definedName name="b_30">#REF!</definedName>
    <definedName name="b_35">#REF!</definedName>
    <definedName name="b_40">#REF!</definedName>
    <definedName name="b_50">#REF!</definedName>
    <definedName name="b_60">#REF!</definedName>
    <definedName name="BASICCORTEGA">#REF!</definedName>
    <definedName name="BASICCORTEGA_A">#REF!</definedName>
    <definedName name="BASICCORTEGA_B">#REF!</definedName>
    <definedName name="BASICCORTEGA_C">#REF!</definedName>
    <definedName name="BASICCORTEGA_D">#REF!</definedName>
    <definedName name="BASICCORTEGA_E">#REF!</definedName>
    <definedName name="BASICCORTEGAT">#REF!</definedName>
    <definedName name="BASICCORTEGAT_A">#REF!</definedName>
    <definedName name="BASICCORTEGAT_B">#REF!</definedName>
    <definedName name="BASICCORTEGAT_C">#REF!</definedName>
    <definedName name="BASICCORTEGAT_D">#REF!</definedName>
    <definedName name="BASICCORTEGAT_E">#REF!</definedName>
    <definedName name="BASICSAVANA">#REF!</definedName>
    <definedName name="BASICSAVANA_A">#REF!</definedName>
    <definedName name="BASICSAVANA_C">#REF!</definedName>
    <definedName name="BASICSAVANA_D">#REF!</definedName>
    <definedName name="BASICSAVANA_E">#REF!</definedName>
    <definedName name="bcv">#REF!</definedName>
    <definedName name="be_be">#REF!</definedName>
    <definedName name="be_pf">#REF!</definedName>
    <definedName name="be_sc">#REF!</definedName>
    <definedName name="be_sch">#REF!</definedName>
    <definedName name="be_so">#REF!</definedName>
    <definedName name="be_sp">#REF!</definedName>
    <definedName name="be_st">#REF!</definedName>
    <definedName name="before_rkap">#REF!</definedName>
    <definedName name="before_rozpocty">#REF!</definedName>
    <definedName name="before_rozpocty1">#REF!</definedName>
    <definedName name="beforeafterdetail_rozpocty.Poznamka2.1">#REF!</definedName>
    <definedName name="beforedetail_rozpocty">#REF!</definedName>
    <definedName name="beforefirmy_rozpocty_pozn.Poznamka2">#REF!</definedName>
    <definedName name="beforetop_rkap">#REF!</definedName>
    <definedName name="BENDLINE7_A">#REF!</definedName>
    <definedName name="BENDLINE7_B">#REF!</definedName>
    <definedName name="BENDLINE7_C">#REF!</definedName>
    <definedName name="BENDLINE7_D">#REF!</definedName>
    <definedName name="BENDLINE7_E">#REF!</definedName>
    <definedName name="BESICSAVANA_B">#REF!</definedName>
    <definedName name="bghrerr">#REF!</definedName>
    <definedName name="bhvfdgvf">#REF!</definedName>
    <definedName name="BIGQUATTRO41">#REF!</definedName>
    <definedName name="BIGQUATTRO41_A">#REF!</definedName>
    <definedName name="BIGQUATTRO41_B">#REF!</definedName>
    <definedName name="BIGQUATTRO41_C">#REF!</definedName>
    <definedName name="BIGQUATTRO41_D">#REF!</definedName>
    <definedName name="BIGQUATTRO41_E">#REF!</definedName>
    <definedName name="BIGQUATTRO42">#REF!</definedName>
    <definedName name="BIGQUATTRO42_A">#REF!</definedName>
    <definedName name="BIGQUATTRO42_B">#REF!</definedName>
    <definedName name="BIGQUATTRO42_C">#REF!</definedName>
    <definedName name="BIGQUATTRO42_D">#REF!</definedName>
    <definedName name="BIGQUATTRO42_E">#REF!</definedName>
    <definedName name="BIGQUATTRO46">#REF!</definedName>
    <definedName name="BIGQUATTRO46_A">#REF!</definedName>
    <definedName name="BIGQUATTRO46_B">#REF!</definedName>
    <definedName name="BIGQUATTRO46_C">#REF!</definedName>
    <definedName name="BIGQUATTRO46_D">#REF!</definedName>
    <definedName name="BIGQUATTRO46_E">#REF!</definedName>
    <definedName name="BIGQUATTRO47">#REF!</definedName>
    <definedName name="BIGQUATTRO47_A">#REF!</definedName>
    <definedName name="BIGQUATTRO47_B">#REF!</definedName>
    <definedName name="BIGQUATTRO47_C">#REF!</definedName>
    <definedName name="BIGQUATTRO47_D">#REF!</definedName>
    <definedName name="BIGQUATTRO47_E">#REF!</definedName>
    <definedName name="BIOGUARD_HRANA_MICROLOOK">#REF!</definedName>
    <definedName name="BIOGUARD_PERFORATED">#REF!</definedName>
    <definedName name="BIOGUARDHRANAMICROLOOK_A">#REF!</definedName>
    <definedName name="BIOGUARDHRANAMICROLOOK_B">#REF!</definedName>
    <definedName name="BIOGUARDHRANAMICROLOOK_C">#REF!</definedName>
    <definedName name="BIOGUARDHRANAMICROLOOK_D">#REF!</definedName>
    <definedName name="BIOGUARDHRANAMICROLOOK_E">#REF!</definedName>
    <definedName name="BIOGUARDPERFORATED_A">#REF!</definedName>
    <definedName name="BIOGUARDPERFORATED_B">#REF!</definedName>
    <definedName name="BIOGUARDPERFORATED_C">#REF!</definedName>
    <definedName name="BIOGUARDPERFORATED_D">#REF!</definedName>
    <definedName name="BIOGUARDPERFORATED_E">#REF!</definedName>
    <definedName name="blbost">#REF!</definedName>
    <definedName name="body_hlavy">#REF!</definedName>
    <definedName name="body_memrekapdph">#REF!</definedName>
    <definedName name="body_phlavy">#REF!</definedName>
    <definedName name="body_prekap">#REF!</definedName>
    <definedName name="body_rkap">#REF!</definedName>
    <definedName name="body_rozpocty">#REF!</definedName>
    <definedName name="body_rozpočty">#REF!</definedName>
    <definedName name="body_rpolozky">#REF!</definedName>
    <definedName name="body_rpolozky.Poznamka2">#REF!</definedName>
    <definedName name="BuňkaNad">[9]OBALKA!A1048576</definedName>
    <definedName name="Button_1">"Czg_990_Nabídka_Seznam1"</definedName>
    <definedName name="bvc">#REF!</definedName>
    <definedName name="CAPRIE24">#REF!</definedName>
    <definedName name="CAPRIE24_A">#REF!</definedName>
    <definedName name="CAPRIE24_B">#REF!</definedName>
    <definedName name="CAPRIE24_C">#REF!</definedName>
    <definedName name="CAPRIE24_D">#REF!</definedName>
    <definedName name="CAPRIE24_E">#REF!</definedName>
    <definedName name="CASOBIANCAA">#REF!</definedName>
    <definedName name="CASOBIANCAA_A">#REF!</definedName>
    <definedName name="CASOBIANCAA_B">#REF!</definedName>
    <definedName name="CASOBIANCAA_C">#REF!</definedName>
    <definedName name="CASOBIANCAA_D">#REF!</definedName>
    <definedName name="CASOBIANCAA_E">#REF!</definedName>
    <definedName name="CASOBIANCAE15">#REF!</definedName>
    <definedName name="CASOBIANCAE15_A">#REF!</definedName>
    <definedName name="CASOBIANCAE15_B">#REF!</definedName>
    <definedName name="CASOBIANCAE15_C">#REF!</definedName>
    <definedName name="CASOBIANCAE15_D">#REF!</definedName>
    <definedName name="CASOBIANCAE15_E">#REF!</definedName>
    <definedName name="CASOBIANCAE24">#REF!</definedName>
    <definedName name="CASOBIANCAE24_A">#REF!</definedName>
    <definedName name="CASOBIANCAE24_B">#REF!</definedName>
    <definedName name="CASOBIANCAE24_C">#REF!</definedName>
    <definedName name="CASOBIANCAE24_D">#REF!</definedName>
    <definedName name="CASOBIANCAE24_E">#REF!</definedName>
    <definedName name="CASOFORTEA">#REF!</definedName>
    <definedName name="CASOFORTEA_A">#REF!</definedName>
    <definedName name="CASOFORTEA_B">#REF!</definedName>
    <definedName name="CASOFORTEA_C">#REF!</definedName>
    <definedName name="CASOFORTEA_D">#REF!</definedName>
    <definedName name="CASOFORTEA_E">#REF!</definedName>
    <definedName name="CASOFORTEE15">#REF!</definedName>
    <definedName name="CASOFORTEE15_A">#REF!</definedName>
    <definedName name="CASOFORTEE15_B">#REF!</definedName>
    <definedName name="CASOFORTEE15_C">#REF!</definedName>
    <definedName name="CASOFORTEE15_D">#REF!</definedName>
    <definedName name="CASOFORTEE15_E">#REF!</definedName>
    <definedName name="CASOFORTEE24">#REF!</definedName>
    <definedName name="CASOFORTEE24_A">#REF!</definedName>
    <definedName name="CASOFORTEE24_B">#REF!</definedName>
    <definedName name="CASOFORTEE24_C">#REF!</definedName>
    <definedName name="CASOFORTEE24_D">#REF!</definedName>
    <definedName name="CASOFORTEE24_E">#REF!</definedName>
    <definedName name="CASOROCA">#REF!</definedName>
    <definedName name="CASOROCA_A">#REF!</definedName>
    <definedName name="CASOROCA_B">#REF!</definedName>
    <definedName name="CASOROCA_C">#REF!</definedName>
    <definedName name="CASOROCA_D">#REF!</definedName>
    <definedName name="CASOROCA_E">#REF!</definedName>
    <definedName name="CASOROCE15">#REF!</definedName>
    <definedName name="CASOROCE15_A">#REF!</definedName>
    <definedName name="CASOROCE15_B">#REF!</definedName>
    <definedName name="CASOROCE15_C">#REF!</definedName>
    <definedName name="CASOROCE15_D">#REF!</definedName>
    <definedName name="CASOROCE15_E">#REF!</definedName>
    <definedName name="CASOROCE24">#REF!</definedName>
    <definedName name="CASOROCE24_A">#REF!</definedName>
    <definedName name="CASOROCE24_B">#REF!</definedName>
    <definedName name="CASOROCE24_C">#REF!</definedName>
    <definedName name="CASOROCE24_D">#REF!</definedName>
    <definedName name="CASOROCE24_E">#REF!</definedName>
    <definedName name="CASOSTARA">#REF!</definedName>
    <definedName name="CASOSTARA_A">#REF!</definedName>
    <definedName name="CASOSTARA_B">#REF!</definedName>
    <definedName name="CASOSTARA_C">#REF!</definedName>
    <definedName name="CASOSTARA_D">#REF!</definedName>
    <definedName name="CASOSTARA_E">#REF!</definedName>
    <definedName name="CASOSTARE15">#REF!</definedName>
    <definedName name="CASOSTARE15_A">#REF!</definedName>
    <definedName name="CASOSTARE15_B">#REF!</definedName>
    <definedName name="CASOSTARE15_C">#REF!</definedName>
    <definedName name="CASOSTARE15_D">#REF!</definedName>
    <definedName name="CASOSTARE15_E">#REF!</definedName>
    <definedName name="CASOSTARE24">#REF!</definedName>
    <definedName name="CASOSTARE24_A">#REF!</definedName>
    <definedName name="CASOSTARE24_B">#REF!</definedName>
    <definedName name="CASOSTARE24_C">#REF!</definedName>
    <definedName name="CASOSTARE24_D">#REF!</definedName>
    <definedName name="CASOSTARE24_E">#REF!</definedName>
    <definedName name="CASOVOICEA">#REF!</definedName>
    <definedName name="CASOVOICEA_A">#REF!</definedName>
    <definedName name="CASOVOICEA_B">#REF!</definedName>
    <definedName name="CASOVOICEA_C">#REF!</definedName>
    <definedName name="CASOVOICEA_D">#REF!</definedName>
    <definedName name="CASOVOICEA_E">#REF!</definedName>
    <definedName name="CASOVOICEE15">#REF!</definedName>
    <definedName name="CASOVOICEE15_A">#REF!</definedName>
    <definedName name="CASOVOICEE15_B">#REF!</definedName>
    <definedName name="CASOVOICEE15_C">#REF!</definedName>
    <definedName name="CASOVOICEE15_D">#REF!</definedName>
    <definedName name="CASOVOICEE15_E">#REF!</definedName>
    <definedName name="CASOVOICEE24">#REF!</definedName>
    <definedName name="CASOVOICEE24_A">#REF!</definedName>
    <definedName name="CASOVOICEE24_B">#REF!</definedName>
    <definedName name="CASOVOICEE24_C">#REF!</definedName>
    <definedName name="CASOVOICEE24_D">#REF!</definedName>
    <definedName name="CASOVOICEE24_E">#REF!</definedName>
    <definedName name="CC">#REF!</definedName>
    <definedName name="CC_12">#REF!</definedName>
    <definedName name="CC_34">#REF!</definedName>
    <definedName name="CC_50">#REF!</definedName>
    <definedName name="CD">#REF!</definedName>
    <definedName name="CD_A">#REF!</definedName>
    <definedName name="CD_B">#REF!</definedName>
    <definedName name="CD_C">#REF!</definedName>
    <definedName name="CD_D">#REF!</definedName>
    <definedName name="CD_E">#REF!</definedName>
    <definedName name="celkembezdph">#REF!</definedName>
    <definedName name="celkemsdph">#REF!</definedName>
    <definedName name="celkemsdph.Poznamka2">#REF!</definedName>
    <definedName name="celklemsdph">#REF!</definedName>
    <definedName name="celkrozp">#REF!</definedName>
    <definedName name="Cena">#REF!</definedName>
    <definedName name="Cena_1">0</definedName>
    <definedName name="Cena_2">#REF!</definedName>
    <definedName name="Cena_dokumentace">#REF!</definedName>
    <definedName name="Cena1">#REF!</definedName>
    <definedName name="Cena1_1">0</definedName>
    <definedName name="Cena1_2">#REF!</definedName>
    <definedName name="cena100">#REF!</definedName>
    <definedName name="Cena2">#REF!</definedName>
    <definedName name="Cena2_1">0</definedName>
    <definedName name="Cena2_2">#REF!</definedName>
    <definedName name="Cena3">#REF!</definedName>
    <definedName name="Cena3_1">0</definedName>
    <definedName name="Cena3_2">#REF!</definedName>
    <definedName name="Cena4">#REF!</definedName>
    <definedName name="Cena4_1">0</definedName>
    <definedName name="Cena4_2">#REF!</definedName>
    <definedName name="cena46546">#REF!</definedName>
    <definedName name="Cena5">#REF!</definedName>
    <definedName name="Cena5_1">0</definedName>
    <definedName name="Cena5_2">#REF!</definedName>
    <definedName name="Cena6">#REF!</definedName>
    <definedName name="Cena6_1">0</definedName>
    <definedName name="Cena6_2">#REF!</definedName>
    <definedName name="Cena7">#REF!</definedName>
    <definedName name="Cena7_1">0</definedName>
    <definedName name="Cena7_2">#REF!</definedName>
    <definedName name="Cena8">#REF!</definedName>
    <definedName name="Cena8_1">0</definedName>
    <definedName name="Cena8_2">#REF!</definedName>
    <definedName name="cisloobjektu">#REF!</definedName>
    <definedName name="CisloRozpoctu">'[10]Krycí list'!$C$2</definedName>
    <definedName name="cislostavby">#REF!</definedName>
    <definedName name="CK">#REF!</definedName>
    <definedName name="CW_100">#REF!</definedName>
    <definedName name="CW_150">#REF!</definedName>
    <definedName name="CW_50">#REF!</definedName>
    <definedName name="CW_75">#REF!</definedName>
    <definedName name="CW100_A">#REF!</definedName>
    <definedName name="CW100_B">#REF!</definedName>
    <definedName name="CW100_C">#REF!</definedName>
    <definedName name="CW100_D">#REF!</definedName>
    <definedName name="CW100_E">#REF!</definedName>
    <definedName name="CW150_A">#REF!</definedName>
    <definedName name="CW150_B">#REF!</definedName>
    <definedName name="CW150_C">#REF!</definedName>
    <definedName name="CW150_D">#REF!</definedName>
    <definedName name="CW150_E">#REF!</definedName>
    <definedName name="CW50_A">#REF!</definedName>
    <definedName name="CW50_B">#REF!</definedName>
    <definedName name="CW50_C">#REF!</definedName>
    <definedName name="CW50_D">#REF!</definedName>
    <definedName name="CW50_E">#REF!</definedName>
    <definedName name="CW75_A">#REF!</definedName>
    <definedName name="CW75_B">#REF!</definedName>
    <definedName name="CW75_C">#REF!</definedName>
    <definedName name="CW75_D">#REF!</definedName>
    <definedName name="CW75_E">#REF!</definedName>
    <definedName name="d">[11]DATA!$A:$E</definedName>
    <definedName name="DATA">#REF!</definedName>
    <definedName name="data_1">#REF!</definedName>
    <definedName name="_xlnm.Database">#REF!</definedName>
    <definedName name="datan">#REF!</definedName>
    <definedName name="Datum">[12]MaR!#REF!</definedName>
    <definedName name="Datum_1">0</definedName>
    <definedName name="Datum_2">[13]MaR!#REF!</definedName>
    <definedName name="DD">#REF!</definedName>
    <definedName name="dem">#REF!</definedName>
    <definedName name="DEROVANADESKA">#REF!</definedName>
    <definedName name="DEROVANADESKA_A">#REF!</definedName>
    <definedName name="DEROVANADESKA_B">#REF!</definedName>
    <definedName name="DEROVANADESKA_C">#REF!</definedName>
    <definedName name="DEROVANADESKA_D">#REF!</definedName>
    <definedName name="DEROVANADESKA_E">#REF!</definedName>
    <definedName name="DEROVANADESKASUPER">#REF!</definedName>
    <definedName name="DEROVANADESKASUPER_A">#REF!</definedName>
    <definedName name="DEROVANADESKASUPER_B">#REF!</definedName>
    <definedName name="DEROVANADESKASUPER_C">#REF!</definedName>
    <definedName name="DEROVANADESKASUPER_D">#REF!</definedName>
    <definedName name="DEROVANADESKASUPER_E">#REF!</definedName>
    <definedName name="dfdaf">#REF!</definedName>
    <definedName name="dflt1">'[14]Úprava faktury'!$E$21</definedName>
    <definedName name="dflt2">'[14]Úprava faktury'!$E$22</definedName>
    <definedName name="dflt3">'[14]Úprava faktury'!$D$23</definedName>
    <definedName name="Dil">#REF!</definedName>
    <definedName name="DILATACNIPROFILPVC">#REF!</definedName>
    <definedName name="DILATACNIPROFILPVC_A">#REF!</definedName>
    <definedName name="DILATACNIPROFILPVC_B">#REF!</definedName>
    <definedName name="DILATACNIPROFILPVC_C">#REF!</definedName>
    <definedName name="DILATACNIPROFILPVC_D">#REF!</definedName>
    <definedName name="DILATACNIPROFILPVC_E">#REF!</definedName>
    <definedName name="Dispečink">[12]MaR!#REF!</definedName>
    <definedName name="Dispečink_1">0</definedName>
    <definedName name="Dispečink_2">[13]MaR!#REF!</definedName>
    <definedName name="DKGJSDGS">#REF!</definedName>
    <definedName name="DO">#REF!</definedName>
    <definedName name="DO_12">#REF!</definedName>
    <definedName name="DO_34">#REF!</definedName>
    <definedName name="DO_50">#REF!</definedName>
    <definedName name="dod">[15]dodav!$B:$D</definedName>
    <definedName name="DOD_12">#REF!</definedName>
    <definedName name="DOD_34">#REF!</definedName>
    <definedName name="DOD_50">#REF!</definedName>
    <definedName name="dodav">[16]dodav!$B:$D</definedName>
    <definedName name="Dodavka">[17]Rekapitulace!$G$9</definedName>
    <definedName name="Dodavka0">[17]Položky!#REF!</definedName>
    <definedName name="dodavkan">#REF!</definedName>
    <definedName name="DOPL_1">#REF!</definedName>
    <definedName name="DOPL_1_A">#REF!</definedName>
    <definedName name="DOPL_1_B">#REF!</definedName>
    <definedName name="DOPL_1_C">#REF!</definedName>
    <definedName name="DOPL_1_D">#REF!</definedName>
    <definedName name="DOPL_1_E">#REF!</definedName>
    <definedName name="DOPL_1_M">#REF!</definedName>
    <definedName name="DOPL_1_P">#REF!</definedName>
    <definedName name="DOPL_1_WE">#REF!</definedName>
    <definedName name="DOPL_10">#REF!</definedName>
    <definedName name="DOPL_10_A">#REF!</definedName>
    <definedName name="DOPL_10_B">#REF!</definedName>
    <definedName name="DOPL_10_C">#REF!</definedName>
    <definedName name="DOPL_10_D">#REF!</definedName>
    <definedName name="DOPL_10_E">#REF!</definedName>
    <definedName name="DOPL_10_M">#REF!</definedName>
    <definedName name="DOPL_10_P">#REF!</definedName>
    <definedName name="DOPL_11">#REF!</definedName>
    <definedName name="DOPL_11_A">#REF!</definedName>
    <definedName name="DOPL_11_B">#REF!</definedName>
    <definedName name="DOPL_11_C">#REF!</definedName>
    <definedName name="DOPL_11_D">#REF!</definedName>
    <definedName name="DOPL_11_E">#REF!</definedName>
    <definedName name="DOPL_11_M">#REF!</definedName>
    <definedName name="DOPL_11_P">#REF!</definedName>
    <definedName name="DOPL_12">#REF!</definedName>
    <definedName name="DOPL_12_A">#REF!</definedName>
    <definedName name="DOPL_12_B">#REF!</definedName>
    <definedName name="DOPL_12_C">#REF!</definedName>
    <definedName name="DOPL_12_D">#REF!</definedName>
    <definedName name="DOPL_12_E">#REF!</definedName>
    <definedName name="DOPL_12_M">#REF!</definedName>
    <definedName name="DOPL_12_P">#REF!</definedName>
    <definedName name="DOPL_13">#REF!</definedName>
    <definedName name="DOPL_13_A">#REF!</definedName>
    <definedName name="DOPL_13_B">#REF!</definedName>
    <definedName name="DOPL_13_C">#REF!</definedName>
    <definedName name="DOPL_13_D">#REF!</definedName>
    <definedName name="DOPL_13_E">#REF!</definedName>
    <definedName name="DOPL_13_M">#REF!</definedName>
    <definedName name="DOPL_13_P">#REF!</definedName>
    <definedName name="DOPL_14">#REF!</definedName>
    <definedName name="DOPL_14_A">#REF!</definedName>
    <definedName name="DOPL_14_B">#REF!</definedName>
    <definedName name="DOPL_14_C">#REF!</definedName>
    <definedName name="DOPL_14_D">#REF!</definedName>
    <definedName name="DOPL_14_E">#REF!</definedName>
    <definedName name="DOPL_14_M">#REF!</definedName>
    <definedName name="DOPL_14_P">#REF!</definedName>
    <definedName name="DOPL_15">#REF!</definedName>
    <definedName name="DOPL_15_A">#REF!</definedName>
    <definedName name="DOPL_15_B">#REF!</definedName>
    <definedName name="DOPL_15_C">#REF!</definedName>
    <definedName name="DOPL_15_D">#REF!</definedName>
    <definedName name="DOPL_15_E">#REF!</definedName>
    <definedName name="DOPL_15_M">#REF!</definedName>
    <definedName name="DOPL_15_P">#REF!</definedName>
    <definedName name="DOPL_16">#REF!</definedName>
    <definedName name="DOPL_16_A">#REF!</definedName>
    <definedName name="DOPL_16_B">#REF!</definedName>
    <definedName name="DOPL_16_C">#REF!</definedName>
    <definedName name="DOPL_16_D">#REF!</definedName>
    <definedName name="DOPL_16_E">#REF!</definedName>
    <definedName name="DOPL_16_M">#REF!</definedName>
    <definedName name="DOPL_16_P">#REF!</definedName>
    <definedName name="DOPL_17">#REF!</definedName>
    <definedName name="DOPL_17_A">#REF!</definedName>
    <definedName name="DOPL_17_B">#REF!</definedName>
    <definedName name="DOPL_17_C">#REF!</definedName>
    <definedName name="DOPL_17_D">#REF!</definedName>
    <definedName name="DOPL_17_E">#REF!</definedName>
    <definedName name="DOPL_17_M">#REF!</definedName>
    <definedName name="DOPL_17_P">#REF!</definedName>
    <definedName name="DOPL_18">#REF!</definedName>
    <definedName name="DOPL_18_A">#REF!</definedName>
    <definedName name="DOPL_18_B">#REF!</definedName>
    <definedName name="DOPL_18_C">#REF!</definedName>
    <definedName name="DOPL_18_D">#REF!</definedName>
    <definedName name="DOPL_18_E">#REF!</definedName>
    <definedName name="DOPL_18_M">#REF!</definedName>
    <definedName name="DOPL_18_P">#REF!</definedName>
    <definedName name="DOPL_19">#REF!</definedName>
    <definedName name="DOPL_19_A">#REF!</definedName>
    <definedName name="DOPL_19_B">#REF!</definedName>
    <definedName name="DOPL_19_C">#REF!</definedName>
    <definedName name="DOPL_19_D">#REF!</definedName>
    <definedName name="DOPL_19_E">#REF!</definedName>
    <definedName name="DOPL_19_M">#REF!</definedName>
    <definedName name="DOPL_19_P">#REF!</definedName>
    <definedName name="DOPL_2">#REF!</definedName>
    <definedName name="DOPL_2_A">#REF!</definedName>
    <definedName name="DOPL_2_B">#REF!</definedName>
    <definedName name="DOPL_2_C">#REF!</definedName>
    <definedName name="DOPL_2_D">#REF!</definedName>
    <definedName name="DOPL_2_E">#REF!</definedName>
    <definedName name="DOPL_2_M">#REF!</definedName>
    <definedName name="DOPL_2_P">#REF!</definedName>
    <definedName name="DOPL_2_WE">#REF!</definedName>
    <definedName name="DOPL_20">#REF!</definedName>
    <definedName name="DOPL_20_A">#REF!</definedName>
    <definedName name="DOPL_20_B">#REF!</definedName>
    <definedName name="DOPL_20_C">#REF!</definedName>
    <definedName name="DOPL_20_D">#REF!</definedName>
    <definedName name="DOPL_20_E">#REF!</definedName>
    <definedName name="DOPL_20_M">#REF!</definedName>
    <definedName name="DOPL_20_P">#REF!</definedName>
    <definedName name="DOPL_21">#REF!</definedName>
    <definedName name="DOPL_21_A">#REF!</definedName>
    <definedName name="DOPL_21_B">#REF!</definedName>
    <definedName name="DOPL_21_C">#REF!</definedName>
    <definedName name="DOPL_21_D">#REF!</definedName>
    <definedName name="DOPL_21_E">#REF!</definedName>
    <definedName name="DOPL_21_M">#REF!</definedName>
    <definedName name="DOPL_21_P">#REF!</definedName>
    <definedName name="DOPL_22">#REF!</definedName>
    <definedName name="DOPL_22_A">#REF!</definedName>
    <definedName name="DOPL_22_B">#REF!</definedName>
    <definedName name="DOPL_22_C">#REF!</definedName>
    <definedName name="DOPL_22_D">#REF!</definedName>
    <definedName name="DOPL_22_E">#REF!</definedName>
    <definedName name="DOPL_22_M">#REF!</definedName>
    <definedName name="DOPL_22_P">#REF!</definedName>
    <definedName name="DOPL_23">#REF!</definedName>
    <definedName name="DOPL_23_A">#REF!</definedName>
    <definedName name="DOPL_23_B">#REF!</definedName>
    <definedName name="DOPL_23_C">#REF!</definedName>
    <definedName name="DOPL_23_D">#REF!</definedName>
    <definedName name="DOPL_23_E">#REF!</definedName>
    <definedName name="DOPL_23_M">#REF!</definedName>
    <definedName name="DOPL_23_P">#REF!</definedName>
    <definedName name="DOPL_24">#REF!</definedName>
    <definedName name="DOPL_24_A">#REF!</definedName>
    <definedName name="DOPL_24_B">#REF!</definedName>
    <definedName name="DOPL_24_C">#REF!</definedName>
    <definedName name="DOPL_24_D">#REF!</definedName>
    <definedName name="DOPL_24_E">#REF!</definedName>
    <definedName name="DOPL_24_M">#REF!</definedName>
    <definedName name="DOPL_24_P">#REF!</definedName>
    <definedName name="DOPL_25">#REF!</definedName>
    <definedName name="DOPL_25_A">#REF!</definedName>
    <definedName name="DOPL_25_B">#REF!</definedName>
    <definedName name="DOPL_25_C">#REF!</definedName>
    <definedName name="DOPL_25_D">#REF!</definedName>
    <definedName name="DOPL_25_E">#REF!</definedName>
    <definedName name="DOPL_25_M">#REF!</definedName>
    <definedName name="DOPL_25_P">#REF!</definedName>
    <definedName name="DOPL_26">#REF!</definedName>
    <definedName name="DOPL_26_A">#REF!</definedName>
    <definedName name="DOPL_26_B">#REF!</definedName>
    <definedName name="DOPL_26_C">#REF!</definedName>
    <definedName name="DOPL_26_D">#REF!</definedName>
    <definedName name="DOPL_26_E">#REF!</definedName>
    <definedName name="DOPL_26_M">#REF!</definedName>
    <definedName name="DOPL_26_P">#REF!</definedName>
    <definedName name="DOPL_27">#REF!</definedName>
    <definedName name="DOPL_27_A">#REF!</definedName>
    <definedName name="DOPL_27_B">#REF!</definedName>
    <definedName name="DOPL_27_C">#REF!</definedName>
    <definedName name="DOPL_27_D">#REF!</definedName>
    <definedName name="DOPL_27_E">#REF!</definedName>
    <definedName name="DOPL_27_M">#REF!</definedName>
    <definedName name="DOPL_27_P">#REF!</definedName>
    <definedName name="DOPL_28">#REF!</definedName>
    <definedName name="DOPL_28_A">#REF!</definedName>
    <definedName name="DOPL_28_B">#REF!</definedName>
    <definedName name="DOPL_28_C">#REF!</definedName>
    <definedName name="DOPL_28_D">#REF!</definedName>
    <definedName name="DOPL_28_E">#REF!</definedName>
    <definedName name="DOPL_28_M">#REF!</definedName>
    <definedName name="DOPL_28_P">#REF!</definedName>
    <definedName name="DOPL_28_WE">#REF!</definedName>
    <definedName name="DOPL_29">#REF!</definedName>
    <definedName name="DOPL_29_A">#REF!</definedName>
    <definedName name="DOPL_29_B">#REF!</definedName>
    <definedName name="DOPL_29_C">#REF!</definedName>
    <definedName name="DOPL_29_D">#REF!</definedName>
    <definedName name="DOPL_29_E">#REF!</definedName>
    <definedName name="DOPL_29_M">#REF!</definedName>
    <definedName name="DOPL_29_P">#REF!</definedName>
    <definedName name="DOPL_3">#REF!</definedName>
    <definedName name="DOPL_3_A">#REF!</definedName>
    <definedName name="DOPL_3_B">#REF!</definedName>
    <definedName name="DOPL_3_C">#REF!</definedName>
    <definedName name="DOPL_3_D">#REF!</definedName>
    <definedName name="DOPL_3_E">#REF!</definedName>
    <definedName name="DOPL_3_M">#REF!</definedName>
    <definedName name="DOPL_3_P">#REF!</definedName>
    <definedName name="DOPL_30">#REF!</definedName>
    <definedName name="DOPL_30_A">#REF!</definedName>
    <definedName name="DOPL_30_B">#REF!</definedName>
    <definedName name="DOPL_30_C">#REF!</definedName>
    <definedName name="DOPL_30_D">#REF!</definedName>
    <definedName name="DOPL_30_E">#REF!</definedName>
    <definedName name="DOPL_30_M">#REF!</definedName>
    <definedName name="DOPL_30_P">#REF!</definedName>
    <definedName name="DOPL_31">#REF!</definedName>
    <definedName name="DOPL_31_A">#REF!</definedName>
    <definedName name="DOPL_31_B">#REF!</definedName>
    <definedName name="DOPL_31_C">#REF!</definedName>
    <definedName name="DOPL_31_D">#REF!</definedName>
    <definedName name="DOPL_31_E">#REF!</definedName>
    <definedName name="DOPL_31_M">#REF!</definedName>
    <definedName name="DOPL_31_P">#REF!</definedName>
    <definedName name="DOPL_32">#REF!</definedName>
    <definedName name="DOPL_32_A">#REF!</definedName>
    <definedName name="DOPL_32_B">#REF!</definedName>
    <definedName name="DOPL_32_C">#REF!</definedName>
    <definedName name="DOPL_32_D">#REF!</definedName>
    <definedName name="DOPL_32_E">#REF!</definedName>
    <definedName name="DOPL_32_M">#REF!</definedName>
    <definedName name="DOPL_32_P">#REF!</definedName>
    <definedName name="DOPL_33">#REF!</definedName>
    <definedName name="DOPL_33_A">#REF!</definedName>
    <definedName name="DOPL_33_B">#REF!</definedName>
    <definedName name="DOPL_33_C">#REF!</definedName>
    <definedName name="DOPL_33_D">#REF!</definedName>
    <definedName name="DOPL_33_E">#REF!</definedName>
    <definedName name="DOPL_33_M">#REF!</definedName>
    <definedName name="DOPL_33_P">#REF!</definedName>
    <definedName name="DOPL_34">#REF!</definedName>
    <definedName name="DOPL_34_A">#REF!</definedName>
    <definedName name="DOPL_34_B">#REF!</definedName>
    <definedName name="DOPL_34_C">#REF!</definedName>
    <definedName name="DOPL_34_D">#REF!</definedName>
    <definedName name="DOPL_34_E">#REF!</definedName>
    <definedName name="DOPL_34_M">#REF!</definedName>
    <definedName name="DOPL_34_P">#REF!</definedName>
    <definedName name="DOPL_35">#REF!</definedName>
    <definedName name="DOPL_35_A">#REF!</definedName>
    <definedName name="DOPL_35_B">#REF!</definedName>
    <definedName name="DOPL_35_C">#REF!</definedName>
    <definedName name="DOPL_35_D">#REF!</definedName>
    <definedName name="DOPL_35_E">#REF!</definedName>
    <definedName name="DOPL_35_M">#REF!</definedName>
    <definedName name="DOPL_35_P">#REF!</definedName>
    <definedName name="DOPL_36">#REF!</definedName>
    <definedName name="DOPL_36_A">#REF!</definedName>
    <definedName name="DOPL_36_B">#REF!</definedName>
    <definedName name="DOPL_36_C">#REF!</definedName>
    <definedName name="DOPL_36_D">#REF!</definedName>
    <definedName name="DOPL_36_E">#REF!</definedName>
    <definedName name="DOPL_36_M">#REF!</definedName>
    <definedName name="DOPL_36_P">#REF!</definedName>
    <definedName name="DOPL_37">#REF!</definedName>
    <definedName name="DOPL_37_A">#REF!</definedName>
    <definedName name="DOPL_37_B">#REF!</definedName>
    <definedName name="DOPL_37_C">#REF!</definedName>
    <definedName name="DOPL_37_D">#REF!</definedName>
    <definedName name="DOPL_37_E">#REF!</definedName>
    <definedName name="DOPL_37_M">#REF!</definedName>
    <definedName name="DOPL_37_P">#REF!</definedName>
    <definedName name="DOPL_38">#REF!</definedName>
    <definedName name="DOPL_38_A">#REF!</definedName>
    <definedName name="DOPL_38_B">#REF!</definedName>
    <definedName name="DOPL_38_C">#REF!</definedName>
    <definedName name="DOPL_38_D">#REF!</definedName>
    <definedName name="DOPL_38_E">#REF!</definedName>
    <definedName name="DOPL_38_M">#REF!</definedName>
    <definedName name="DOPL_38_P">#REF!</definedName>
    <definedName name="DOPL_39">#REF!</definedName>
    <definedName name="DOPL_39_A">#REF!</definedName>
    <definedName name="DOPL_39_B">#REF!</definedName>
    <definedName name="DOPL_39_C">#REF!</definedName>
    <definedName name="DOPL_39_D">#REF!</definedName>
    <definedName name="DOPL_39_E">#REF!</definedName>
    <definedName name="DOPL_39_M">#REF!</definedName>
    <definedName name="DOPL_39_P">#REF!</definedName>
    <definedName name="DOPL_4">#REF!</definedName>
    <definedName name="DOPL_4_A">#REF!</definedName>
    <definedName name="DOPL_4_B">#REF!</definedName>
    <definedName name="DOPL_4_C">#REF!</definedName>
    <definedName name="DOPL_4_D">#REF!</definedName>
    <definedName name="DOPL_4_E">#REF!</definedName>
    <definedName name="DOPL_4_M">#REF!</definedName>
    <definedName name="DOPL_4_P">#REF!</definedName>
    <definedName name="DOPL_40">#REF!</definedName>
    <definedName name="DOPL_40_A">#REF!</definedName>
    <definedName name="DOPL_40_B">#REF!</definedName>
    <definedName name="DOPL_40_C">#REF!</definedName>
    <definedName name="DOPL_40_D">#REF!</definedName>
    <definedName name="DOPL_40_E">#REF!</definedName>
    <definedName name="DOPL_40_M">#REF!</definedName>
    <definedName name="DOPL_40_P">#REF!</definedName>
    <definedName name="DOPL_41">#REF!</definedName>
    <definedName name="DOPL_41_A">#REF!</definedName>
    <definedName name="DOPL_41_B">#REF!</definedName>
    <definedName name="DOPL_41_C">#REF!</definedName>
    <definedName name="DOPL_41_D">#REF!</definedName>
    <definedName name="DOPL_41_E">#REF!</definedName>
    <definedName name="DOPL_41_M">#REF!</definedName>
    <definedName name="DOPL_41_P">#REF!</definedName>
    <definedName name="DOPL_42">#REF!</definedName>
    <definedName name="DOPL_42_A">#REF!</definedName>
    <definedName name="DOPL_42_B">#REF!</definedName>
    <definedName name="DOPL_42_C">#REF!</definedName>
    <definedName name="DOPL_42_D">#REF!</definedName>
    <definedName name="DOPL_42_E">#REF!</definedName>
    <definedName name="DOPL_42_M">#REF!</definedName>
    <definedName name="DOPL_42_P">#REF!</definedName>
    <definedName name="DOPL_43">#REF!</definedName>
    <definedName name="DOPL_43_A">#REF!</definedName>
    <definedName name="DOPL_43_B">#REF!</definedName>
    <definedName name="DOPL_43_C">#REF!</definedName>
    <definedName name="DOPL_43_D">#REF!</definedName>
    <definedName name="DOPL_43_E">#REF!</definedName>
    <definedName name="DOPL_43_M">#REF!</definedName>
    <definedName name="DOPL_43_P">#REF!</definedName>
    <definedName name="DOPL_44">#REF!</definedName>
    <definedName name="DOPL_44_A">#REF!</definedName>
    <definedName name="DOPL_44_B">#REF!</definedName>
    <definedName name="DOPL_44_C">#REF!</definedName>
    <definedName name="DOPL_44_D">#REF!</definedName>
    <definedName name="DOPL_44_E">#REF!</definedName>
    <definedName name="DOPL_44_M">#REF!</definedName>
    <definedName name="DOPL_44_P">#REF!</definedName>
    <definedName name="DOPL_45">#REF!</definedName>
    <definedName name="DOPL_45_A">#REF!</definedName>
    <definedName name="DOPL_45_B">#REF!</definedName>
    <definedName name="DOPL_45_C">#REF!</definedName>
    <definedName name="DOPL_45_D">#REF!</definedName>
    <definedName name="DOPL_45_E">#REF!</definedName>
    <definedName name="DOPL_45_M">#REF!</definedName>
    <definedName name="DOPL_45_P">#REF!</definedName>
    <definedName name="DOPL_46">#REF!</definedName>
    <definedName name="DOPL_46_A">#REF!</definedName>
    <definedName name="DOPL_46_B">#REF!</definedName>
    <definedName name="DOPL_46_C">#REF!</definedName>
    <definedName name="DOPL_46_D">#REF!</definedName>
    <definedName name="DOPL_46_E">#REF!</definedName>
    <definedName name="DOPL_46_M">#REF!</definedName>
    <definedName name="DOPL_46_P">#REF!</definedName>
    <definedName name="DOPL_47">#REF!</definedName>
    <definedName name="DOPL_47_A">#REF!</definedName>
    <definedName name="DOPL_47_B">#REF!</definedName>
    <definedName name="DOPL_47_C">#REF!</definedName>
    <definedName name="DOPL_47_D">#REF!</definedName>
    <definedName name="DOPL_47_E">#REF!</definedName>
    <definedName name="DOPL_47_M">#REF!</definedName>
    <definedName name="DOPL_47_P">#REF!</definedName>
    <definedName name="DOPL_48">#REF!</definedName>
    <definedName name="DOPL_48_A">#REF!</definedName>
    <definedName name="DOPL_48_B">#REF!</definedName>
    <definedName name="DOPL_48_C">#REF!</definedName>
    <definedName name="DOPL_48_D">#REF!</definedName>
    <definedName name="DOPL_48_E">#REF!</definedName>
    <definedName name="DOPL_48_M">#REF!</definedName>
    <definedName name="DOPL_48_P">#REF!</definedName>
    <definedName name="DOPL_49">#REF!</definedName>
    <definedName name="DOPL_49_A">#REF!</definedName>
    <definedName name="DOPL_49_B">#REF!</definedName>
    <definedName name="DOPL_49_C">#REF!</definedName>
    <definedName name="DOPL_49_D">#REF!</definedName>
    <definedName name="DOPL_49_E">#REF!</definedName>
    <definedName name="DOPL_49_M">#REF!</definedName>
    <definedName name="DOPL_49_P">#REF!</definedName>
    <definedName name="DOPL_5">#REF!</definedName>
    <definedName name="DOPL_5_A">#REF!</definedName>
    <definedName name="DOPL_5_B">#REF!</definedName>
    <definedName name="DOPL_5_C">#REF!</definedName>
    <definedName name="DOPL_5_D">#REF!</definedName>
    <definedName name="DOPL_5_E">#REF!</definedName>
    <definedName name="DOPL_5_M">#REF!</definedName>
    <definedName name="DOPL_5_P">#REF!</definedName>
    <definedName name="DOPL_50">#REF!</definedName>
    <definedName name="DOPL_50_A">#REF!</definedName>
    <definedName name="DOPL_50_B">#REF!</definedName>
    <definedName name="DOPL_50_C">#REF!</definedName>
    <definedName name="DOPL_50_D">#REF!</definedName>
    <definedName name="DOPL_50_E">#REF!</definedName>
    <definedName name="DOPL_50_M">#REF!</definedName>
    <definedName name="DOPL_50_P">#REF!</definedName>
    <definedName name="DOPL_51">#REF!</definedName>
    <definedName name="DOPL_51_A">#REF!</definedName>
    <definedName name="DOPL_51_B">#REF!</definedName>
    <definedName name="DOPL_51_C">#REF!</definedName>
    <definedName name="DOPL_51_D">#REF!</definedName>
    <definedName name="DOPL_51_E">#REF!</definedName>
    <definedName name="DOPL_51_M">#REF!</definedName>
    <definedName name="DOPL_51_P">#REF!</definedName>
    <definedName name="DOPL_52">#REF!</definedName>
    <definedName name="DOPL_52_A">#REF!</definedName>
    <definedName name="DOPL_52_B">#REF!</definedName>
    <definedName name="DOPL_52_C">#REF!</definedName>
    <definedName name="DOPL_52_D">#REF!</definedName>
    <definedName name="DOPL_52_E">#REF!</definedName>
    <definedName name="DOPL_52_M">#REF!</definedName>
    <definedName name="DOPL_52_P">#REF!</definedName>
    <definedName name="DOPL_53">#REF!</definedName>
    <definedName name="DOPL_53_A">#REF!</definedName>
    <definedName name="DOPL_53_B">#REF!</definedName>
    <definedName name="DOPL_53_C">#REF!</definedName>
    <definedName name="DOPL_53_D">#REF!</definedName>
    <definedName name="DOPL_53_E">#REF!</definedName>
    <definedName name="DOPL_53_M">#REF!</definedName>
    <definedName name="DOPL_53_P">#REF!</definedName>
    <definedName name="DOPL_54">#REF!</definedName>
    <definedName name="DOPL_54_A">#REF!</definedName>
    <definedName name="DOPL_54_B">#REF!</definedName>
    <definedName name="DOPL_54_C">#REF!</definedName>
    <definedName name="DOPL_54_D">#REF!</definedName>
    <definedName name="DOPL_54_E">#REF!</definedName>
    <definedName name="DOPL_54_M">#REF!</definedName>
    <definedName name="DOPL_54_P">#REF!</definedName>
    <definedName name="DOPL_55">#REF!</definedName>
    <definedName name="DOPL_55_A">#REF!</definedName>
    <definedName name="DOPL_55_B">#REF!</definedName>
    <definedName name="DOPL_55_C">#REF!</definedName>
    <definedName name="DOPL_55_D">#REF!</definedName>
    <definedName name="DOPL_55_E">#REF!</definedName>
    <definedName name="DOPL_55_M">#REF!</definedName>
    <definedName name="DOPL_55_P">#REF!</definedName>
    <definedName name="DOPL_56">#REF!</definedName>
    <definedName name="DOPL_56_A">#REF!</definedName>
    <definedName name="DOPL_56_B">#REF!</definedName>
    <definedName name="DOPL_56_C">#REF!</definedName>
    <definedName name="DOPL_56_D">#REF!</definedName>
    <definedName name="DOPL_56_E">#REF!</definedName>
    <definedName name="DOPL_56_M">#REF!</definedName>
    <definedName name="DOPL_56_P">#REF!</definedName>
    <definedName name="DOPL_6">#REF!</definedName>
    <definedName name="DOPL_6_A">#REF!</definedName>
    <definedName name="DOPL_6_B">#REF!</definedName>
    <definedName name="DOPL_6_C">#REF!</definedName>
    <definedName name="DOPL_6_D">#REF!</definedName>
    <definedName name="DOPL_6_E">#REF!</definedName>
    <definedName name="DOPL_6_M">#REF!</definedName>
    <definedName name="DOPL_6_P">#REF!</definedName>
    <definedName name="DOPL_7">#REF!</definedName>
    <definedName name="DOPL_7_A">#REF!</definedName>
    <definedName name="DOPL_7_B">#REF!</definedName>
    <definedName name="DOPL_7_C">#REF!</definedName>
    <definedName name="DOPL_7_D">#REF!</definedName>
    <definedName name="DOPL_7_E">#REF!</definedName>
    <definedName name="DOPL_7_M">#REF!</definedName>
    <definedName name="DOPL_7_P">#REF!</definedName>
    <definedName name="DOPL_8">#REF!</definedName>
    <definedName name="DOPL_8_A">#REF!</definedName>
    <definedName name="DOPL_8_B">#REF!</definedName>
    <definedName name="DOPL_8_C">#REF!</definedName>
    <definedName name="DOPL_8_D">#REF!</definedName>
    <definedName name="DOPL_8_E">#REF!</definedName>
    <definedName name="DOPL_8_M">#REF!</definedName>
    <definedName name="DOPL_8_P">#REF!</definedName>
    <definedName name="DOPL_9">#REF!</definedName>
    <definedName name="DOPL_9_A">#REF!</definedName>
    <definedName name="DOPL_9_B">#REF!</definedName>
    <definedName name="DOPL_9_C">#REF!</definedName>
    <definedName name="DOPL_9_D">#REF!</definedName>
    <definedName name="DOPL_9_E">#REF!</definedName>
    <definedName name="DOPL_9_M">#REF!</definedName>
    <definedName name="DOPL_9_P">#REF!</definedName>
    <definedName name="DPHSni">[18]Stavba!$G$24</definedName>
    <definedName name="DPHZakl">[18]Stavba!$G$26</definedName>
    <definedName name="DPJ">#REF!</definedName>
    <definedName name="DPJ_12">#REF!</definedName>
    <definedName name="DPJ_34">#REF!</definedName>
    <definedName name="DPJ_50">#REF!</definedName>
    <definedName name="DRATSOEKM125_A">#REF!</definedName>
    <definedName name="DRATSOKEM1000">#REF!</definedName>
    <definedName name="DRATSOKEM1000_A">#REF!</definedName>
    <definedName name="DRATSOKEM1000_B">#REF!</definedName>
    <definedName name="DRATSOKEM1000_C">#REF!</definedName>
    <definedName name="DRATSOKEM1000_D">#REF!</definedName>
    <definedName name="DRATSOKEM1000_E">#REF!</definedName>
    <definedName name="DRATSOKEM125">#REF!</definedName>
    <definedName name="DRATSOKEM125_B">#REF!</definedName>
    <definedName name="DRATSOKEM125_C">#REF!</definedName>
    <definedName name="DRATSOKEM125_D">#REF!</definedName>
    <definedName name="DRATSOKEM125_E">#REF!</definedName>
    <definedName name="DRATSOKEM250">#REF!</definedName>
    <definedName name="DRATSOKEM250_A">#REF!</definedName>
    <definedName name="DRATSOKEM250_B">#REF!</definedName>
    <definedName name="DRATSOKEM250_C">#REF!</definedName>
    <definedName name="DRATSOKEM250_D">#REF!</definedName>
    <definedName name="DRATSOKEM250_E">#REF!</definedName>
    <definedName name="DRATSOKEM375">#REF!</definedName>
    <definedName name="DRATSOKEM375_A">#REF!</definedName>
    <definedName name="DRATSOKEM375_B">#REF!</definedName>
    <definedName name="DRATSOKEM375_C">#REF!</definedName>
    <definedName name="DRATSOKEM375_D">#REF!</definedName>
    <definedName name="DRATSOKEM375_E">#REF!</definedName>
    <definedName name="DRATSOKEM500">#REF!</definedName>
    <definedName name="DRATSOKEM500_A">#REF!</definedName>
    <definedName name="DRATSOKEM500_B">#REF!</definedName>
    <definedName name="DRATSOKEM500_C">#REF!</definedName>
    <definedName name="DRATSOKEM500_D">#REF!</definedName>
    <definedName name="DRATSOKEM500_E">#REF!</definedName>
    <definedName name="DRATSOKEM750">#REF!</definedName>
    <definedName name="DRATSOKEM750_A">#REF!</definedName>
    <definedName name="DRATSOKEM750_B">#REF!</definedName>
    <definedName name="DRATSOKEM750_C">#REF!</definedName>
    <definedName name="DRATSOKEM750_D">#REF!</definedName>
    <definedName name="DRATSOKEM750_E">#REF!</definedName>
    <definedName name="DS_1">#REF!</definedName>
    <definedName name="DS_1_A">#REF!</definedName>
    <definedName name="DS_1_B">#REF!</definedName>
    <definedName name="DS_1_C">#REF!</definedName>
    <definedName name="DS_1_D">#REF!</definedName>
    <definedName name="DS_1_E">#REF!</definedName>
    <definedName name="DS_1_M">#REF!</definedName>
    <definedName name="DS_1_P">#REF!</definedName>
    <definedName name="DS_10">#REF!</definedName>
    <definedName name="DS_10_A">#REF!</definedName>
    <definedName name="DS_10_B">#REF!</definedName>
    <definedName name="DS_10_C">#REF!</definedName>
    <definedName name="DS_10_D">#REF!</definedName>
    <definedName name="DS_10_E">#REF!</definedName>
    <definedName name="DS_10_M">#REF!</definedName>
    <definedName name="DS_10_P">#REF!</definedName>
    <definedName name="DS_11">#REF!</definedName>
    <definedName name="DS_11_A">#REF!</definedName>
    <definedName name="DS_11_B">#REF!</definedName>
    <definedName name="DS_11_C">#REF!</definedName>
    <definedName name="DS_11_D">#REF!</definedName>
    <definedName name="DS_11_E">#REF!</definedName>
    <definedName name="DS_11_M">#REF!</definedName>
    <definedName name="DS_11_P">#REF!</definedName>
    <definedName name="DS_12">#REF!</definedName>
    <definedName name="DS_12_A">#REF!</definedName>
    <definedName name="DS_12_B">#REF!</definedName>
    <definedName name="DS_12_C">#REF!</definedName>
    <definedName name="DS_12_D">#REF!</definedName>
    <definedName name="DS_12_E">#REF!</definedName>
    <definedName name="DS_12_M">#REF!</definedName>
    <definedName name="DS_12_P">#REF!</definedName>
    <definedName name="DS_13">#REF!</definedName>
    <definedName name="DS_13_A">#REF!</definedName>
    <definedName name="DS_13_B">#REF!</definedName>
    <definedName name="DS_13_C">#REF!</definedName>
    <definedName name="DS_13_D">#REF!</definedName>
    <definedName name="DS_13_E">#REF!</definedName>
    <definedName name="DS_13_M">#REF!</definedName>
    <definedName name="DS_13_P">#REF!</definedName>
    <definedName name="DS_14">#REF!</definedName>
    <definedName name="DS_14_A">#REF!</definedName>
    <definedName name="DS_14_B">#REF!</definedName>
    <definedName name="DS_14_C">#REF!</definedName>
    <definedName name="DS_14_D">#REF!</definedName>
    <definedName name="DS_14_E">#REF!</definedName>
    <definedName name="DS_14_M">#REF!</definedName>
    <definedName name="DS_14_P">#REF!</definedName>
    <definedName name="DS_15">#REF!</definedName>
    <definedName name="DS_15_A">#REF!</definedName>
    <definedName name="DS_15_B">#REF!</definedName>
    <definedName name="DS_15_C">#REF!</definedName>
    <definedName name="DS_15_D">#REF!</definedName>
    <definedName name="DS_15_E">#REF!</definedName>
    <definedName name="DS_15_M">#REF!</definedName>
    <definedName name="DS_15_P">#REF!</definedName>
    <definedName name="DS_16">#REF!</definedName>
    <definedName name="DS_16_A">#REF!</definedName>
    <definedName name="DS_16_B">#REF!</definedName>
    <definedName name="DS_16_C">#REF!</definedName>
    <definedName name="DS_16_D">#REF!</definedName>
    <definedName name="DS_16_E">#REF!</definedName>
    <definedName name="DS_16_M">#REF!</definedName>
    <definedName name="DS_16_P">#REF!</definedName>
    <definedName name="DS_17">#REF!</definedName>
    <definedName name="DS_17_A">#REF!</definedName>
    <definedName name="DS_17_B">#REF!</definedName>
    <definedName name="DS_17_C">#REF!</definedName>
    <definedName name="DS_17_D">#REF!</definedName>
    <definedName name="DS_17_E">#REF!</definedName>
    <definedName name="DS_17_M">#REF!</definedName>
    <definedName name="DS_17_P">#REF!</definedName>
    <definedName name="DS_18">#REF!</definedName>
    <definedName name="DS_18_A">#REF!</definedName>
    <definedName name="DS_18_B">#REF!</definedName>
    <definedName name="DS_18_C">#REF!</definedName>
    <definedName name="DS_18_D">#REF!</definedName>
    <definedName name="DS_18_E">#REF!</definedName>
    <definedName name="DS_18_M">#REF!</definedName>
    <definedName name="DS_18_P">#REF!</definedName>
    <definedName name="DS_19">#REF!</definedName>
    <definedName name="DS_19_A">#REF!</definedName>
    <definedName name="DS_19_B">#REF!</definedName>
    <definedName name="DS_19_C">#REF!</definedName>
    <definedName name="DS_19_D">#REF!</definedName>
    <definedName name="DS_19_E">#REF!</definedName>
    <definedName name="DS_19_M">#REF!</definedName>
    <definedName name="DS_19_P">#REF!</definedName>
    <definedName name="DS_2">#REF!</definedName>
    <definedName name="DS_2_A">#REF!</definedName>
    <definedName name="DS_2_B">#REF!</definedName>
    <definedName name="DS_2_C">#REF!</definedName>
    <definedName name="DS_2_D">#REF!</definedName>
    <definedName name="DS_2_E">#REF!</definedName>
    <definedName name="DS_2_M">#REF!</definedName>
    <definedName name="DS_2_P">#REF!</definedName>
    <definedName name="DS_20">#REF!</definedName>
    <definedName name="DS_20_A">#REF!</definedName>
    <definedName name="DS_20_B">#REF!</definedName>
    <definedName name="DS_20_C">#REF!</definedName>
    <definedName name="DS_20_D">#REF!</definedName>
    <definedName name="DS_20_E">#REF!</definedName>
    <definedName name="DS_20_M">#REF!</definedName>
    <definedName name="DS_20_P">#REF!</definedName>
    <definedName name="DS_21">#REF!</definedName>
    <definedName name="DS_21_A">#REF!</definedName>
    <definedName name="DS_21_B">#REF!</definedName>
    <definedName name="DS_21_C">#REF!</definedName>
    <definedName name="DS_21_D">#REF!</definedName>
    <definedName name="DS_21_E">#REF!</definedName>
    <definedName name="DS_21_M">#REF!</definedName>
    <definedName name="DS_21_P">#REF!</definedName>
    <definedName name="DS_22">#REF!</definedName>
    <definedName name="DS_22_A">#REF!</definedName>
    <definedName name="DS_22_B">#REF!</definedName>
    <definedName name="DS_22_C">#REF!</definedName>
    <definedName name="DS_22_D">#REF!</definedName>
    <definedName name="DS_22_E">#REF!</definedName>
    <definedName name="DS_22_M">#REF!</definedName>
    <definedName name="DS_22_P">#REF!</definedName>
    <definedName name="DS_23">#REF!</definedName>
    <definedName name="DS_23_A">#REF!</definedName>
    <definedName name="DS_23_B">#REF!</definedName>
    <definedName name="DS_23_C">#REF!</definedName>
    <definedName name="DS_23_D">#REF!</definedName>
    <definedName name="DS_23_E">#REF!</definedName>
    <definedName name="DS_23_M">#REF!</definedName>
    <definedName name="DS_23_P">#REF!</definedName>
    <definedName name="DS_24">#REF!</definedName>
    <definedName name="DS_24_A">#REF!</definedName>
    <definedName name="DS_24_B">#REF!</definedName>
    <definedName name="DS_24_C">#REF!</definedName>
    <definedName name="DS_24_D">#REF!</definedName>
    <definedName name="DS_24_E">#REF!</definedName>
    <definedName name="DS_24_M">#REF!</definedName>
    <definedName name="DS_24_P">#REF!</definedName>
    <definedName name="DS_25">#REF!</definedName>
    <definedName name="DS_25_A">#REF!</definedName>
    <definedName name="DS_25_B">#REF!</definedName>
    <definedName name="DS_25_C">#REF!</definedName>
    <definedName name="DS_25_D">#REF!</definedName>
    <definedName name="DS_25_E">#REF!</definedName>
    <definedName name="DS_25_M">#REF!</definedName>
    <definedName name="DS_25_P">#REF!</definedName>
    <definedName name="DS_26">#REF!</definedName>
    <definedName name="DS_26_A">#REF!</definedName>
    <definedName name="DS_26_B">#REF!</definedName>
    <definedName name="DS_26_C">#REF!</definedName>
    <definedName name="DS_26_D">#REF!</definedName>
    <definedName name="DS_26_E">#REF!</definedName>
    <definedName name="DS_26_M">#REF!</definedName>
    <definedName name="DS_26_P">#REF!</definedName>
    <definedName name="DS_27">#REF!</definedName>
    <definedName name="DS_27_A">#REF!</definedName>
    <definedName name="DS_27_B">#REF!</definedName>
    <definedName name="DS_27_C">#REF!</definedName>
    <definedName name="DS_27_D">#REF!</definedName>
    <definedName name="DS_27_E">#REF!</definedName>
    <definedName name="DS_27_M">#REF!</definedName>
    <definedName name="DS_27_P">#REF!</definedName>
    <definedName name="DS_28">#REF!</definedName>
    <definedName name="DS_28_A">#REF!</definedName>
    <definedName name="DS_28_B">#REF!</definedName>
    <definedName name="DS_28_C">#REF!</definedName>
    <definedName name="DS_28_D">#REF!</definedName>
    <definedName name="DS_28_E">#REF!</definedName>
    <definedName name="DS_28_M">#REF!</definedName>
    <definedName name="DS_28_P">#REF!</definedName>
    <definedName name="DS_29">#REF!</definedName>
    <definedName name="DS_29_A">#REF!</definedName>
    <definedName name="DS_29_B">#REF!</definedName>
    <definedName name="DS_29_C">#REF!</definedName>
    <definedName name="DS_29_D">#REF!</definedName>
    <definedName name="DS_29_E">#REF!</definedName>
    <definedName name="DS_29_M">#REF!</definedName>
    <definedName name="DS_29_P">#REF!</definedName>
    <definedName name="DS_3">#REF!</definedName>
    <definedName name="DS_3_A">#REF!</definedName>
    <definedName name="DS_3_B">#REF!</definedName>
    <definedName name="DS_3_C">#REF!</definedName>
    <definedName name="DS_3_D">#REF!</definedName>
    <definedName name="DS_3_E">#REF!</definedName>
    <definedName name="DS_3_M">#REF!</definedName>
    <definedName name="DS_3_P">#REF!</definedName>
    <definedName name="DS_30">#REF!</definedName>
    <definedName name="DS_30_A">#REF!</definedName>
    <definedName name="DS_30_B">#REF!</definedName>
    <definedName name="DS_30_C">#REF!</definedName>
    <definedName name="DS_30_D">#REF!</definedName>
    <definedName name="DS_30_E">#REF!</definedName>
    <definedName name="DS_30_M">#REF!</definedName>
    <definedName name="DS_30_P">#REF!</definedName>
    <definedName name="DS_31">#REF!</definedName>
    <definedName name="DS_31_A">#REF!</definedName>
    <definedName name="DS_31_B">#REF!</definedName>
    <definedName name="DS_31_C">#REF!</definedName>
    <definedName name="DS_31_D">#REF!</definedName>
    <definedName name="DS_31_E">#REF!</definedName>
    <definedName name="DS_31_M">#REF!</definedName>
    <definedName name="DS_31_P">#REF!</definedName>
    <definedName name="DS_32">#REF!</definedName>
    <definedName name="DS_32_A">#REF!</definedName>
    <definedName name="DS_32_B">#REF!</definedName>
    <definedName name="DS_32_C">#REF!</definedName>
    <definedName name="DS_32_D">#REF!</definedName>
    <definedName name="DS_32_E">#REF!</definedName>
    <definedName name="DS_32_M">#REF!</definedName>
    <definedName name="DS_32_P">#REF!</definedName>
    <definedName name="DS_33">#REF!</definedName>
    <definedName name="DS_33_A">#REF!</definedName>
    <definedName name="DS_33_B">#REF!</definedName>
    <definedName name="DS_33_C">#REF!</definedName>
    <definedName name="DS_33_D">#REF!</definedName>
    <definedName name="DS_33_E">#REF!</definedName>
    <definedName name="DS_33_M">#REF!</definedName>
    <definedName name="DS_33_P">#REF!</definedName>
    <definedName name="DS_34">#REF!</definedName>
    <definedName name="DS_34_A">#REF!</definedName>
    <definedName name="DS_34_B">#REF!</definedName>
    <definedName name="DS_34_C">#REF!</definedName>
    <definedName name="DS_34_D">#REF!</definedName>
    <definedName name="DS_34_E">#REF!</definedName>
    <definedName name="DS_34_M">#REF!</definedName>
    <definedName name="DS_34_P">#REF!</definedName>
    <definedName name="DS_35">#REF!</definedName>
    <definedName name="DS_35_A">#REF!</definedName>
    <definedName name="DS_35_B">#REF!</definedName>
    <definedName name="DS_35_C">#REF!</definedName>
    <definedName name="DS_35_D">#REF!</definedName>
    <definedName name="DS_35_E">#REF!</definedName>
    <definedName name="DS_35_M">#REF!</definedName>
    <definedName name="DS_35_P">#REF!</definedName>
    <definedName name="DS_36">#REF!</definedName>
    <definedName name="DS_36_A">#REF!</definedName>
    <definedName name="DS_36_B">#REF!</definedName>
    <definedName name="DS_36_C">#REF!</definedName>
    <definedName name="DS_36_D">#REF!</definedName>
    <definedName name="DS_36_E">#REF!</definedName>
    <definedName name="DS_36_M">#REF!</definedName>
    <definedName name="DS_36_P">#REF!</definedName>
    <definedName name="DS_37">#REF!</definedName>
    <definedName name="DS_37_A">#REF!</definedName>
    <definedName name="DS_37_B">#REF!</definedName>
    <definedName name="DS_37_C">#REF!</definedName>
    <definedName name="DS_37_D">#REF!</definedName>
    <definedName name="DS_37_E">#REF!</definedName>
    <definedName name="DS_37_M">#REF!</definedName>
    <definedName name="DS_37_P">#REF!</definedName>
    <definedName name="DS_38">#REF!</definedName>
    <definedName name="DS_38_A">#REF!</definedName>
    <definedName name="DS_38_B">#REF!</definedName>
    <definedName name="DS_38_C">#REF!</definedName>
    <definedName name="DS_38_D">#REF!</definedName>
    <definedName name="DS_38_E">#REF!</definedName>
    <definedName name="DS_38_M">#REF!</definedName>
    <definedName name="DS_38_P">#REF!</definedName>
    <definedName name="DS_39">#REF!</definedName>
    <definedName name="DS_39_A">#REF!</definedName>
    <definedName name="DS_39_B">#REF!</definedName>
    <definedName name="DS_39_C">#REF!</definedName>
    <definedName name="DS_39_D">#REF!</definedName>
    <definedName name="DS_39_E">#REF!</definedName>
    <definedName name="DS_39_M">#REF!</definedName>
    <definedName name="DS_39_P">#REF!</definedName>
    <definedName name="DS_4">#REF!</definedName>
    <definedName name="DS_4_A">#REF!</definedName>
    <definedName name="DS_4_B">#REF!</definedName>
    <definedName name="DS_4_C">#REF!</definedName>
    <definedName name="DS_4_D">#REF!</definedName>
    <definedName name="DS_4_E">#REF!</definedName>
    <definedName name="DS_4_M">#REF!</definedName>
    <definedName name="DS_4_P">#REF!</definedName>
    <definedName name="DS_40">#REF!</definedName>
    <definedName name="DS_40_A">#REF!</definedName>
    <definedName name="DS_40_B">#REF!</definedName>
    <definedName name="DS_40_C">#REF!</definedName>
    <definedName name="DS_40_D">#REF!</definedName>
    <definedName name="DS_40_E">#REF!</definedName>
    <definedName name="DS_40_M">#REF!</definedName>
    <definedName name="DS_40_P">#REF!</definedName>
    <definedName name="DS_41">#REF!</definedName>
    <definedName name="DS_41_A">#REF!</definedName>
    <definedName name="DS_41_B">#REF!</definedName>
    <definedName name="DS_41_C">#REF!</definedName>
    <definedName name="DS_41_D">#REF!</definedName>
    <definedName name="DS_41_E">#REF!</definedName>
    <definedName name="DS_41_M">#REF!</definedName>
    <definedName name="DS_41_P">#REF!</definedName>
    <definedName name="DS_42">#REF!</definedName>
    <definedName name="DS_42_A">#REF!</definedName>
    <definedName name="DS_42_B">#REF!</definedName>
    <definedName name="DS_42_C">#REF!</definedName>
    <definedName name="DS_42_D">#REF!</definedName>
    <definedName name="DS_42_E">#REF!</definedName>
    <definedName name="DS_42_M">#REF!</definedName>
    <definedName name="DS_42_P">#REF!</definedName>
    <definedName name="DS_43">#REF!</definedName>
    <definedName name="DS_43_A">#REF!</definedName>
    <definedName name="DS_43_B">#REF!</definedName>
    <definedName name="DS_43_C">#REF!</definedName>
    <definedName name="DS_43_D">#REF!</definedName>
    <definedName name="DS_43_E">#REF!</definedName>
    <definedName name="DS_43_M">#REF!</definedName>
    <definedName name="DS_43_P">#REF!</definedName>
    <definedName name="DS_44">#REF!</definedName>
    <definedName name="DS_44_A">#REF!</definedName>
    <definedName name="DS_44_B">#REF!</definedName>
    <definedName name="DS_44_C">#REF!</definedName>
    <definedName name="DS_44_D">#REF!</definedName>
    <definedName name="DS_44_E">#REF!</definedName>
    <definedName name="DS_44_M">#REF!</definedName>
    <definedName name="DS_44_P">#REF!</definedName>
    <definedName name="DS_45">#REF!</definedName>
    <definedName name="DS_45_A">#REF!</definedName>
    <definedName name="DS_45_AQ">#REF!</definedName>
    <definedName name="DS_45_B">#REF!</definedName>
    <definedName name="DS_45_C">#REF!</definedName>
    <definedName name="DS_45_D">#REF!</definedName>
    <definedName name="DS_45_E">#REF!</definedName>
    <definedName name="DS_45_M">#REF!</definedName>
    <definedName name="DS_45_P">#REF!</definedName>
    <definedName name="DS_46">#REF!</definedName>
    <definedName name="DS_46_A">#REF!</definedName>
    <definedName name="DS_46_B">#REF!</definedName>
    <definedName name="DS_46_C">#REF!</definedName>
    <definedName name="DS_46_D">#REF!</definedName>
    <definedName name="DS_46_E">#REF!</definedName>
    <definedName name="DS_46_M">#REF!</definedName>
    <definedName name="DS_46_P">#REF!</definedName>
    <definedName name="DS_47">#REF!</definedName>
    <definedName name="DS_47_A">#REF!</definedName>
    <definedName name="DS_47_B">#REF!</definedName>
    <definedName name="DS_47_C">#REF!</definedName>
    <definedName name="DS_47_D">#REF!</definedName>
    <definedName name="DS_47_E">#REF!</definedName>
    <definedName name="DS_47_M">#REF!</definedName>
    <definedName name="DS_47_P">#REF!</definedName>
    <definedName name="DS_48">#REF!</definedName>
    <definedName name="DS_48_A">#REF!</definedName>
    <definedName name="DS_48_B">#REF!</definedName>
    <definedName name="DS_48_C">#REF!</definedName>
    <definedName name="DS_48_D">#REF!</definedName>
    <definedName name="DS_48_E">#REF!</definedName>
    <definedName name="DS_48_M">#REF!</definedName>
    <definedName name="DS_48_P">#REF!</definedName>
    <definedName name="DS_49">#REF!</definedName>
    <definedName name="DS_49_A">#REF!</definedName>
    <definedName name="DS_49_B">#REF!</definedName>
    <definedName name="DS_49_C">#REF!</definedName>
    <definedName name="DS_49_D">#REF!</definedName>
    <definedName name="DS_49_E">#REF!</definedName>
    <definedName name="DS_49_M">#REF!</definedName>
    <definedName name="DS_49_P">#REF!</definedName>
    <definedName name="DS_5">#REF!</definedName>
    <definedName name="DS_5_A">#REF!</definedName>
    <definedName name="DS_5_B">#REF!</definedName>
    <definedName name="DS_5_C">#REF!</definedName>
    <definedName name="DS_5_D">#REF!</definedName>
    <definedName name="DS_5_E">#REF!</definedName>
    <definedName name="DS_5_M">#REF!</definedName>
    <definedName name="DS_5_P">#REF!</definedName>
    <definedName name="DS_50">#REF!</definedName>
    <definedName name="DS_50_A">#REF!</definedName>
    <definedName name="DS_50_B">#REF!</definedName>
    <definedName name="DS_50_C">#REF!</definedName>
    <definedName name="DS_50_D">#REF!</definedName>
    <definedName name="DS_50_E">#REF!</definedName>
    <definedName name="DS_50_M">#REF!</definedName>
    <definedName name="DS_50_P">#REF!</definedName>
    <definedName name="DS_51">#REF!</definedName>
    <definedName name="DS_51_A">#REF!</definedName>
    <definedName name="DS_51_B">#REF!</definedName>
    <definedName name="DS_51_C">#REF!</definedName>
    <definedName name="DS_51_D">#REF!</definedName>
    <definedName name="DS_51_E">#REF!</definedName>
    <definedName name="DS_51_M">#REF!</definedName>
    <definedName name="DS_51_P">#REF!</definedName>
    <definedName name="DS_52">#REF!</definedName>
    <definedName name="DS_52_A">#REF!</definedName>
    <definedName name="DS_52_B">#REF!</definedName>
    <definedName name="DS_52_C">#REF!</definedName>
    <definedName name="DS_52_D">#REF!</definedName>
    <definedName name="DS_52_E">#REF!</definedName>
    <definedName name="DS_52_M">#REF!</definedName>
    <definedName name="DS_52_P">#REF!</definedName>
    <definedName name="DS_53">#REF!</definedName>
    <definedName name="DS_53_A">#REF!</definedName>
    <definedName name="DS_53_B">#REF!</definedName>
    <definedName name="DS_53_C">#REF!</definedName>
    <definedName name="DS_53_D">#REF!</definedName>
    <definedName name="DS_53_E">#REF!</definedName>
    <definedName name="DS_53_M">#REF!</definedName>
    <definedName name="DS_53_P">#REF!</definedName>
    <definedName name="DS_54">#REF!</definedName>
    <definedName name="DS_54_A">#REF!</definedName>
    <definedName name="DS_54_B">#REF!</definedName>
    <definedName name="DS_54_C">#REF!</definedName>
    <definedName name="DS_54_D">#REF!</definedName>
    <definedName name="DS_54_E">#REF!</definedName>
    <definedName name="DS_54_M">#REF!</definedName>
    <definedName name="DS_54_P">#REF!</definedName>
    <definedName name="DS_6">#REF!</definedName>
    <definedName name="DS_6_A">#REF!</definedName>
    <definedName name="DS_6_B">#REF!</definedName>
    <definedName name="DS_6_C">#REF!</definedName>
    <definedName name="DS_6_D">#REF!</definedName>
    <definedName name="DS_6_E">#REF!</definedName>
    <definedName name="DS_6_M">#REF!</definedName>
    <definedName name="DS_6_P">#REF!</definedName>
    <definedName name="DS_7">#REF!</definedName>
    <definedName name="DS_7_A">#REF!</definedName>
    <definedName name="DS_7_B">#REF!</definedName>
    <definedName name="DS_7_C">#REF!</definedName>
    <definedName name="DS_7_D">#REF!</definedName>
    <definedName name="DS_7_E">#REF!</definedName>
    <definedName name="DS_7_M">#REF!</definedName>
    <definedName name="DS_7_P">#REF!</definedName>
    <definedName name="DS_8">#REF!</definedName>
    <definedName name="DS_8_A">#REF!</definedName>
    <definedName name="DS_8_B">#REF!</definedName>
    <definedName name="DS_8_C">#REF!</definedName>
    <definedName name="DS_8_D">#REF!</definedName>
    <definedName name="DS_8_E">#REF!</definedName>
    <definedName name="DS_8_M">#REF!</definedName>
    <definedName name="DS_8_P">#REF!</definedName>
    <definedName name="DS_9">#REF!</definedName>
    <definedName name="DS_9_A">#REF!</definedName>
    <definedName name="DS_9_B">#REF!</definedName>
    <definedName name="DS_9_C">#REF!</definedName>
    <definedName name="DS_9_D">#REF!</definedName>
    <definedName name="DS_9_E">#REF!</definedName>
    <definedName name="DS_9_M">#REF!</definedName>
    <definedName name="DS_9_P">#REF!</definedName>
    <definedName name="dsfbhbg">#REF!</definedName>
    <definedName name="DV">#REF!</definedName>
    <definedName name="DVIRKAA200200">#REF!</definedName>
    <definedName name="DVIRKAA200200_A">#REF!</definedName>
    <definedName name="DVIRKAA200200_B">#REF!</definedName>
    <definedName name="DVIRKAA200200_C">#REF!</definedName>
    <definedName name="DVIRKAA200200_D">#REF!</definedName>
    <definedName name="DVIRKAA200200_E">#REF!</definedName>
    <definedName name="DVIRKAA200X200">#REF!</definedName>
    <definedName name="DVIRKAA300300">#REF!</definedName>
    <definedName name="DVIRKAA300300_A">#REF!</definedName>
    <definedName name="DVIRKAA300300_B">#REF!</definedName>
    <definedName name="DVIRKAA300300_C">#REF!</definedName>
    <definedName name="DVIRKAA300300_D">#REF!</definedName>
    <definedName name="DVIRKAA300300_E">#REF!</definedName>
    <definedName name="DVIRKAA300X300">#REF!</definedName>
    <definedName name="DVIRKAA400400">#REF!</definedName>
    <definedName name="DVIRKAA400400_A">#REF!</definedName>
    <definedName name="DVIRKAA400400_B">#REF!</definedName>
    <definedName name="DVIRKAA400400_C">#REF!</definedName>
    <definedName name="DVIRKAA400400_D">#REF!</definedName>
    <definedName name="DVIRKAA400400_E">#REF!</definedName>
    <definedName name="DVIRKAA400X400">#REF!</definedName>
    <definedName name="DVIRKAA500500">#REF!</definedName>
    <definedName name="DVIRKAA500500_A">#REF!</definedName>
    <definedName name="DVIRKAA500500_B">#REF!</definedName>
    <definedName name="DVIRKAA500500_C">#REF!</definedName>
    <definedName name="DVIRKAA500500_D">#REF!</definedName>
    <definedName name="DVIRKAA500500_E">#REF!</definedName>
    <definedName name="DVIRKAA500X500">#REF!</definedName>
    <definedName name="DVIRKAA600600">#REF!</definedName>
    <definedName name="DVIRKAA600600_A">#REF!</definedName>
    <definedName name="DVIRKAA600600_B">#REF!</definedName>
    <definedName name="DVIRKAA600600_C">#REF!</definedName>
    <definedName name="DVIRKAA600600_D">#REF!</definedName>
    <definedName name="DVIRKAA600600_E">#REF!</definedName>
    <definedName name="DVIRKAA600X600">#REF!</definedName>
    <definedName name="DVIRKAB200200">#REF!</definedName>
    <definedName name="DVIRKAB200200_A">#REF!</definedName>
    <definedName name="DVIRKAB200200_B">#REF!</definedName>
    <definedName name="DVIRKAB200200_C">#REF!</definedName>
    <definedName name="DVIRKAB200200_D">#REF!</definedName>
    <definedName name="DVIRKAB200200_E">#REF!</definedName>
    <definedName name="DVIRKAB300300_A">#REF!</definedName>
    <definedName name="DVIRKAB300300_B">#REF!</definedName>
    <definedName name="DVIRKAB300300_C">#REF!</definedName>
    <definedName name="DVIRKAB300300_D">#REF!</definedName>
    <definedName name="DVIRKAB300300_E">#REF!</definedName>
    <definedName name="DVIRKAB300X300">#REF!</definedName>
    <definedName name="DVIRKAB400400_A">#REF!</definedName>
    <definedName name="DVIRKAB400400_B">#REF!</definedName>
    <definedName name="DVIRKAB400400_C">#REF!</definedName>
    <definedName name="DVIRKAB400400_D">#REF!</definedName>
    <definedName name="DVIRKAB400400_E">#REF!</definedName>
    <definedName name="DVIRKAB400X400">#REF!</definedName>
    <definedName name="DVIRKAB500500">#REF!</definedName>
    <definedName name="DVIRKAB500500_A">#REF!</definedName>
    <definedName name="DVIRKAB500500_B">#REF!</definedName>
    <definedName name="DVIRKAB500500_C">#REF!</definedName>
    <definedName name="DVIRKAB500500_D">#REF!</definedName>
    <definedName name="DVIRKAB500500_E">#REF!</definedName>
    <definedName name="DVIRKAB600600">#REF!</definedName>
    <definedName name="DVIRKAB600600_A">#REF!</definedName>
    <definedName name="DVIRKAB600600_B">#REF!</definedName>
    <definedName name="DVIRKAB600600_C">#REF!</definedName>
    <definedName name="DVIRKAB600600_D">#REF!</definedName>
    <definedName name="DVIRKAB600600_E">#REF!</definedName>
    <definedName name="DVIRKAC200200">#REF!</definedName>
    <definedName name="DVIRKAC200200_A">#REF!</definedName>
    <definedName name="DVIRKAC200200_B">#REF!</definedName>
    <definedName name="DVIRKAC200200_C">#REF!</definedName>
    <definedName name="DVIRKAC200200_D">#REF!</definedName>
    <definedName name="DVIRKAC200200_E">#REF!</definedName>
    <definedName name="DVIRKAC300300">#REF!</definedName>
    <definedName name="DVIRKAC300300_A">#REF!</definedName>
    <definedName name="DVIRKAC300300_B">#REF!</definedName>
    <definedName name="DVIRKAC300300_C">#REF!</definedName>
    <definedName name="DVIRKAC300300_D">#REF!</definedName>
    <definedName name="DVIRKAC300300_E">#REF!</definedName>
    <definedName name="DVIRKAC400400">#REF!</definedName>
    <definedName name="DVIRKAC400400_A">#REF!</definedName>
    <definedName name="DVIRKAC400400_B">#REF!</definedName>
    <definedName name="DVIRKAC400400_C">#REF!</definedName>
    <definedName name="DVIRKAC400400_D">#REF!</definedName>
    <definedName name="DVIRKAC400400_E">#REF!</definedName>
    <definedName name="DVIRKAC500500">#REF!</definedName>
    <definedName name="DVIRKAC500500_A">#REF!</definedName>
    <definedName name="DVIRKAC500500_B">#REF!</definedName>
    <definedName name="DVIRKAC500500_C">#REF!</definedName>
    <definedName name="DVIRKAC500500_D">#REF!</definedName>
    <definedName name="DVIRKAC500500_E">#REF!</definedName>
    <definedName name="DVIRKAC600600">#REF!</definedName>
    <definedName name="DVIRKAC600600_A">#REF!</definedName>
    <definedName name="DVIRKAC600600_B">#REF!</definedName>
    <definedName name="DVIRKAC600600_C">#REF!</definedName>
    <definedName name="DVIRKAC600600_D">#REF!</definedName>
    <definedName name="DVIRKAC600600_E">#REF!</definedName>
    <definedName name="DVOJITAPEROVASVORKA">#REF!</definedName>
    <definedName name="DVOJITAPEROVASVORKA_A">#REF!</definedName>
    <definedName name="DVOJITAPEROVASVORKA_B">#REF!</definedName>
    <definedName name="DVOJITAPEROVASVORKA_C">#REF!</definedName>
    <definedName name="DVOJITAPEROVASVORKA_D">#REF!</definedName>
    <definedName name="DVOJITAPEROVASVORKA_E">#REF!</definedName>
    <definedName name="e">#REF!</definedName>
    <definedName name="eee">#REF!</definedName>
    <definedName name="eeeee">#REF!</definedName>
    <definedName name="eeeeeee">#REF!</definedName>
    <definedName name="eeeeeeee">#REF!</definedName>
    <definedName name="ELEKTROKRABICE6845">#REF!</definedName>
    <definedName name="ELEKTROKRABICE6845_A">#REF!</definedName>
    <definedName name="ELEKTROKRABICE6845_B">#REF!</definedName>
    <definedName name="ELEKTROKRABICE6845_C">#REF!</definedName>
    <definedName name="ELEKTROKRABICE6845_D">#REF!</definedName>
    <definedName name="ELEKTROKRABICE6845_E">#REF!</definedName>
    <definedName name="ELEKTROKRABICE6860">#REF!</definedName>
    <definedName name="ELEKTROKRABICE6860_A">#REF!</definedName>
    <definedName name="ELEKTROKRABICE6860_B">#REF!</definedName>
    <definedName name="ELEKTROKRABICE6860_C">#REF!</definedName>
    <definedName name="ELEKTROKRABICE6860_D">#REF!</definedName>
    <definedName name="ELEKTROKRABICE6860_E">#REF!</definedName>
    <definedName name="ELEKTROKRABICE6945_A">#REF!</definedName>
    <definedName name="ELEKTROKRABICE6945_B">#REF!</definedName>
    <definedName name="ELEKTROKRABICE6945_C">#REF!</definedName>
    <definedName name="ELEKTROKRABICE6945_D">#REF!</definedName>
    <definedName name="ELEKTROKRABICE6945_E">#REF!</definedName>
    <definedName name="end_rozpocty">#REF!</definedName>
    <definedName name="ergergegergergerg">#REF!</definedName>
    <definedName name="ergrthzk">#REF!</definedName>
    <definedName name="Est_copy_první">#REF!</definedName>
    <definedName name="Est_poslední">#REF!</definedName>
    <definedName name="Est_první">#REF!</definedName>
    <definedName name="etetetet">#REF!</definedName>
    <definedName name="eur">#REF!</definedName>
    <definedName name="Excel_BuiltIn_Print_Area">#REF!</definedName>
    <definedName name="Excel_BuiltIn_Print_Area_1_1">"$vm_1np_200_050d.$#REF!$#REF!:$#REF!$#REF!"</definedName>
    <definedName name="Excel_BuiltIn_Print_Area_1_1_1">#REF!,#REF!</definedName>
    <definedName name="Excel_BuiltIn_Print_Area_1_1_1_2">#REF!,#REF!</definedName>
    <definedName name="Excel_BuiltIn_Print_Area_1_1_1_3">#REF!,#REF!</definedName>
    <definedName name="Excel_BuiltIn_Print_Area_10">#REF!</definedName>
    <definedName name="Excel_BuiltIn_Print_Area_10_1">"$#REF!.$A$1:$F$9"</definedName>
    <definedName name="Excel_BuiltIn_Print_Area_11">"$#REF!.$A$1:$F$9"</definedName>
    <definedName name="Excel_BuiltIn_Print_Area_12">"$#REF!.$A$1:$F$9"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3">#REF!</definedName>
    <definedName name="Excel_BuiltIn_Print_Area_3_1">#REF!</definedName>
    <definedName name="Excel_BuiltIn_Print_Area_4_1">#REF!</definedName>
    <definedName name="Excel_BuiltIn_Print_Area_4_1_1">"$#REF!.$A$1:$F$9"</definedName>
    <definedName name="Excel_BuiltIn_Print_Area_5">#REF!</definedName>
    <definedName name="Excel_BuiltIn_Print_Area_5_1">"$#REF!.$A$1:$F$9"</definedName>
    <definedName name="Excel_BuiltIn_Print_Area_6">#REF!</definedName>
    <definedName name="Excel_BuiltIn_Print_Area_6_1">"$#REF!.$A$1:$F$9"</definedName>
    <definedName name="Excel_BuiltIn_Print_Area_7">#REF!</definedName>
    <definedName name="Excel_BuiltIn_Print_Area_7_1">"$#REF!.$A$1:$F$9"</definedName>
    <definedName name="Excel_BuiltIn_Print_Area_8">#REF!</definedName>
    <definedName name="Excel_BuiltIn_Print_Area_8_1">"$#REF!.$A$1:$F$9"</definedName>
    <definedName name="Excel_BuiltIn_Print_Area_9">"$#REF!.$A$1:$F$9"</definedName>
    <definedName name="exter1">#REF!</definedName>
    <definedName name="EXTRA">#REF!</definedName>
    <definedName name="EXTRA_A">#REF!</definedName>
    <definedName name="EXTRA_B">#REF!</definedName>
    <definedName name="EXTRA_C">#REF!</definedName>
    <definedName name="EXTRA_D">#REF!</definedName>
    <definedName name="EXTRA_E">#REF!</definedName>
    <definedName name="f">#REF!</definedName>
    <definedName name="FABION100">#REF!</definedName>
    <definedName name="FABION100_A">#REF!</definedName>
    <definedName name="FABION100_B">#REF!</definedName>
    <definedName name="FABION100_C">#REF!</definedName>
    <definedName name="FABION100_D">#REF!</definedName>
    <definedName name="FABION100_E">#REF!</definedName>
    <definedName name="FABION127">#REF!</definedName>
    <definedName name="FABION127_A">#REF!</definedName>
    <definedName name="FABION127_B">#REF!</definedName>
    <definedName name="FABION127_C">#REF!</definedName>
    <definedName name="FABION127_D">#REF!</definedName>
    <definedName name="FABION127_E">#REF!</definedName>
    <definedName name="fakt">[19]App_6!#REF!</definedName>
    <definedName name="fdasfa">#N/A</definedName>
    <definedName name="fdasfa_1">0</definedName>
    <definedName name="FEINFRESKO_E">#REF!</definedName>
    <definedName name="FFFFFFF">#REF!</definedName>
    <definedName name="FINISH">#REF!</definedName>
    <definedName name="FINISH_A">#REF!</definedName>
    <definedName name="FINISH_B">#REF!</definedName>
    <definedName name="FINISH_C">#REF!</definedName>
    <definedName name="FINISH_D">#REF!</definedName>
    <definedName name="FINISH_E">#REF!</definedName>
    <definedName name="firmy_rozpocty.0">#REF!</definedName>
    <definedName name="firmy_rozpocty.1">#REF!</definedName>
    <definedName name="firmy_rozpocty_pozn.Poznamka2">#REF!</definedName>
    <definedName name="FISURADAE24">#REF!</definedName>
    <definedName name="FISURALDAE24_A">#REF!</definedName>
    <definedName name="FISURALDAE24_B">#REF!</definedName>
    <definedName name="FISURALDAE24_C">#REF!</definedName>
    <definedName name="FISURALDAE24_D">#REF!</definedName>
    <definedName name="FISURALDAE24_E">#REF!</definedName>
    <definedName name="FOLIEPAROFOL">#REF!</definedName>
    <definedName name="FOLIEPAROFOL_A">#REF!</definedName>
    <definedName name="FOLIEPAROFOL_B">#REF!</definedName>
    <definedName name="FOLIEPAROFOL_C">#REF!</definedName>
    <definedName name="FOLIEPAROFOL_D">#REF!</definedName>
    <definedName name="FOLIEPAROFOL_E">#REF!</definedName>
    <definedName name="G___P__">#REF!</definedName>
    <definedName name="gbp">#REF!</definedName>
    <definedName name="GEWALBE">#REF!</definedName>
    <definedName name="GEWALBE_A">#REF!</definedName>
    <definedName name="GEWALBE_B">#REF!</definedName>
    <definedName name="GEWALBE_C">#REF!</definedName>
    <definedName name="GEWALBE_D">#REF!</definedName>
    <definedName name="GEWALBE_E">#REF!</definedName>
    <definedName name="gje§bgj§webgj§g">#REF!</definedName>
    <definedName name="GYPTONEBASEA">#REF!</definedName>
    <definedName name="GYPTONEBASEA_A">#REF!</definedName>
    <definedName name="GYPTONEBASEA_B">#REF!</definedName>
    <definedName name="GYPTONEBASEA_C">#REF!</definedName>
    <definedName name="GYPTONEBASEA_D">#REF!</definedName>
    <definedName name="GYPTONEBASEA_E">#REF!</definedName>
    <definedName name="GYPTONEBASED1">#REF!</definedName>
    <definedName name="GYPTONEBASED1_A">#REF!</definedName>
    <definedName name="GYPTONEBASED1_B">#REF!</definedName>
    <definedName name="GYPTONEBASED1_C">#REF!</definedName>
    <definedName name="GYPTONEBASED1_D">#REF!</definedName>
    <definedName name="GYPTONEBASED1_E">#REF!</definedName>
    <definedName name="GYPTONEBASEE">#REF!</definedName>
    <definedName name="GYPTONEBASEE_A">#REF!</definedName>
    <definedName name="GYPTONEBASEE_B">#REF!</definedName>
    <definedName name="GYPTONEBASEE_C">#REF!</definedName>
    <definedName name="GYPTONEBASEE_D">#REF!</definedName>
    <definedName name="GYPTONEBASEE_E">#REF!</definedName>
    <definedName name="GYPTONELINEA">#REF!</definedName>
    <definedName name="GYPTONELINEA_A">#REF!</definedName>
    <definedName name="GYPTONELINEA_B">#REF!</definedName>
    <definedName name="GYPTONELINEA_C">#REF!</definedName>
    <definedName name="GYPTONELINEA_D">#REF!</definedName>
    <definedName name="GYPTONELINEA_E">#REF!</definedName>
    <definedName name="GYPTONELINEE">#REF!</definedName>
    <definedName name="GYPTONELINEE_A">#REF!</definedName>
    <definedName name="GYPTONELINEE_B">#REF!</definedName>
    <definedName name="GYPTONELINEE_C">#REF!</definedName>
    <definedName name="GYPTONELINEE_D">#REF!</definedName>
    <definedName name="GYPTONELINEE_E">#REF!</definedName>
    <definedName name="GYPTONELINEED_A">#REF!</definedName>
    <definedName name="GYPTONELINEED_B">#REF!</definedName>
    <definedName name="GYPTONELINEED_C">#REF!</definedName>
    <definedName name="GYPTONELINEED_D">#REF!</definedName>
    <definedName name="GYPTONELINEED_E">#REF!</definedName>
    <definedName name="GYPTONEPOINT11A">#REF!</definedName>
    <definedName name="GYPTONEPOINT11A_A">#REF!</definedName>
    <definedName name="GYPTONEPOINT11A_B">#REF!</definedName>
    <definedName name="GYPTONEPOINT11A_C">#REF!</definedName>
    <definedName name="GYPTONEPOINT11A_D">#REF!</definedName>
    <definedName name="GYPTONEPOINT11A_E">#REF!</definedName>
    <definedName name="GYPTONEPOINT11E">#REF!</definedName>
    <definedName name="GYPTONEPOINT11E_A">#REF!</definedName>
    <definedName name="GYPTONEPOINT11E_B">#REF!</definedName>
    <definedName name="GYPTONEPOINT11E_C">#REF!</definedName>
    <definedName name="GYPTONEPOINT11E_D">#REF!</definedName>
    <definedName name="GYPTONEPOINT11E_E">#REF!</definedName>
    <definedName name="GYPTONEPOINT12A">#REF!</definedName>
    <definedName name="GYPTONEPOINT12A_A">#REF!</definedName>
    <definedName name="GYPTONEPOINT12A_B">#REF!</definedName>
    <definedName name="GYPTONEPOINT12A_C">#REF!</definedName>
    <definedName name="GYPTONEPOINT12A_D">#REF!</definedName>
    <definedName name="GYPTONEPOINT12A_E">#REF!</definedName>
    <definedName name="GYPTONEPOINT12E">#REF!</definedName>
    <definedName name="GYPTONEPOINT12E_A">#REF!</definedName>
    <definedName name="GYPTONEPOINT12E_B">#REF!</definedName>
    <definedName name="GYPTONEPOINT12E_C">#REF!</definedName>
    <definedName name="GYPTONEPOINT12E_D">#REF!</definedName>
    <definedName name="GYPTONEPOINT12E_E">#REF!</definedName>
    <definedName name="GYPTONEQUATTRO20A">#REF!</definedName>
    <definedName name="GYPTONEQUATTRO20A_A">#REF!</definedName>
    <definedName name="GYPTONEQUATTRO20A_B">#REF!</definedName>
    <definedName name="GYPTONEQUATTRO20A_C">#REF!</definedName>
    <definedName name="GYPTONEQUATTRO20A_D">#REF!</definedName>
    <definedName name="GYPTONEQUATTRO20A_E">#REF!</definedName>
    <definedName name="GYPTONEQUATTRO20E">#REF!</definedName>
    <definedName name="GYPTONEQUATTRO20E_A">#REF!</definedName>
    <definedName name="GYPTONEQUATTRO20E_B">#REF!</definedName>
    <definedName name="GYPTONEQUATTRO20E_C">#REF!</definedName>
    <definedName name="GYPTONEQUATTRO20E_D">#REF!</definedName>
    <definedName name="GYPTONEQUATTRO20E_E">#REF!</definedName>
    <definedName name="GYPTONEQUATTRO22A">#REF!</definedName>
    <definedName name="GYPTONEQUATTRO22A_A">#REF!</definedName>
    <definedName name="GYPTONEQUATTRO22A_B">#REF!</definedName>
    <definedName name="GYPTONEQUATTRO22A_C">#REF!</definedName>
    <definedName name="GYPTONEQUATTRO22A_D">#REF!</definedName>
    <definedName name="GYPTONEQUATTRO22A_E">#REF!</definedName>
    <definedName name="GYPTONEQUATTRO22E">#REF!</definedName>
    <definedName name="GYPTONEQUATTRO22E_A">#REF!</definedName>
    <definedName name="GYPTONEQUATTRO22E_B">#REF!</definedName>
    <definedName name="GYPTONEQUATTRO22E_C">#REF!</definedName>
    <definedName name="GYPTONEQUATTRO22E_D">#REF!</definedName>
    <definedName name="GYPTONEQUATTRO22E_E">#REF!</definedName>
    <definedName name="H">#REF!</definedName>
    <definedName name="hjhguioifz">#REF!</definedName>
    <definedName name="Hlavička">[12]MaR!#REF!</definedName>
    <definedName name="Hlavička_1">0</definedName>
    <definedName name="Hlavička_2">[13]MaR!#REF!</definedName>
    <definedName name="HLAVNIPROFILT15">#REF!</definedName>
    <definedName name="HLAVNIPROFILT15_A">#REF!</definedName>
    <definedName name="HLAVNIPROFILT15_B">#REF!</definedName>
    <definedName name="HLAVNIPROFILT15_C">#REF!</definedName>
    <definedName name="HLAVNIPROFILT15_D">#REF!</definedName>
    <definedName name="HLAVNIPROFILT15_E">#REF!</definedName>
    <definedName name="HLAVNIPROFILT153000">#REF!</definedName>
    <definedName name="HLAVNIPROFILT24">#REF!</definedName>
    <definedName name="HLAVNIPROFILT24_A">#REF!</definedName>
    <definedName name="HLAVNIPROFILT24_B">#REF!</definedName>
    <definedName name="HLAVNIPROFILT24_C">#REF!</definedName>
    <definedName name="HLAVNIPROFILT24_D">#REF!</definedName>
    <definedName name="HLAVNIPROFILT24_E">#REF!</definedName>
    <definedName name="HMOZDINKAKDM">#REF!</definedName>
    <definedName name="HMOZDINKAKDM_A">#REF!</definedName>
    <definedName name="HMOZDINKAKDM_B">#REF!</definedName>
    <definedName name="HMOZDINKAKDM_C">#REF!</definedName>
    <definedName name="HMOZDINKAKDM_D">#REF!</definedName>
    <definedName name="HMOZDINKAKDM_E">#REF!</definedName>
    <definedName name="HodVyroba">[20]Parametry!$D$25</definedName>
    <definedName name="hovno">#REF!</definedName>
    <definedName name="HREBUPAT">#REF!</definedName>
    <definedName name="HREBUPAT_A">#REF!</definedName>
    <definedName name="HREBUPAT_B">#REF!</definedName>
    <definedName name="HREBUPAT_C">#REF!</definedName>
    <definedName name="HREBUPAT_D">#REF!</definedName>
    <definedName name="HREBUPAT_E">#REF!</definedName>
    <definedName name="HSV">[17]Rekapitulace!$E$9</definedName>
    <definedName name="HSV0">[17]Položky!#REF!</definedName>
    <definedName name="HTML_CodePage" hidden="1">1250</definedName>
    <definedName name="HTML_Control" hidden="1">{"'List1'!$A$1:$I$85"}</definedName>
    <definedName name="HTML_Description" hidden="1">""</definedName>
    <definedName name="HTML_Email" hidden="1">""</definedName>
    <definedName name="HTML_Header" hidden="1">"List1"</definedName>
    <definedName name="HTML_LastUpdate" hidden="1">"3.11.1998"</definedName>
    <definedName name="HTML_LineAfter" hidden="1">TRUE</definedName>
    <definedName name="HTML_LineBefore" hidden="1">TRUE</definedName>
    <definedName name="HTML_Name" hidden="1">"Martin Bican"</definedName>
    <definedName name="HTML_OBDlg2" hidden="1">TRUE</definedName>
    <definedName name="HTML_OBDlg4" hidden="1">TRUE</definedName>
    <definedName name="HTML_OS" hidden="1">0</definedName>
    <definedName name="HTML_PathFile" hidden="1">"C:\Dokumenty\HTML.htm"</definedName>
    <definedName name="HTML_Title" hidden="1">"STEF_POL_1"</definedName>
    <definedName name="HUTPROFIL">#REF!</definedName>
    <definedName name="HUTPROFIL_A">#REF!</definedName>
    <definedName name="HUTPROFIL_B">#REF!</definedName>
    <definedName name="HUTPROFIL_C">#REF!</definedName>
    <definedName name="HUTPROFIL_D">#REF!</definedName>
    <definedName name="HUTPROFIL_E">#REF!</definedName>
    <definedName name="HZS">[17]Rekapitulace!$I$9</definedName>
    <definedName name="HZS0">[17]Položky!#REF!</definedName>
    <definedName name="chf">#REF!</definedName>
    <definedName name="IC">#REF!</definedName>
    <definedName name="Import1">#REF!</definedName>
    <definedName name="Import1_1">#REF!</definedName>
    <definedName name="Import1_2">#REF!</definedName>
    <definedName name="Import2">#REF!</definedName>
    <definedName name="instr">#REF!</definedName>
    <definedName name="instr_rozv">#REF!</definedName>
    <definedName name="Integr_poslední">#REF!</definedName>
    <definedName name="inter1">#REF!</definedName>
    <definedName name="izolace">#REF!</definedName>
    <definedName name="Izolace_akustické">'[8]SO 11.1A Výkaz výměr'!#REF!</definedName>
    <definedName name="Izolace_proti_vodě">'[8]SO 11.1A Výkaz výměr'!#REF!</definedName>
    <definedName name="JEZDECCDPROFILU">#REF!</definedName>
    <definedName name="JEZDECCDPROFILU_A">#REF!</definedName>
    <definedName name="JEZDECCDPROFILU_B">#REF!</definedName>
    <definedName name="JEZDECCDPROFILU_C">#REF!</definedName>
    <definedName name="JEZDECCDPROFILU_D">#REF!</definedName>
    <definedName name="JEZDECCDPROFILU_E">#REF!</definedName>
    <definedName name="JKSO">#REF!</definedName>
    <definedName name="joeqrgjjú">#REF!</definedName>
    <definedName name="JOSEF">#REF!</definedName>
    <definedName name="jzzuggt">#REF!</definedName>
    <definedName name="k_6_ko">#REF!</definedName>
    <definedName name="k_6_sz">#REF!</definedName>
    <definedName name="k_8_ko">#REF!</definedName>
    <definedName name="k_8_sz">#REF!</definedName>
    <definedName name="kab">#REF!</definedName>
    <definedName name="kabn">#REF!</definedName>
    <definedName name="KAZ_1">#REF!</definedName>
    <definedName name="KAZ_1_A">#REF!</definedName>
    <definedName name="KAZ_1_B">#REF!</definedName>
    <definedName name="KAZ_1_C">#REF!</definedName>
    <definedName name="KAZ_1_D">#REF!</definedName>
    <definedName name="KAZ_1_E">#REF!</definedName>
    <definedName name="KAZ_1_M">#REF!</definedName>
    <definedName name="KAZ_1_P">#REF!</definedName>
    <definedName name="KAZ_10">#REF!</definedName>
    <definedName name="KAZ_10_A">#REF!</definedName>
    <definedName name="KAZ_10_B">#REF!</definedName>
    <definedName name="KAZ_10_C">#REF!</definedName>
    <definedName name="KAZ_10_D">#REF!</definedName>
    <definedName name="KAZ_10_E">#REF!</definedName>
    <definedName name="KAZ_10_M">#REF!</definedName>
    <definedName name="KAZ_10_P">#REF!</definedName>
    <definedName name="KAZ_11">#REF!</definedName>
    <definedName name="KAZ_11_A">#REF!</definedName>
    <definedName name="KAZ_11_B">#REF!</definedName>
    <definedName name="KAZ_11_C">#REF!</definedName>
    <definedName name="KAZ_11_D">#REF!</definedName>
    <definedName name="KAZ_11_E">#REF!</definedName>
    <definedName name="KAZ_11_M">#REF!</definedName>
    <definedName name="KAZ_11_P">#REF!</definedName>
    <definedName name="KAZ_12">#REF!</definedName>
    <definedName name="KAZ_12_A">#REF!</definedName>
    <definedName name="KAZ_12_B">#REF!</definedName>
    <definedName name="KAZ_12_C">#REF!</definedName>
    <definedName name="KAZ_12_D">#REF!</definedName>
    <definedName name="KAZ_12_E">#REF!</definedName>
    <definedName name="KAZ_12_M">#REF!</definedName>
    <definedName name="KAZ_12_P">#REF!</definedName>
    <definedName name="KAZ_13">#REF!</definedName>
    <definedName name="KAZ_13_A">#REF!</definedName>
    <definedName name="KAZ_13_B">#REF!</definedName>
    <definedName name="KAZ_13_C">#REF!</definedName>
    <definedName name="KAZ_13_D">#REF!</definedName>
    <definedName name="KAZ_13_E">#REF!</definedName>
    <definedName name="KAZ_13_M">#REF!</definedName>
    <definedName name="KAZ_13_P">#REF!</definedName>
    <definedName name="KAZ_14">#REF!</definedName>
    <definedName name="KAZ_14_A">#REF!</definedName>
    <definedName name="KAZ_14_B">#REF!</definedName>
    <definedName name="KAZ_14_C">#REF!</definedName>
    <definedName name="KAZ_14_D">#REF!</definedName>
    <definedName name="KAZ_14_E">#REF!</definedName>
    <definedName name="KAZ_14_M">#REF!</definedName>
    <definedName name="KAZ_14_P">#REF!</definedName>
    <definedName name="KAZ_15">#REF!</definedName>
    <definedName name="KAZ_15_A">#REF!</definedName>
    <definedName name="KAZ_15_B">#REF!</definedName>
    <definedName name="KAZ_15_C">#REF!</definedName>
    <definedName name="KAZ_15_D">#REF!</definedName>
    <definedName name="KAZ_15_E">#REF!</definedName>
    <definedName name="KAZ_15_M">#REF!</definedName>
    <definedName name="KAZ_15_P">#REF!</definedName>
    <definedName name="KAZ_16">#REF!</definedName>
    <definedName name="KAZ_16_A">#REF!</definedName>
    <definedName name="KAZ_16_B">#REF!</definedName>
    <definedName name="KAZ_16_C">#REF!</definedName>
    <definedName name="KAZ_16_D">#REF!</definedName>
    <definedName name="KAZ_16_E">#REF!</definedName>
    <definedName name="KAZ_16_M">#REF!</definedName>
    <definedName name="KAZ_16_P">#REF!</definedName>
    <definedName name="KAZ_17">#REF!</definedName>
    <definedName name="KAZ_17_A">#REF!</definedName>
    <definedName name="KAZ_17_B">#REF!</definedName>
    <definedName name="KAZ_17_C">#REF!</definedName>
    <definedName name="KAZ_17_D">#REF!</definedName>
    <definedName name="KAZ_17_E">#REF!</definedName>
    <definedName name="KAZ_17_M">#REF!</definedName>
    <definedName name="KAZ_17_P">#REF!</definedName>
    <definedName name="KAZ_18">#REF!</definedName>
    <definedName name="KAZ_18_A">#REF!</definedName>
    <definedName name="KAZ_18_B">#REF!</definedName>
    <definedName name="KAZ_18_C">#REF!</definedName>
    <definedName name="KAZ_18_D">#REF!</definedName>
    <definedName name="KAZ_18_E">#REF!</definedName>
    <definedName name="KAZ_18_M">#REF!</definedName>
    <definedName name="KAZ_18_P">#REF!</definedName>
    <definedName name="KAZ_19">#REF!</definedName>
    <definedName name="KAZ_19_A">#REF!</definedName>
    <definedName name="KAZ_19_B">#REF!</definedName>
    <definedName name="KAZ_19_C">#REF!</definedName>
    <definedName name="KAZ_19_D">#REF!</definedName>
    <definedName name="KAZ_19_E">#REF!</definedName>
    <definedName name="KAZ_19_M">#REF!</definedName>
    <definedName name="KAZ_19_P">#REF!</definedName>
    <definedName name="KAZ_2">#REF!</definedName>
    <definedName name="KAZ_2_A">#REF!</definedName>
    <definedName name="KAZ_2_B">#REF!</definedName>
    <definedName name="KAZ_2_C">#REF!</definedName>
    <definedName name="KAZ_2_D">#REF!</definedName>
    <definedName name="KAZ_2_E">#REF!</definedName>
    <definedName name="KAZ_2_M">#REF!</definedName>
    <definedName name="KAZ_2_P">#REF!</definedName>
    <definedName name="KAZ_20">#REF!</definedName>
    <definedName name="KAZ_20_A">#REF!</definedName>
    <definedName name="KAZ_20_B">#REF!</definedName>
    <definedName name="KAZ_20_C">#REF!</definedName>
    <definedName name="KAZ_20_D">#REF!</definedName>
    <definedName name="KAZ_20_E">#REF!</definedName>
    <definedName name="KAZ_20_M">#REF!</definedName>
    <definedName name="KAZ_20_P">#REF!</definedName>
    <definedName name="KAZ_21">#REF!</definedName>
    <definedName name="KAZ_21_A">#REF!</definedName>
    <definedName name="KAZ_21_B">#REF!</definedName>
    <definedName name="KAZ_21_C">#REF!</definedName>
    <definedName name="KAZ_21_D">#REF!</definedName>
    <definedName name="KAZ_21_E">#REF!</definedName>
    <definedName name="KAZ_21_M">#REF!</definedName>
    <definedName name="KAZ_21_P">#REF!</definedName>
    <definedName name="KAZ_22">#REF!</definedName>
    <definedName name="KAZ_22_A">#REF!</definedName>
    <definedName name="KAZ_22_B">#REF!</definedName>
    <definedName name="KAZ_22_C">#REF!</definedName>
    <definedName name="KAZ_22_D">#REF!</definedName>
    <definedName name="KAZ_22_E">#REF!</definedName>
    <definedName name="KAZ_22_M">#REF!</definedName>
    <definedName name="KAZ_22_P">#REF!</definedName>
    <definedName name="KAZ_3">#REF!</definedName>
    <definedName name="KAZ_3_A">#REF!</definedName>
    <definedName name="KAZ_3_B">#REF!</definedName>
    <definedName name="KAZ_3_C">#REF!</definedName>
    <definedName name="KAZ_3_D">#REF!</definedName>
    <definedName name="KAZ_3_E">#REF!</definedName>
    <definedName name="KAZ_3_M">#REF!</definedName>
    <definedName name="KAZ_3_P">#REF!</definedName>
    <definedName name="KAZ_4">#REF!</definedName>
    <definedName name="KAZ_4_A">#REF!</definedName>
    <definedName name="KAZ_4_B">#REF!</definedName>
    <definedName name="KAZ_4_C">#REF!</definedName>
    <definedName name="KAZ_4_D">#REF!</definedName>
    <definedName name="KAZ_4_E">#REF!</definedName>
    <definedName name="KAZ_4_M">#REF!</definedName>
    <definedName name="KAZ_4_P">#REF!</definedName>
    <definedName name="KAZ_5">#REF!</definedName>
    <definedName name="KAZ_5_A">#REF!</definedName>
    <definedName name="KAZ_5_B">#REF!</definedName>
    <definedName name="KAZ_5_C">#REF!</definedName>
    <definedName name="KAZ_5_D">#REF!</definedName>
    <definedName name="KAZ_5_E">#REF!</definedName>
    <definedName name="KAZ_5_M">#REF!</definedName>
    <definedName name="KAZ_5_P">#REF!</definedName>
    <definedName name="KAZ_6">#REF!</definedName>
    <definedName name="KAZ_6_A">#REF!</definedName>
    <definedName name="KAZ_6_B">#REF!</definedName>
    <definedName name="KAZ_6_C">#REF!</definedName>
    <definedName name="KAZ_6_D">#REF!</definedName>
    <definedName name="KAZ_6_E">#REF!</definedName>
    <definedName name="KAZ_6_M">#REF!</definedName>
    <definedName name="KAZ_6_P">#REF!</definedName>
    <definedName name="KAZ_7">#REF!</definedName>
    <definedName name="KAZ_7_A">#REF!</definedName>
    <definedName name="KAZ_7_B">#REF!</definedName>
    <definedName name="KAZ_7_C">#REF!</definedName>
    <definedName name="KAZ_7_D">#REF!</definedName>
    <definedName name="KAZ_7_E">#REF!</definedName>
    <definedName name="KAZ_7_M">#REF!</definedName>
    <definedName name="KAZ_7_P">#REF!</definedName>
    <definedName name="KAZ_8">#REF!</definedName>
    <definedName name="KAZ_8_A">#REF!</definedName>
    <definedName name="KAZ_8_B">#REF!</definedName>
    <definedName name="KAZ_8_C">#REF!</definedName>
    <definedName name="KAZ_8_D">#REF!</definedName>
    <definedName name="KAZ_8_E">#REF!</definedName>
    <definedName name="KAZ_8_M">#REF!</definedName>
    <definedName name="KAZ_8_P">#REF!</definedName>
    <definedName name="KAZ_9">#REF!</definedName>
    <definedName name="KAZ_9_A">#REF!</definedName>
    <definedName name="KAZ_9_B">#REF!</definedName>
    <definedName name="KAZ_9_C">#REF!</definedName>
    <definedName name="KAZ_9_D">#REF!</definedName>
    <definedName name="KAZ_9_E">#REF!</definedName>
    <definedName name="KAZ_9_M">#REF!</definedName>
    <definedName name="KAZ_9_P">#REF!</definedName>
    <definedName name="KM">[21]dodav!$E$7</definedName>
    <definedName name="kmn">[22]dodav!$E$6</definedName>
    <definedName name="KMVIMPERK1">[23]mont!$E$5</definedName>
    <definedName name="Kod">#REF!</definedName>
    <definedName name="Kod_1">0</definedName>
    <definedName name="Kod_2">#REF!</definedName>
    <definedName name="KoefDopr">[24]Rozp!#REF!</definedName>
    <definedName name="Komunikace">'[8]SO 11.1A Výkaz výměr'!#REF!</definedName>
    <definedName name="konec">#REF!</definedName>
    <definedName name="Konstrukce_klempířské">'[8]SO 11.1A Výkaz výměr'!#REF!</definedName>
    <definedName name="Konstrukce_tesařské">'[25]SO 51.4 Výkaz výměr'!#REF!</definedName>
    <definedName name="Konstrukce_truhlářské">'[8]SO 11.1A Výkaz výměr'!#REF!</definedName>
    <definedName name="KONSTRUKCEPROBATERIE">#REF!</definedName>
    <definedName name="KONSTRUKCEPROBATERIE_A">#REF!</definedName>
    <definedName name="KONSTRUKCEPROBATERIE_B">#REF!</definedName>
    <definedName name="KONSTRUKCEPROBATERIE_C">#REF!</definedName>
    <definedName name="KONSTRUKCEPROBATERIE_D">#REF!</definedName>
    <definedName name="KONSTRUKCEPROBATERIE_E">#REF!</definedName>
    <definedName name="KONSTRUKCEPROBIDET">#REF!</definedName>
    <definedName name="KONSTRUKCEPROBIDET_A">#REF!</definedName>
    <definedName name="KONSTRUKCEPROBIDET_B">#REF!</definedName>
    <definedName name="KONSTRUKCEPROBIDET_C">#REF!</definedName>
    <definedName name="KONSTRUKCEPROBIDET_D">#REF!</definedName>
    <definedName name="KONSTRUKCEPROBIDET_E">#REF!</definedName>
    <definedName name="KONSTRUKCEPROPISOARY">#REF!</definedName>
    <definedName name="KONSTRUKCEPROPISOARY_A">#REF!</definedName>
    <definedName name="KONSTRUKCEPROPISOARY_B">#REF!</definedName>
    <definedName name="KONSTRUKCEPROPISOARY_C">#REF!</definedName>
    <definedName name="KONSTRUKCEPROPISOARY_D">#REF!</definedName>
    <definedName name="KONSTRUKCEPROPISOARY_E">#REF!</definedName>
    <definedName name="KONSTRUKCEPROPOTRUBI">#REF!</definedName>
    <definedName name="KONSTRUKCEPROPOTRUBI_A">#REF!</definedName>
    <definedName name="KONSTRUKCEPROPOTRUBI_B">#REF!</definedName>
    <definedName name="KONSTRUKCEPROPOTRUBI_C">#REF!</definedName>
    <definedName name="KONSTRUKCEPROPOTRUBI_D">#REF!</definedName>
    <definedName name="KONSTRUKCEPROPOTRUBI_E">#REF!</definedName>
    <definedName name="KONSTRUKCEPROUMYVADLA">#REF!</definedName>
    <definedName name="KONSTRUKCEPROUMYVADLA_A">#REF!</definedName>
    <definedName name="KONSTRUKCEPROUMYVADLA_B">#REF!</definedName>
    <definedName name="KONSTRUKCEPROUMYVADLA_C">#REF!</definedName>
    <definedName name="KONSTRUKCEPROUMYVADLA_D">#REF!</definedName>
    <definedName name="KONSTRUKCEPROUMYVADLA_E">#REF!</definedName>
    <definedName name="KONSTRUKCEPROWC">#REF!</definedName>
    <definedName name="KONSTRUKCEPROWC_A">#REF!</definedName>
    <definedName name="KONSTRUKCEPROWC_B">#REF!</definedName>
    <definedName name="KONSTRUKCEPROWC_C">#REF!</definedName>
    <definedName name="KONSTRUKCEPROWC_D">#REF!</definedName>
    <definedName name="KONSTRUKCEPROWC_E">#REF!</definedName>
    <definedName name="Kovové_stavební_doplňkové_konstrukce">'[8]SO 11.1A Výkaz výměr'!#REF!</definedName>
    <definedName name="kr_15">#REF!</definedName>
    <definedName name="kr_15_ła">#REF!</definedName>
    <definedName name="KRIZOVASPOJKA">#REF!</definedName>
    <definedName name="KRIZOVASPOJKA_A">#REF!</definedName>
    <definedName name="KRIZOVASPOJKA_B">#REF!</definedName>
    <definedName name="KRIZOVASPOJKA_C">#REF!</definedName>
    <definedName name="KRIZOVASPOJKA_D">#REF!</definedName>
    <definedName name="KRIZOVASPOJKA_E">#REF!</definedName>
    <definedName name="KRYCIPROFILPVC33X12">#REF!</definedName>
    <definedName name="KRYCIPROFILPVC33X12_A">#REF!</definedName>
    <definedName name="KRYCIPROFILPVC33X12_B">#REF!</definedName>
    <definedName name="KRYCIPROFILPVC33X12_C">#REF!</definedName>
    <definedName name="KRYCIPROFILPVC33X12_D">#REF!</definedName>
    <definedName name="KRYCIPROFILPVC33X12_E">#REF!</definedName>
    <definedName name="ks">#REF!</definedName>
    <definedName name="KSDK">'[25]SO 51.4 Výkaz výměr'!#REF!</definedName>
    <definedName name="kuchyně">[4]Budova!$A$1947:$A$2081</definedName>
    <definedName name="L">#REF!</definedName>
    <definedName name="la">#REF!</definedName>
    <definedName name="LAGUNA_B">#REF!</definedName>
    <definedName name="LAGUNA_C">#REF!</definedName>
    <definedName name="LAGUNA_D">#REF!</definedName>
    <definedName name="LAGUNA_E">#REF!</definedName>
    <definedName name="LAMELABASE_A">#REF!</definedName>
    <definedName name="LAMELABASE_B">#REF!</definedName>
    <definedName name="LAMELABASE_C">#REF!</definedName>
    <definedName name="LAMELABASE_D">#REF!</definedName>
    <definedName name="LAMELABASE_E">#REF!</definedName>
    <definedName name="LAMELALINE8_A">#REF!</definedName>
    <definedName name="LAMELALINE8_B">#REF!</definedName>
    <definedName name="LAMELALINE8_C">#REF!</definedName>
    <definedName name="LAMELALINE8_D">#REF!</definedName>
    <definedName name="LAMELALINE8_E">#REF!</definedName>
    <definedName name="LAMELAPOINT15_A">#REF!</definedName>
    <definedName name="LAMELAPOINT15_B">#REF!</definedName>
    <definedName name="LAMELAPOINT15_C">#REF!</definedName>
    <definedName name="LAMELAPOINT15_D">#REF!</definedName>
    <definedName name="LAMELAPOINT15_E">#REF!</definedName>
    <definedName name="LEPICITMEL">#REF!</definedName>
    <definedName name="LEPICITMEL_A">#REF!</definedName>
    <definedName name="LEPICITMEL_B">#REF!</definedName>
    <definedName name="LEPICITMEL_C">#REF!</definedName>
    <definedName name="LEPICITMEL_D">#REF!</definedName>
    <definedName name="LEPICITMEL_E">#REF!</definedName>
    <definedName name="LEPICITMEL40KG_A">#REF!</definedName>
    <definedName name="LEPICITMEL40KG_B">#REF!</definedName>
    <definedName name="LEPICITMEL40KG_C">#REF!</definedName>
    <definedName name="LEPICITMEL40KG_D">#REF!</definedName>
    <definedName name="LEPICITMEL40KG_E">#REF!</definedName>
    <definedName name="LIAPOR">#REF!</definedName>
    <definedName name="LIAPOR_A">#REF!</definedName>
    <definedName name="LIAPOR_B">#REF!</definedName>
    <definedName name="LIAPOR_C">#REF!</definedName>
    <definedName name="LIAPOR_D">#REF!</definedName>
    <definedName name="LIAPOR_E">#REF!</definedName>
    <definedName name="M">#REF!</definedName>
    <definedName name="Malby__tapety__nátěry__nástřiky">'[8]SO 11.1A Výkaz výměr'!#REF!</definedName>
    <definedName name="mar">[4]Budova!$A$2084:$A$2332</definedName>
    <definedName name="Marka">#REF!</definedName>
    <definedName name="Mena">[18]Stavba!$J$29</definedName>
    <definedName name="MICROE24">#REF!</definedName>
    <definedName name="MICROE24_A">#REF!</definedName>
    <definedName name="MICROE24_B">#REF!</definedName>
    <definedName name="MICROE24_C">#REF!</definedName>
    <definedName name="MICROE24_D">#REF!</definedName>
    <definedName name="MICROE24_E">#REF!</definedName>
    <definedName name="MJ">#REF!</definedName>
    <definedName name="MJ_12">#REF!</definedName>
    <definedName name="MJ_34">#REF!</definedName>
    <definedName name="MJ_50">#REF!</definedName>
    <definedName name="ml§guofziůfzuů">#REF!</definedName>
    <definedName name="mn">[26]Rozp!$I$22</definedName>
    <definedName name="MO">#REF!</definedName>
    <definedName name="MO_12">#REF!</definedName>
    <definedName name="MO_34">#REF!</definedName>
    <definedName name="MO_50">#REF!</definedName>
    <definedName name="MOLLYKOTVY4LM4_A">#REF!</definedName>
    <definedName name="MOLLYKOTVY4LM4_B">#REF!</definedName>
    <definedName name="MOLLYKOTVY4LM4_C">#REF!</definedName>
    <definedName name="MOLLYKOTVY4LM4_D">#REF!</definedName>
    <definedName name="MOLLYKOTVY4LM4_E">#REF!</definedName>
    <definedName name="MOLLYKOTVY4SM4">#REF!</definedName>
    <definedName name="MOLLYKOTVY4SM4_A">#REF!</definedName>
    <definedName name="MOLLYKOTVY4SM4_B">#REF!</definedName>
    <definedName name="MOLLYKOTVY4SM4_C">#REF!</definedName>
    <definedName name="MOLLYKOTVY4SM4_D">#REF!</definedName>
    <definedName name="MOLLYKOTVY4SM4_E">#REF!</definedName>
    <definedName name="MOLLYKOTVY6LM5_A">#REF!</definedName>
    <definedName name="MOLLYKOTVY6LM5_B">#REF!</definedName>
    <definedName name="MOLLYKOTVY6LM5_C">#REF!</definedName>
    <definedName name="MOLLYKOTVY6LM5_D">#REF!</definedName>
    <definedName name="MOLLYKOTVY6LM5_E">#REF!</definedName>
    <definedName name="MOLLYKOTVY6SM5">#REF!</definedName>
    <definedName name="MOLLYKOTVY6SM5_A">#REF!</definedName>
    <definedName name="MOLLYKOTVY6SM5_B">#REF!</definedName>
    <definedName name="MOLLYKOTVY6SM5_C">#REF!</definedName>
    <definedName name="MOLLYKOTVY6SM5_D">#REF!</definedName>
    <definedName name="MOLLYKOTVY6SM5_E">#REF!</definedName>
    <definedName name="MOLLYKOTVY8LM6">#REF!</definedName>
    <definedName name="MOLLYKOTVY8LM6_A">#REF!</definedName>
    <definedName name="MOLLYKOTVY8LM6_B">#REF!</definedName>
    <definedName name="MOLLYKOTVY8LM6_C">#REF!</definedName>
    <definedName name="MOLLYKOTVY8LM6_D">#REF!</definedName>
    <definedName name="MOLLYKOTVY8LM6_E">#REF!</definedName>
    <definedName name="MOLLYKOTVY8SM6">#REF!</definedName>
    <definedName name="MOLLYKOTVY8SM6_A">#REF!</definedName>
    <definedName name="MOLLYKOTVY8SM6_B">#REF!</definedName>
    <definedName name="MOLLYKOTVY8SM6_C">#REF!</definedName>
    <definedName name="MOLLYKOTVY8SM6_D">#REF!</definedName>
    <definedName name="MOLLYKOTVY8SM6_E">#REF!</definedName>
    <definedName name="Mont">[17]Rekapitulace!$H$9</definedName>
    <definedName name="MONT_12">#REF!</definedName>
    <definedName name="MONT_34">#REF!</definedName>
    <definedName name="MONT_50">#REF!</definedName>
    <definedName name="Montaz0">[17]Položky!#REF!</definedName>
    <definedName name="MONTAZNIPENA">#REF!</definedName>
    <definedName name="MONTAZNIPENA_A">#REF!</definedName>
    <definedName name="MONTAZNIPENA_B">#REF!</definedName>
    <definedName name="MONTAZNIPENA_C">#REF!</definedName>
    <definedName name="MONTAZNIPENA_D">#REF!</definedName>
    <definedName name="MONTAZNIPENA_E">#REF!</definedName>
    <definedName name="MTG">'[5]SO 01 - 06 ELEKTROINSTALACE'!$B$9644</definedName>
    <definedName name="mts">#REF!</definedName>
    <definedName name="MZDY_1">#REF!</definedName>
    <definedName name="MZDY_10">#REF!</definedName>
    <definedName name="MZDY_11">#REF!</definedName>
    <definedName name="MZDY_12">#REF!</definedName>
    <definedName name="MZDY_13">#REF!</definedName>
    <definedName name="MZDY_14">#REF!</definedName>
    <definedName name="MZDY_15">#REF!</definedName>
    <definedName name="MZDY_16">#REF!</definedName>
    <definedName name="MZDY_17">#REF!</definedName>
    <definedName name="MZDY_18">#REF!</definedName>
    <definedName name="MZDY_19">#REF!</definedName>
    <definedName name="MZDY_2">#REF!</definedName>
    <definedName name="MZDY_20">#REF!</definedName>
    <definedName name="MZDY_21">#REF!</definedName>
    <definedName name="MZDY_22">#REF!</definedName>
    <definedName name="MZDY_23">#REF!</definedName>
    <definedName name="MZDY_24">#REF!</definedName>
    <definedName name="MZDY_25">#REF!</definedName>
    <definedName name="MZDY_26">#REF!</definedName>
    <definedName name="MZDY_27">#REF!</definedName>
    <definedName name="MZDY_28">#REF!</definedName>
    <definedName name="MZDY_29">#REF!</definedName>
    <definedName name="MZDY_3">#REF!</definedName>
    <definedName name="MZDY_4">#REF!</definedName>
    <definedName name="MZDY_5">#REF!</definedName>
    <definedName name="MZDY_6">#REF!</definedName>
    <definedName name="MZDY_7">#REF!</definedName>
    <definedName name="MZDY_8">#REF!</definedName>
    <definedName name="MZDY_9">#REF!</definedName>
    <definedName name="MZDY_A">#REF!</definedName>
    <definedName name="MZDY_B">#REF!</definedName>
    <definedName name="MZDY_C">#REF!</definedName>
    <definedName name="MZDY_DS_A">#REF!</definedName>
    <definedName name="NabCeny">#REF!</definedName>
    <definedName name="NabHlav1">#REF!</definedName>
    <definedName name="NabHlav2">#REF!</definedName>
    <definedName name="NabHlPříZač">#REF!</definedName>
    <definedName name="NabHRoz1">[24]Lbc!#REF!</definedName>
    <definedName name="NabHRoz2">[24]Lbc!#REF!</definedName>
    <definedName name="NabHRoz3">[24]Lbc!#REF!</definedName>
    <definedName name="NabProjekt">#REF!</definedName>
    <definedName name="NabPřehledCen">#REF!</definedName>
    <definedName name="NabSpecifikace">#REF!</definedName>
    <definedName name="nad">#REF!</definedName>
    <definedName name="NákladyProjekt">[24]Nákl!#REF!</definedName>
    <definedName name="NATLOUKACIHMOZDINKA635">#REF!</definedName>
    <definedName name="NATLOUKACIHMOZDINKA635_A">#REF!</definedName>
    <definedName name="NATLOUKACIHMOZDINKA635_B">#REF!</definedName>
    <definedName name="NATLOUKACIHMOZDINKA635_C">#REF!</definedName>
    <definedName name="NATLOUKACIHMOZDINKA635_D">#REF!</definedName>
    <definedName name="NATLOUKACIHMOZDINKA635_E">#REF!</definedName>
    <definedName name="NATLOUKACIHMOZDINKA645">#REF!</definedName>
    <definedName name="NATLOUKACIHMOZDINKA645_A">#REF!</definedName>
    <definedName name="NATLOUKACIHMOZDINKA645_B">#REF!</definedName>
    <definedName name="NATLOUKACIHMOZDINKA645_C">#REF!</definedName>
    <definedName name="NATLOUKACIHMOZDINKA645_D">#REF!</definedName>
    <definedName name="NATLOUKACIHMOZDINKA645_E">#REF!</definedName>
    <definedName name="NATLOUKACIHMOZDINKA660_A">#REF!</definedName>
    <definedName name="NATLOUKACIHMOZDINKA660_B">#REF!</definedName>
    <definedName name="NATLOUKACIHMOZDINKA660_C">#REF!</definedName>
    <definedName name="NATLOUKACIHMOZDINKA660_D">#REF!</definedName>
    <definedName name="NATLOUKACIHMOZDINKA660_E">#REF!</definedName>
    <definedName name="NATLOUKACIHMOZDINKA670">#REF!</definedName>
    <definedName name="NATLOUKACIHMOZDINKA670_A">#REF!</definedName>
    <definedName name="NATLOUKACIHMOZDINKA670_B">#REF!</definedName>
    <definedName name="NATLOUKACIHMOZDINKA670_C">#REF!</definedName>
    <definedName name="NATLOUKACIHMOZDINKA670_D">#REF!</definedName>
    <definedName name="NATLOUKACIHMOZDINKA670_E">#REF!</definedName>
    <definedName name="NATLOUKACIHMOZDINKYKDM_A">#REF!</definedName>
    <definedName name="NATLOUKACIHMOZDINKYKDM_B">#REF!</definedName>
    <definedName name="NATLOUKACIHMOZDINKYKDM_C">#REF!</definedName>
    <definedName name="NATLOUKACIHMOZDINKYKDM_D">#REF!</definedName>
    <definedName name="NATLOUKACIHMOZDINKYKDM_E">#REF!</definedName>
    <definedName name="NazevDilu">#REF!</definedName>
    <definedName name="nazevobjektu">#REF!</definedName>
    <definedName name="NazevRozpoctu">'[10]Krycí list'!$D$2</definedName>
    <definedName name="nazevstavby">#REF!</definedName>
    <definedName name="_xlnm.Print_Titles" localSheetId="0">Rekapitulace!$85:$85</definedName>
    <definedName name="_xlnm.Print_Titles" localSheetId="1">'SO.01 bourání a demolice'!$108:$108</definedName>
    <definedName name="_xlnm.Print_Titles" localSheetId="2">'SO.02 proluka'!#REF!</definedName>
    <definedName name="_xlnm.Print_Titles" localSheetId="3">'SO.03 dětské hřiště'!#REF!</definedName>
    <definedName name="_xlnm.Print_Titles" localSheetId="4">'SO.04 vyvýšené sezení'!$128:$128</definedName>
    <definedName name="_xlnm.Print_Titles" localSheetId="5">'SO.05 ohradní zeď'!#REF!</definedName>
    <definedName name="_xlnm.Print_Titles" localSheetId="6">'SO.06 sanace zdivo ZUŠ'!$108:$108</definedName>
    <definedName name="_xlnm.Print_Titles" localSheetId="8">'SO.07 přípojka vodovod'!$10:$10</definedName>
    <definedName name="_xlnm.Print_Titles" localSheetId="9">'SO.08 dešťová kanalizace'!$10:$10</definedName>
    <definedName name="_xlnm.Print_Titles" localSheetId="7">'SO.09 sadové úpravy'!$141:$141</definedName>
    <definedName name="_xlnm.Print_Titles" localSheetId="10">Specifikace!$110:$110</definedName>
    <definedName name="_xlnm.Print_Titles">"$#REF!.$A$1:$IV$2"</definedName>
    <definedName name="nbvc">#REF!</definedName>
    <definedName name="NIC">#REF!</definedName>
    <definedName name="NICOTA">#REF!</definedName>
    <definedName name="NONIUSCDCTYRBODOVYSPODNI">#REF!</definedName>
    <definedName name="NONIUSCDCTYRBODOVYSPODNI_A">#REF!</definedName>
    <definedName name="NONIUSCDCTYRBODOVYSPODNI_B">#REF!</definedName>
    <definedName name="NONIUSCDCTYRBODOVYSPODNI_C">#REF!</definedName>
    <definedName name="NONIUSCDCTYRBODOVYSPODNI_D">#REF!</definedName>
    <definedName name="NONIUSCDCTYRBODOVYSPODNI_E">#REF!</definedName>
    <definedName name="NONIUSHORNI240">#REF!</definedName>
    <definedName name="NONIUSHORNI240_A">#REF!</definedName>
    <definedName name="NONIUSHORNI240_B">#REF!</definedName>
    <definedName name="NONIUSHORNI240_C">#REF!</definedName>
    <definedName name="NONIUSHORNI240_D">#REF!</definedName>
    <definedName name="NONIUSHORNI240_E">#REF!</definedName>
    <definedName name="NONIUSHORNI340">#REF!</definedName>
    <definedName name="NONIUSHORNI340_A">#REF!</definedName>
    <definedName name="NONIUSHORNI340_B">#REF!</definedName>
    <definedName name="NONIUSHORNI340_C">#REF!</definedName>
    <definedName name="NONIUSHORNI340_D">#REF!</definedName>
    <definedName name="NONIUSHORNI340_E">#REF!</definedName>
    <definedName name="NONIUSHORNI640">#REF!</definedName>
    <definedName name="NONIUSHORNI640_A">#REF!</definedName>
    <definedName name="NONIUSHORNI640_B">#REF!</definedName>
    <definedName name="NONIUSHORNI640_C">#REF!</definedName>
    <definedName name="NONIUSHORNI640_D">#REF!</definedName>
    <definedName name="NONIUSHORNI640_E">#REF!</definedName>
    <definedName name="NONIUSHORNI840">#REF!</definedName>
    <definedName name="NONIUSHORNI840_A">#REF!</definedName>
    <definedName name="NONIUSHORNI840_B">#REF!</definedName>
    <definedName name="NONIUSHORNI840_C">#REF!</definedName>
    <definedName name="NONIUSHORNI840_D">#REF!</definedName>
    <definedName name="NONIUSHORNI840_E">#REF!</definedName>
    <definedName name="NONIUSSPODNIDIL">#REF!</definedName>
    <definedName name="NONIUSSPODNIDIL_A">#REF!</definedName>
    <definedName name="NONIUSSPODNIDIL_B">#REF!</definedName>
    <definedName name="NONIUSSPODNIDIL_C">#REF!</definedName>
    <definedName name="NONIUSSPODNIDIL_D">#REF!</definedName>
    <definedName name="NONIUSSPODNIDIL_E">#REF!</definedName>
    <definedName name="NONIUSZAVLACKA">#REF!</definedName>
    <definedName name="NONIUSZAVLACKA_A">#REF!</definedName>
    <definedName name="NONIUSZAVLACKA_B">#REF!</definedName>
    <definedName name="NONIUSZAVLACKA_C">#REF!</definedName>
    <definedName name="NONIUSZAVLACKA_D">#REF!</definedName>
    <definedName name="NONIUSZAVLACKA_E">#REF!</definedName>
    <definedName name="NOVATONEFISURED">[27]MATERIAL!$B$87</definedName>
    <definedName name="NOVATONEOLYMPIA">#REF!</definedName>
    <definedName name="NOVATONEOLYMPIA_A">#REF!</definedName>
    <definedName name="NOVATONEOLYMPIA_B">#REF!</definedName>
    <definedName name="NOVATONEOLYMPIA_C">#REF!</definedName>
    <definedName name="NOVATONEOLYMPIA_D">#REF!</definedName>
    <definedName name="NOVATONEOLYMPIA_E">#REF!</definedName>
    <definedName name="ob_8_30">#REF!</definedName>
    <definedName name="obch_sleva">#REF!</definedName>
    <definedName name="Objednatel">#REF!</definedName>
    <definedName name="Obklady_keramické">'[8]SO 11.1A Výkaz výměr'!#REF!</definedName>
    <definedName name="_xlnm.Print_Area" localSheetId="0">Rekapitulace!$C$2:$AP$70,Rekapitulace!$C$76:$AP$116</definedName>
    <definedName name="_xlnm.Print_Area" localSheetId="1">'SO.01 bourání a demolice'!$C$2:$Q$67,'SO.01 bourání a demolice'!$C$73:$Q$91,'SO.01 bourání a demolice'!$C$96:$Q$226</definedName>
    <definedName name="_xlnm.Print_Area" localSheetId="2">'SO.02 proluka'!$C$2:$Q$67,'SO.02 proluka'!$C$73:$Q$91,'SO.02 proluka'!$C$97:$Q$218</definedName>
    <definedName name="_xlnm.Print_Area" localSheetId="3">'SO.03 dětské hřiště'!$C$2:$Q$67,'SO.03 dětské hřiště'!$C$73:$Q$92,'SO.03 dětské hřiště'!$C$98:$Q$260</definedName>
    <definedName name="_xlnm.Print_Area" localSheetId="4">'SO.04 vyvýšené sezení'!$C$2:$Q$67,'SO.04 vyvýšené sezení'!$C$73:$Q$91,'SO.04 vyvýšené sezení'!$C$97:$Q$277</definedName>
    <definedName name="_xlnm.Print_Area" localSheetId="5">'SO.05 ohradní zeď'!$C$2:$Q$67,'SO.05 ohradní zeď'!$C$73:$Q$91,'SO.05 ohradní zeď'!$C$97:$Q$170</definedName>
    <definedName name="_xlnm.Print_Area" localSheetId="6">'SO.06 sanace zdivo ZUŠ'!$C$2:$Q$67,'SO.06 sanace zdivo ZUŠ'!$C$73:$Q$91,'SO.06 sanace zdivo ZUŠ'!$C$96:$Q$167</definedName>
    <definedName name="_xlnm.Print_Area" localSheetId="8">'SO.07 přípojka vodovod'!$A$1:$G$50</definedName>
    <definedName name="_xlnm.Print_Area" localSheetId="9">'SO.08 dešťová kanalizace'!$A$1:$G$64</definedName>
    <definedName name="_xlnm.Print_Area" localSheetId="7">'SO.09 sadové úpravy'!$C$2:$Q$67,'SO.09 sadové úpravy'!$C$73:$Q$90,'SO.09 sadové úpravy'!$C$96:$Q$170</definedName>
    <definedName name="_xlnm.Print_Area" localSheetId="10">Specifikace!$C$2:$Q$68,Specifikace!$C$74:$Q$93,Specifikace!$C$98:$Q$127</definedName>
    <definedName name="_xlnm.Print_Area">"$#REF!.$A$1:$L$260"</definedName>
    <definedName name="obvod_suteren">[28]Hrubá!$G$11</definedName>
    <definedName name="OBVODOVYPROFILF">#REF!</definedName>
    <definedName name="OBVODOVYPROFILF_A">#REF!</definedName>
    <definedName name="OBVODOVYPROFILF_B">#REF!</definedName>
    <definedName name="OBVODOVYPROFILF_C">#REF!</definedName>
    <definedName name="OBVODOVYPROFILF_D">#REF!</definedName>
    <definedName name="OBVODOVYPROFILF_E">#REF!</definedName>
    <definedName name="OBVODOVYPROFILF13">#REF!</definedName>
    <definedName name="OBVODOVYPROFILF13_A">#REF!</definedName>
    <definedName name="OBVODOVYPROFILF13_B">#REF!</definedName>
    <definedName name="OBVODOVYPROFILF13_C">#REF!</definedName>
    <definedName name="OBVODOVYPROFILF13_D">#REF!</definedName>
    <definedName name="OBVODOVYPROFILF13_E">#REF!</definedName>
    <definedName name="OBVODOVYPROFILF16_A">#REF!</definedName>
    <definedName name="OBVODOVYPROFILF16_B">#REF!</definedName>
    <definedName name="OBVODOVYPROFILF16_C">#REF!</definedName>
    <definedName name="OBVODOVYPROFILF16_D">#REF!</definedName>
    <definedName name="OBVODOVYPROFILF16_E">#REF!</definedName>
    <definedName name="OBVODOVYPROFILL">#REF!</definedName>
    <definedName name="OBVODOVYPROFILL_A">#REF!</definedName>
    <definedName name="OBVODOVYPROFILL_B">#REF!</definedName>
    <definedName name="OBVODOVYPROFILL_C">#REF!</definedName>
    <definedName name="OBVODOVYPROFILL_D">#REF!</definedName>
    <definedName name="OBVODOVYPROFILL_E">#REF!</definedName>
    <definedName name="OHEBNAHRANA30X34">#REF!</definedName>
    <definedName name="OHEBNAHRANA30X34_A">#REF!</definedName>
    <definedName name="OHEBNAHRANA30X34_B">#REF!</definedName>
    <definedName name="OHEBNAHRANA30X34_C">#REF!</definedName>
    <definedName name="OHEBNAHRANA30X34_D">#REF!</definedName>
    <definedName name="OHEBNAHRANA30X34_E">#REF!</definedName>
    <definedName name="OHEBNYPROFIL59X7">#REF!</definedName>
    <definedName name="OHEBNYPROFIL59X7_A">#REF!</definedName>
    <definedName name="OHEBNYPROFIL59X7_B">#REF!</definedName>
    <definedName name="OHEBNYPROFIL59X7_C">#REF!</definedName>
    <definedName name="OHEBNYPROFIL59X7_D">#REF!</definedName>
    <definedName name="OHEBNYPROFIL59X7_E">#REF!</definedName>
    <definedName name="okno">#REF!</definedName>
    <definedName name="okno_1">0</definedName>
    <definedName name="OKRAJOVAPASKATRS80">#REF!</definedName>
    <definedName name="OKRAJOVAPASKATRS80_A">#REF!</definedName>
    <definedName name="OKRAJOVAPASKATRS80_B">#REF!</definedName>
    <definedName name="OKRAJOVAPASKATRS80_C">#REF!</definedName>
    <definedName name="OKRAJOVAPASKATRS80_D">#REF!</definedName>
    <definedName name="OKRAJOVAPASKATRS80_E">#REF!</definedName>
    <definedName name="OP">#REF!</definedName>
    <definedName name="OP_12">#REF!</definedName>
    <definedName name="OP_34">#REF!</definedName>
    <definedName name="OP_50">#REF!</definedName>
    <definedName name="ORCAL_CLIP_IN">#REF!</definedName>
    <definedName name="ORCALCLIPIN_A">#REF!</definedName>
    <definedName name="ORCALCLIPIN_B">#REF!</definedName>
    <definedName name="ORCALCLIPIN_C">#REF!</definedName>
    <definedName name="ORCALCLIPIN_D">#REF!</definedName>
    <definedName name="ORCALCLIPIN_E">#REF!</definedName>
    <definedName name="ORSIL40KG40MM">#REF!</definedName>
    <definedName name="ORSIL40KG40MM_A">#REF!</definedName>
    <definedName name="ORSIL40KG40MM_B">#REF!</definedName>
    <definedName name="ORSIL40KG40MM_C">#REF!</definedName>
    <definedName name="ORSIL40KG40MM_D">#REF!</definedName>
    <definedName name="ORSIL40KG40MM_E">#REF!</definedName>
    <definedName name="ORSIL45KG50MM">#REF!</definedName>
    <definedName name="ORSIL45KG50MM_A">#REF!</definedName>
    <definedName name="ORSIL45KG50MM_B">#REF!</definedName>
    <definedName name="ORSIL45KG50MM_C">#REF!</definedName>
    <definedName name="ORSIL45KG50MM_D">#REF!</definedName>
    <definedName name="ORSIL45KG50MM_E">#REF!</definedName>
    <definedName name="ORSIL65KG50MM">#REF!</definedName>
    <definedName name="ORSIL65KG50MM_A">#REF!</definedName>
    <definedName name="ORSIL65KG50MM_B">#REF!</definedName>
    <definedName name="ORSIL65KG50MM_C">#REF!</definedName>
    <definedName name="ORSIL65KG50MM_D">#REF!</definedName>
    <definedName name="ORSIL65KG50MM_E">#REF!</definedName>
    <definedName name="Ostatní_výrobky">'[25]SO 51.4 Výkaz výměr'!#REF!</definedName>
    <definedName name="P">#REF!</definedName>
    <definedName name="PAPIROVAPASKA">#REF!</definedName>
    <definedName name="PAPIROVAPASKA_A">#REF!</definedName>
    <definedName name="PAPIROVAPASKA_B">#REF!</definedName>
    <definedName name="PAPIROVAPASKA_C">#REF!</definedName>
    <definedName name="PAPIROVAPASKA_D">#REF!</definedName>
    <definedName name="PAPIROVAPASKA_E">#REF!</definedName>
    <definedName name="Parametry">#REF!</definedName>
    <definedName name="PASEKKZAVESU_A">#REF!</definedName>
    <definedName name="PASEKKZAVESU_B">#REF!</definedName>
    <definedName name="PASEKKZAVESU_C">#REF!</definedName>
    <definedName name="PASEKKZAVESU_D">#REF!</definedName>
    <definedName name="PASEKKZAVESU_E">#REF!</definedName>
    <definedName name="PASKALEPICI">#REF!</definedName>
    <definedName name="PASKALEPICI_A">#REF!</definedName>
    <definedName name="PASKALEPICI_B">#REF!</definedName>
    <definedName name="PASKALEPICI_C">#REF!</definedName>
    <definedName name="PASKALEPICI_D">#REF!</definedName>
    <definedName name="PASKALEPICI_E">#REF!</definedName>
    <definedName name="PASKAOBOUSTRANNA">#REF!</definedName>
    <definedName name="PASKAOBOUSTRANNA_A">#REF!</definedName>
    <definedName name="PASKAOBOUSTRANNA_B">#REF!</definedName>
    <definedName name="PASKAOBOUSTRANNA_C">#REF!</definedName>
    <definedName name="PASKAOBOUSTRANNA_D">#REF!</definedName>
    <definedName name="PASKAOBOUSTRANNA_E">#REF!</definedName>
    <definedName name="PASKAPAROFOL">#REF!</definedName>
    <definedName name="PASKAPAROFOL_A">#REF!</definedName>
    <definedName name="PASKAPAROFOL_B">#REF!</definedName>
    <definedName name="PASKAPAROFOL_C">#REF!</definedName>
    <definedName name="PASKAPAROFOL_D">#REF!</definedName>
    <definedName name="PASKAPAROFOL_E">#REF!</definedName>
    <definedName name="PEFOLIE01">#REF!</definedName>
    <definedName name="PEFOLIE01_A">#REF!</definedName>
    <definedName name="PEFOLIE01_B">#REF!</definedName>
    <definedName name="PEFOLIE01_C">#REF!</definedName>
    <definedName name="PEFOLIE01_D">#REF!</definedName>
    <definedName name="PEFOLIE01_E">#REF!</definedName>
    <definedName name="PEFOLIE02">#REF!</definedName>
    <definedName name="PEFOLIE02_A">#REF!</definedName>
    <definedName name="PEFOLIE02_B">#REF!</definedName>
    <definedName name="PEFOLIE02_C">#REF!</definedName>
    <definedName name="PEFOLIE02_D">#REF!</definedName>
    <definedName name="PEFOLIE02_E">#REF!</definedName>
    <definedName name="Periferie">#REF!</definedName>
    <definedName name="PH">#REF!</definedName>
    <definedName name="pia">#REF!</definedName>
    <definedName name="PJ">#REF!</definedName>
    <definedName name="PJ_12">#REF!</definedName>
    <definedName name="PJ_34">#REF!</definedName>
    <definedName name="PJ_50">#REF!</definedName>
    <definedName name="PLECHPOZINK">#REF!</definedName>
    <definedName name="PLECHPOZINK_A">#REF!</definedName>
    <definedName name="PLECHPOZINK_B">#REF!</definedName>
    <definedName name="PLECHPOZINK_C">#REF!</definedName>
    <definedName name="PLECHPOZINK_D">#REF!</definedName>
    <definedName name="PLECHPOZINK_E">#REF!</definedName>
    <definedName name="pln">#REF!</definedName>
    <definedName name="plyn">[4]Budova!$A$917:$A$947</definedName>
    <definedName name="PN">#REF!</definedName>
    <definedName name="PN_12">#REF!</definedName>
    <definedName name="PN_34">#REF!</definedName>
    <definedName name="PN_50">#REF!</definedName>
    <definedName name="PO">#REF!</definedName>
    <definedName name="PO_12">#REF!</definedName>
    <definedName name="PO_34">#REF!</definedName>
    <definedName name="PO_50">#REF!</definedName>
    <definedName name="PocetMJ">#REF!</definedName>
    <definedName name="Podhl">'[25]SO 51.4 Výkaz výměr'!#REF!</definedName>
    <definedName name="Podhledy">'[8]SO 11.1A Výkaz výměr'!#REF!</definedName>
    <definedName name="PODHLEDY_1">#REF!</definedName>
    <definedName name="PODHLEDY_1_A">#REF!</definedName>
    <definedName name="PODHLEDY_1_B">#REF!</definedName>
    <definedName name="PODHLEDY_1_C">#REF!</definedName>
    <definedName name="PODHLEDY_1_D">#REF!</definedName>
    <definedName name="PODHLEDY_1_E">#REF!</definedName>
    <definedName name="PODHLEDY_1_M">#REF!</definedName>
    <definedName name="PODHLEDY_1_P">#REF!</definedName>
    <definedName name="PODHLEDY_10">#REF!</definedName>
    <definedName name="PODHLEDY_10_A">#REF!</definedName>
    <definedName name="PODHLEDY_10_B">#REF!</definedName>
    <definedName name="PODHLEDY_10_C">#REF!</definedName>
    <definedName name="PODHLEDY_10_D">#REF!</definedName>
    <definedName name="PODHLEDY_10_E">#REF!</definedName>
    <definedName name="PODHLEDY_10_M">#REF!</definedName>
    <definedName name="PODHLEDY_10_P">#REF!</definedName>
    <definedName name="PODHLEDY_11">#REF!</definedName>
    <definedName name="PODHLEDY_11_A">#REF!</definedName>
    <definedName name="PODHLEDY_11_B">#REF!</definedName>
    <definedName name="PODHLEDY_11_C">#REF!</definedName>
    <definedName name="PODHLEDY_11_D">#REF!</definedName>
    <definedName name="PODHLEDY_11_E">#REF!</definedName>
    <definedName name="PODHLEDY_11_M">#REF!</definedName>
    <definedName name="PODHLEDY_11_P">#REF!</definedName>
    <definedName name="PODHLEDY_12">#REF!</definedName>
    <definedName name="PODHLEDY_12_A">#REF!</definedName>
    <definedName name="PODHLEDY_12_B">#REF!</definedName>
    <definedName name="PODHLEDY_12_C">#REF!</definedName>
    <definedName name="PODHLEDY_12_D">#REF!</definedName>
    <definedName name="PODHLEDY_12_E">#REF!</definedName>
    <definedName name="PODHLEDY_12_M">#REF!</definedName>
    <definedName name="PODHLEDY_12_P">#REF!</definedName>
    <definedName name="PODHLEDY_13">#REF!</definedName>
    <definedName name="PODHLEDY_13_A">#REF!</definedName>
    <definedName name="PODHLEDY_13_B">#REF!</definedName>
    <definedName name="PODHLEDY_13_C">#REF!</definedName>
    <definedName name="PODHLEDY_13_D">#REF!</definedName>
    <definedName name="PODHLEDY_13_E">#REF!</definedName>
    <definedName name="PODHLEDY_13_M">#REF!</definedName>
    <definedName name="PODHLEDY_13_P">#REF!</definedName>
    <definedName name="PODHLEDY_14">#REF!</definedName>
    <definedName name="PODHLEDY_14_A">#REF!</definedName>
    <definedName name="PODHLEDY_14_B">#REF!</definedName>
    <definedName name="PODHLEDY_14_C">#REF!</definedName>
    <definedName name="PODHLEDY_14_D">#REF!</definedName>
    <definedName name="PODHLEDY_14_E">#REF!</definedName>
    <definedName name="PODHLEDY_14_M">#REF!</definedName>
    <definedName name="PODHLEDY_14_P">#REF!</definedName>
    <definedName name="PODHLEDY_15">#REF!</definedName>
    <definedName name="PODHLEDY_15_A">#REF!</definedName>
    <definedName name="PODHLEDY_15_B">#REF!</definedName>
    <definedName name="PODHLEDY_15_C">#REF!</definedName>
    <definedName name="PODHLEDY_15_D">#REF!</definedName>
    <definedName name="PODHLEDY_15_E">#REF!</definedName>
    <definedName name="PODHLEDY_15_M">#REF!</definedName>
    <definedName name="PODHLEDY_15_P">#REF!</definedName>
    <definedName name="PODHLEDY_16">#REF!</definedName>
    <definedName name="PODHLEDY_16_A">#REF!</definedName>
    <definedName name="PODHLEDY_16_B">#REF!</definedName>
    <definedName name="PODHLEDY_16_C">#REF!</definedName>
    <definedName name="PODHLEDY_16_D">#REF!</definedName>
    <definedName name="PODHLEDY_16_E">#REF!</definedName>
    <definedName name="PODHLEDY_16_M">#REF!</definedName>
    <definedName name="PODHLEDY_16_P">#REF!</definedName>
    <definedName name="PODHLEDY_17">#REF!</definedName>
    <definedName name="PODHLEDY_17_A">#REF!</definedName>
    <definedName name="PODHLEDY_17_B">#REF!</definedName>
    <definedName name="PODHLEDY_17_C">#REF!</definedName>
    <definedName name="PODHLEDY_17_D">#REF!</definedName>
    <definedName name="PODHLEDY_17_E">#REF!</definedName>
    <definedName name="PODHLEDY_17_M">#REF!</definedName>
    <definedName name="PODHLEDY_17_P">#REF!</definedName>
    <definedName name="PODHLEDY_18">#REF!</definedName>
    <definedName name="PODHLEDY_18_A">#REF!</definedName>
    <definedName name="PODHLEDY_18_B">#REF!</definedName>
    <definedName name="PODHLEDY_18_C">#REF!</definedName>
    <definedName name="PODHLEDY_18_D">#REF!</definedName>
    <definedName name="PODHLEDY_18_E">#REF!</definedName>
    <definedName name="PODHLEDY_18_M">#REF!</definedName>
    <definedName name="PODHLEDY_18_P">#REF!</definedName>
    <definedName name="PODHLEDY_19">#REF!</definedName>
    <definedName name="PODHLEDY_19_A">#REF!</definedName>
    <definedName name="PODHLEDY_19_B">#REF!</definedName>
    <definedName name="PODHLEDY_19_C">#REF!</definedName>
    <definedName name="PODHLEDY_19_D">#REF!</definedName>
    <definedName name="PODHLEDY_19_E">#REF!</definedName>
    <definedName name="PODHLEDY_19_M">#REF!</definedName>
    <definedName name="PODHLEDY_19_P">#REF!</definedName>
    <definedName name="PODHLEDY_2">#REF!</definedName>
    <definedName name="PODHLEDY_2_A">#REF!</definedName>
    <definedName name="PODHLEDY_2_B">#REF!</definedName>
    <definedName name="PODHLEDY_2_C">#REF!</definedName>
    <definedName name="PODHLEDY_2_D">#REF!</definedName>
    <definedName name="PODHLEDY_2_E">#REF!</definedName>
    <definedName name="PODHLEDY_2_M">#REF!</definedName>
    <definedName name="PODHLEDY_2_P">#REF!</definedName>
    <definedName name="PODHLEDY_20">#REF!</definedName>
    <definedName name="PODHLEDY_20_A">#REF!</definedName>
    <definedName name="PODHLEDY_20_B">#REF!</definedName>
    <definedName name="PODHLEDY_20_C">#REF!</definedName>
    <definedName name="PODHLEDY_20_D">#REF!</definedName>
    <definedName name="PODHLEDY_20_E">#REF!</definedName>
    <definedName name="PODHLEDY_20_M">#REF!</definedName>
    <definedName name="PODHLEDY_20_P">#REF!</definedName>
    <definedName name="PODHLEDY_21">#REF!</definedName>
    <definedName name="PODHLEDY_21_A">#REF!</definedName>
    <definedName name="PODHLEDY_21_B">#REF!</definedName>
    <definedName name="PODHLEDY_21_C">#REF!</definedName>
    <definedName name="PODHLEDY_21_D">#REF!</definedName>
    <definedName name="PODHLEDY_21_E">#REF!</definedName>
    <definedName name="PODHLEDY_21_M">#REF!</definedName>
    <definedName name="PODHLEDY_21_P">#REF!</definedName>
    <definedName name="PODHLEDY_22">#REF!</definedName>
    <definedName name="PODHLEDY_22_A">#REF!</definedName>
    <definedName name="PODHLEDY_22_B">#REF!</definedName>
    <definedName name="PODHLEDY_22_C">#REF!</definedName>
    <definedName name="PODHLEDY_22_D">#REF!</definedName>
    <definedName name="PODHLEDY_22_E">#REF!</definedName>
    <definedName name="PODHLEDY_22_M">#REF!</definedName>
    <definedName name="PODHLEDY_22_P">#REF!</definedName>
    <definedName name="PODHLEDY_23">#REF!</definedName>
    <definedName name="PODHLEDY_23_A">#REF!</definedName>
    <definedName name="PODHLEDY_23_B">#REF!</definedName>
    <definedName name="PODHLEDY_23_C">#REF!</definedName>
    <definedName name="PODHLEDY_23_D">#REF!</definedName>
    <definedName name="PODHLEDY_23_E">#REF!</definedName>
    <definedName name="PODHLEDY_23_M">#REF!</definedName>
    <definedName name="PODHLEDY_23_P">#REF!</definedName>
    <definedName name="PODHLEDY_24">#REF!</definedName>
    <definedName name="PODHLEDY_24_A">#REF!</definedName>
    <definedName name="PODHLEDY_24_B">#REF!</definedName>
    <definedName name="PODHLEDY_24_C">#REF!</definedName>
    <definedName name="PODHLEDY_24_D">#REF!</definedName>
    <definedName name="PODHLEDY_24_E">#REF!</definedName>
    <definedName name="PODHLEDY_24_M">#REF!</definedName>
    <definedName name="PODHLEDY_24_P">#REF!</definedName>
    <definedName name="PODHLEDY_25">#REF!</definedName>
    <definedName name="PODHLEDY_25_A">#REF!</definedName>
    <definedName name="PODHLEDY_25_B">#REF!</definedName>
    <definedName name="PODHLEDY_25_C">#REF!</definedName>
    <definedName name="PODHLEDY_25_D">#REF!</definedName>
    <definedName name="PODHLEDY_25_E">#REF!</definedName>
    <definedName name="PODHLEDY_25_M">#REF!</definedName>
    <definedName name="PODHLEDY_25_P">#REF!</definedName>
    <definedName name="PODHLEDY_26">#REF!</definedName>
    <definedName name="PODHLEDY_26_A">#REF!</definedName>
    <definedName name="PODHLEDY_26_B">#REF!</definedName>
    <definedName name="PODHLEDY_26_C">#REF!</definedName>
    <definedName name="PODHLEDY_26_D">#REF!</definedName>
    <definedName name="PODHLEDY_26_E">#REF!</definedName>
    <definedName name="PODHLEDY_26_M">#REF!</definedName>
    <definedName name="PODHLEDY_26_P">#REF!</definedName>
    <definedName name="PODHLEDY_3">#REF!</definedName>
    <definedName name="PODHLEDY_3_A">#REF!</definedName>
    <definedName name="PODHLEDY_3_B">#REF!</definedName>
    <definedName name="PODHLEDY_3_C">#REF!</definedName>
    <definedName name="PODHLEDY_3_D">#REF!</definedName>
    <definedName name="PODHLEDY_3_E">#REF!</definedName>
    <definedName name="PODHLEDY_3_M">#REF!</definedName>
    <definedName name="PODHLEDY_3_P">#REF!</definedName>
    <definedName name="PODHLEDY_4">#REF!</definedName>
    <definedName name="PODHLEDY_4_A">#REF!</definedName>
    <definedName name="PODHLEDY_4_B">#REF!</definedName>
    <definedName name="PODHLEDY_4_C">#REF!</definedName>
    <definedName name="PODHLEDY_4_D">#REF!</definedName>
    <definedName name="PODHLEDY_4_E">#REF!</definedName>
    <definedName name="PODHLEDY_4_M">#REF!</definedName>
    <definedName name="PODHLEDY_4_P">#REF!</definedName>
    <definedName name="PODHLEDY_5">#REF!</definedName>
    <definedName name="PODHLEDY_5_A">#REF!</definedName>
    <definedName name="PODHLEDY_5_B">#REF!</definedName>
    <definedName name="PODHLEDY_5_C">#REF!</definedName>
    <definedName name="PODHLEDY_5_D">#REF!</definedName>
    <definedName name="PODHLEDY_5_E">#REF!</definedName>
    <definedName name="PODHLEDY_5_M">#REF!</definedName>
    <definedName name="PODHLEDY_5_P">#REF!</definedName>
    <definedName name="PODHLEDY_6">#REF!</definedName>
    <definedName name="PODHLEDY_6_A">#REF!</definedName>
    <definedName name="PODHLEDY_6_B">#REF!</definedName>
    <definedName name="PODHLEDY_6_C">#REF!</definedName>
    <definedName name="PODHLEDY_6_D">#REF!</definedName>
    <definedName name="PODHLEDY_6_E">#REF!</definedName>
    <definedName name="PODHLEDY_6_M">#REF!</definedName>
    <definedName name="PODHLEDY_6_P">#REF!</definedName>
    <definedName name="PODHLEDY_7">#REF!</definedName>
    <definedName name="PODHLEDY_7_A">#REF!</definedName>
    <definedName name="PODHLEDY_7_B">#REF!</definedName>
    <definedName name="PODHLEDY_7_C">#REF!</definedName>
    <definedName name="PODHLEDY_7_D">#REF!</definedName>
    <definedName name="PODHLEDY_7_E">#REF!</definedName>
    <definedName name="PODHLEDY_7_M">#REF!</definedName>
    <definedName name="PODHLEDY_7_P">#REF!</definedName>
    <definedName name="PODHLEDY_8">#REF!</definedName>
    <definedName name="PODHLEDY_8_A">#REF!</definedName>
    <definedName name="PODHLEDY_8_B">#REF!</definedName>
    <definedName name="PODHLEDY_8_C">#REF!</definedName>
    <definedName name="PODHLEDY_8_D">#REF!</definedName>
    <definedName name="PODHLEDY_8_E">#REF!</definedName>
    <definedName name="PODHLEDY_8_M">#REF!</definedName>
    <definedName name="PODHLEDY_8_P">#REF!</definedName>
    <definedName name="PODHLEDY_9">#REF!</definedName>
    <definedName name="PODHLEDY_9_A">#REF!</definedName>
    <definedName name="PODHLEDY_9_B">#REF!</definedName>
    <definedName name="PODHLEDY_9_C">#REF!</definedName>
    <definedName name="PODHLEDY_9_D">#REF!</definedName>
    <definedName name="PODHLEDY_9_E">#REF!</definedName>
    <definedName name="PODHLEDY_9_M">#REF!</definedName>
    <definedName name="PODHLEDY_9_P">#REF!</definedName>
    <definedName name="PODKR_1">#REF!</definedName>
    <definedName name="PODKR_1_A">#REF!</definedName>
    <definedName name="PODKR_1_B">#REF!</definedName>
    <definedName name="PODKR_1_C">#REF!</definedName>
    <definedName name="PODKR_1_D">#REF!</definedName>
    <definedName name="PODKR_1_E">#REF!</definedName>
    <definedName name="PODKR_1_M">#REF!</definedName>
    <definedName name="PODKR_1_P">#REF!</definedName>
    <definedName name="PODKR_10">#REF!</definedName>
    <definedName name="PODKR_10_A">#REF!</definedName>
    <definedName name="PODKR_10_B">#REF!</definedName>
    <definedName name="PODKR_10_C">#REF!</definedName>
    <definedName name="PODKR_10_D">#REF!</definedName>
    <definedName name="PODKR_10_E">#REF!</definedName>
    <definedName name="PODKR_10_M">#REF!</definedName>
    <definedName name="PODKR_10_P">#REF!</definedName>
    <definedName name="PODKR_2">#REF!</definedName>
    <definedName name="PODKR_2_A">#REF!</definedName>
    <definedName name="PODKR_2_B">#REF!</definedName>
    <definedName name="PODKR_2_C">#REF!</definedName>
    <definedName name="PODKR_2_D">#REF!</definedName>
    <definedName name="PODKR_2_E">#REF!</definedName>
    <definedName name="PODKR_2_M">#REF!</definedName>
    <definedName name="PODKR_2_P">#REF!</definedName>
    <definedName name="PODKR_3">#REF!</definedName>
    <definedName name="PODKR_3_A">#REF!</definedName>
    <definedName name="PODKR_3_B">#REF!</definedName>
    <definedName name="PODKR_3_C">#REF!</definedName>
    <definedName name="PODKR_3_D">#REF!</definedName>
    <definedName name="PODKR_3_E">#REF!</definedName>
    <definedName name="PODKR_3_M">#REF!</definedName>
    <definedName name="PODKR_3_P">#REF!</definedName>
    <definedName name="PODKR_4">#REF!</definedName>
    <definedName name="PODKR_4_A">#REF!</definedName>
    <definedName name="PODKR_4_B">#REF!</definedName>
    <definedName name="PODKR_4_C">#REF!</definedName>
    <definedName name="PODKR_4_D">#REF!</definedName>
    <definedName name="PODKR_4_E">#REF!</definedName>
    <definedName name="PODKR_4_M">#REF!</definedName>
    <definedName name="PODKR_4_P">#REF!</definedName>
    <definedName name="PODKR_5">#REF!</definedName>
    <definedName name="PODKR_5_A">#REF!</definedName>
    <definedName name="PODKR_5_B">#REF!</definedName>
    <definedName name="PODKR_5_C">#REF!</definedName>
    <definedName name="PODKR_5_D">#REF!</definedName>
    <definedName name="PODKR_5_E">#REF!</definedName>
    <definedName name="PODKR_5_M">#REF!</definedName>
    <definedName name="PODKR_5_P">#REF!</definedName>
    <definedName name="PODKR_6">#REF!</definedName>
    <definedName name="PODKR_6_A">#REF!</definedName>
    <definedName name="PODKR_6_B">#REF!</definedName>
    <definedName name="PODKR_6_C">#REF!</definedName>
    <definedName name="PODKR_6_D">#REF!</definedName>
    <definedName name="PODKR_6_E">#REF!</definedName>
    <definedName name="PODKR_6_M">#REF!</definedName>
    <definedName name="PODKR_6_P">#REF!</definedName>
    <definedName name="PODKR_7">#REF!</definedName>
    <definedName name="PODKR_7_A">#REF!</definedName>
    <definedName name="PODKR_7_B">#REF!</definedName>
    <definedName name="PODKR_7_C">#REF!</definedName>
    <definedName name="PODKR_7_D">#REF!</definedName>
    <definedName name="PODKR_7_E">#REF!</definedName>
    <definedName name="PODKR_7_M">#REF!</definedName>
    <definedName name="PODKR_7_P">#REF!</definedName>
    <definedName name="PODKR_8">#REF!</definedName>
    <definedName name="PODKR_8_A">#REF!</definedName>
    <definedName name="PODKR_8_B">#REF!</definedName>
    <definedName name="PODKR_8_C">#REF!</definedName>
    <definedName name="PODKR_8_D">#REF!</definedName>
    <definedName name="PODKR_8_E">#REF!</definedName>
    <definedName name="PODKR_8_M">#REF!</definedName>
    <definedName name="PODKR_8_P">#REF!</definedName>
    <definedName name="PODKR_9">#REF!</definedName>
    <definedName name="PODKR_9_A">#REF!</definedName>
    <definedName name="PODKR_9_B">#REF!</definedName>
    <definedName name="PODKR_9_C">#REF!</definedName>
    <definedName name="PODKR_9_D">#REF!</definedName>
    <definedName name="PODKR_9_E">#REF!</definedName>
    <definedName name="PODKR_9_M">#REF!</definedName>
    <definedName name="PODKR_9_P">#REF!</definedName>
    <definedName name="PODLAHY_1">#REF!</definedName>
    <definedName name="PODLAHY_1_A">#REF!</definedName>
    <definedName name="PODLAHY_1_B">#REF!</definedName>
    <definedName name="PODLAHY_1_C">#REF!</definedName>
    <definedName name="PODLAHY_1_D">#REF!</definedName>
    <definedName name="PODLAHY_1_E">#REF!</definedName>
    <definedName name="PODLAHY_1_M">#REF!</definedName>
    <definedName name="PODLAHY_1_P">#REF!</definedName>
    <definedName name="PODLAHY_2">#REF!</definedName>
    <definedName name="PODLAHY_2_A">#REF!</definedName>
    <definedName name="PODLAHY_2_B">#REF!</definedName>
    <definedName name="PODLAHY_2_C">#REF!</definedName>
    <definedName name="PODLAHY_2_D">#REF!</definedName>
    <definedName name="PODLAHY_2_E">#REF!</definedName>
    <definedName name="PODLAHY_2_M">#REF!</definedName>
    <definedName name="PODLAHY_2_P">#REF!</definedName>
    <definedName name="PODLAHY_3">#REF!</definedName>
    <definedName name="PODLAHY_3_A">#REF!</definedName>
    <definedName name="PODLAHY_3_B">#REF!</definedName>
    <definedName name="PODLAHY_3_C">#REF!</definedName>
    <definedName name="PODLAHY_3_D">#REF!</definedName>
    <definedName name="PODLAHY_3_E">#REF!</definedName>
    <definedName name="PODLAHY_3_M">#REF!</definedName>
    <definedName name="PODLAHY_3_P">#REF!</definedName>
    <definedName name="PODLAHY_4">#REF!</definedName>
    <definedName name="PODLAHY_4_A">#REF!</definedName>
    <definedName name="PODLAHY_4_B">#REF!</definedName>
    <definedName name="PODLAHY_4_C">#REF!</definedName>
    <definedName name="PODLAHY_4_D">#REF!</definedName>
    <definedName name="PODLAHY_4_E">#REF!</definedName>
    <definedName name="PODLAHY_4_M">#REF!</definedName>
    <definedName name="PODLAHY_4_P">#REF!</definedName>
    <definedName name="PODLAHY_5">#REF!</definedName>
    <definedName name="PODLAHY_5_A">#REF!</definedName>
    <definedName name="PODLAHY_5_B">#REF!</definedName>
    <definedName name="PODLAHY_5_C">#REF!</definedName>
    <definedName name="PODLAHY_5_D">#REF!</definedName>
    <definedName name="PODLAHY_5_E">#REF!</definedName>
    <definedName name="PODLAHY_5_M">#REF!</definedName>
    <definedName name="PODLAHY_5_P">#REF!</definedName>
    <definedName name="PODLAHY_6">#REF!</definedName>
    <definedName name="PODLAHY_6_A">#REF!</definedName>
    <definedName name="PODLAHY_6_B">#REF!</definedName>
    <definedName name="PODLAHY_6_C">#REF!</definedName>
    <definedName name="PODLAHY_6_D">#REF!</definedName>
    <definedName name="PODLAHY_6_E">#REF!</definedName>
    <definedName name="PODLAHY_6_M">#REF!</definedName>
    <definedName name="PODLAHY_6_P">#REF!</definedName>
    <definedName name="podpoložky">'[29]Rekap.  SO 02'!$A$9:$E$20,'[29]Rekap.  SO 02'!$A$22:$E$23,'[29]Rekap.  SO 02'!$A$30:$E$31,'[29]Rekap.  SO 02'!$A$34:$E$35,'[29]Rekap.  SO 02'!$A$37:$E$39,'[29]Rekap.  SO 02'!$A$41:$E$42</definedName>
    <definedName name="podw">'[30]Rob. elektr.'!#REF!</definedName>
    <definedName name="poiui">#REF!</definedName>
    <definedName name="pokus">#REF!,#REF!</definedName>
    <definedName name="pokusAAAA">#REF!</definedName>
    <definedName name="pokusadres">#REF!</definedName>
    <definedName name="položka_A1">#REF!</definedName>
    <definedName name="pom_výp_zač">#REF!</definedName>
    <definedName name="pom_výpočty">#REF!</definedName>
    <definedName name="Popis">#REF!</definedName>
    <definedName name="Popisky1">#REF!</definedName>
    <definedName name="Popisky2">#REF!</definedName>
    <definedName name="poslední">#REF!</definedName>
    <definedName name="POSUVNYZAVESCDCTYRBODOVY">#REF!</definedName>
    <definedName name="POSUVNYZAVESCDCTYRBODOVY_A">#REF!</definedName>
    <definedName name="POSUVNYZAVESCDCTYRBODOVY_B">#REF!</definedName>
    <definedName name="POSUVNYZAVESCDCTYRBODOVY_C">#REF!</definedName>
    <definedName name="POSUVNYZAVESCDCTYRBODOVY_D">#REF!</definedName>
    <definedName name="POSUVNYZAVESCDCTYRBODOVY_E">#REF!</definedName>
    <definedName name="POSUVNYZAVESCDPLOCHY_A">#REF!</definedName>
    <definedName name="POSUVNYZAVESCDPLOCHY_B">#REF!</definedName>
    <definedName name="POSUVNYZAVESCDPLOCHY_C">#REF!</definedName>
    <definedName name="POSUVNYZAVESCDPLOCHY_D">#REF!</definedName>
    <definedName name="POSUVNYZAVESCDPLOCHY_E">#REF!</definedName>
    <definedName name="Poznamka">#REF!</definedName>
    <definedName name="pp">#REF!</definedName>
    <definedName name="ppppp">#REF!</definedName>
    <definedName name="PREDS_1">#REF!</definedName>
    <definedName name="PREDS_1_A">#REF!</definedName>
    <definedName name="PREDS_1_B">#REF!</definedName>
    <definedName name="PREDS_1_C">#REF!</definedName>
    <definedName name="PREDS_1_D">#REF!</definedName>
    <definedName name="PREDS_1_E">#REF!</definedName>
    <definedName name="PREDS_1_M">#REF!</definedName>
    <definedName name="PREDS_1_P">#REF!</definedName>
    <definedName name="PREDS_10">#REF!</definedName>
    <definedName name="PREDS_10_A">#REF!</definedName>
    <definedName name="PREDS_10_B">#REF!</definedName>
    <definedName name="PREDS_10_C">#REF!</definedName>
    <definedName name="PREDS_10_D">#REF!</definedName>
    <definedName name="PREDS_10_E">#REF!</definedName>
    <definedName name="PREDS_10_M">#REF!</definedName>
    <definedName name="PREDS_10_P">#REF!</definedName>
    <definedName name="PREDS_11">#REF!</definedName>
    <definedName name="PREDS_11_A">#REF!</definedName>
    <definedName name="PREDS_11_B">#REF!</definedName>
    <definedName name="PREDS_11_C">#REF!</definedName>
    <definedName name="PREDS_11_D">#REF!</definedName>
    <definedName name="PREDS_11_E">#REF!</definedName>
    <definedName name="PREDS_11_M">#REF!</definedName>
    <definedName name="PREDS_11_P">#REF!</definedName>
    <definedName name="PREDS_12">#REF!</definedName>
    <definedName name="PREDS_12_A">#REF!</definedName>
    <definedName name="PREDS_12_B">#REF!</definedName>
    <definedName name="PREDS_12_C">#REF!</definedName>
    <definedName name="PREDS_12_D">#REF!</definedName>
    <definedName name="PREDS_12_E">#REF!</definedName>
    <definedName name="PREDS_12_M">#REF!</definedName>
    <definedName name="PREDS_12_P">#REF!</definedName>
    <definedName name="PREDS_13">#REF!</definedName>
    <definedName name="PREDS_13_A">#REF!</definedName>
    <definedName name="PREDS_13_B">#REF!</definedName>
    <definedName name="PREDS_13_C">#REF!</definedName>
    <definedName name="PREDS_13_D">#REF!</definedName>
    <definedName name="PREDS_13_E">#REF!</definedName>
    <definedName name="PREDS_13_M">#REF!</definedName>
    <definedName name="PREDS_13_P">#REF!</definedName>
    <definedName name="PREDS_14">#REF!</definedName>
    <definedName name="PREDS_14_A">#REF!</definedName>
    <definedName name="PREDS_14_B">#REF!</definedName>
    <definedName name="PREDS_14_C">#REF!</definedName>
    <definedName name="PREDS_14_D">#REF!</definedName>
    <definedName name="PREDS_14_E">#REF!</definedName>
    <definedName name="PREDS_14_M">#REF!</definedName>
    <definedName name="PREDS_14_P">#REF!</definedName>
    <definedName name="PREDS_15">#REF!</definedName>
    <definedName name="PREDS_15_A">#REF!</definedName>
    <definedName name="PREDS_15_B">#REF!</definedName>
    <definedName name="PREDS_15_C">#REF!</definedName>
    <definedName name="PREDS_15_D">#REF!</definedName>
    <definedName name="PREDS_15_E">#REF!</definedName>
    <definedName name="PREDS_15_M">#REF!</definedName>
    <definedName name="PREDS_15_P">#REF!</definedName>
    <definedName name="PREDS_16">#REF!</definedName>
    <definedName name="PREDS_16_A">#REF!</definedName>
    <definedName name="PREDS_16_B">#REF!</definedName>
    <definedName name="PREDS_16_C">#REF!</definedName>
    <definedName name="PREDS_16_D">#REF!</definedName>
    <definedName name="PREDS_16_E">#REF!</definedName>
    <definedName name="PREDS_16_M">#REF!</definedName>
    <definedName name="PREDS_16_P">#REF!</definedName>
    <definedName name="PREDS_17">#REF!</definedName>
    <definedName name="PREDS_17_A">#REF!</definedName>
    <definedName name="PREDS_17_B">#REF!</definedName>
    <definedName name="PREDS_17_C">#REF!</definedName>
    <definedName name="PREDS_17_D">#REF!</definedName>
    <definedName name="PREDS_17_E">#REF!</definedName>
    <definedName name="PREDS_17_M">#REF!</definedName>
    <definedName name="PREDS_17_P">#REF!</definedName>
    <definedName name="PREDS_18">#REF!</definedName>
    <definedName name="PREDS_18_A">#REF!</definedName>
    <definedName name="PREDS_18_B">#REF!</definedName>
    <definedName name="PREDS_18_D">#REF!</definedName>
    <definedName name="PREDS_18_E">#REF!</definedName>
    <definedName name="PREDS_18_M">#REF!</definedName>
    <definedName name="PREDS_18_P">#REF!</definedName>
    <definedName name="PREDS_19">#REF!</definedName>
    <definedName name="PREDS_19_A">#REF!</definedName>
    <definedName name="PREDS_19_B">#REF!</definedName>
    <definedName name="PREDS_19_C">#REF!</definedName>
    <definedName name="PREDS_19_D">#REF!</definedName>
    <definedName name="PREDS_19_E">#REF!</definedName>
    <definedName name="PREDS_19_M">#REF!</definedName>
    <definedName name="PREDS_19_P">#REF!</definedName>
    <definedName name="PREDS_2">#REF!</definedName>
    <definedName name="PREDS_2_A">#REF!</definedName>
    <definedName name="PREDS_2_B">#REF!</definedName>
    <definedName name="PREDS_2_C">#REF!</definedName>
    <definedName name="PREDS_2_D">#REF!</definedName>
    <definedName name="PREDS_2_E">#REF!</definedName>
    <definedName name="PREDS_2_M">#REF!</definedName>
    <definedName name="PREDS_2_P">#REF!</definedName>
    <definedName name="PREDS_3">#REF!</definedName>
    <definedName name="PREDS_3_A">#REF!</definedName>
    <definedName name="PREDS_3_B">#REF!</definedName>
    <definedName name="PREDS_3_C">#REF!</definedName>
    <definedName name="PREDS_3_D">#REF!</definedName>
    <definedName name="PREDS_3_E">#REF!</definedName>
    <definedName name="PREDS_3_M">#REF!</definedName>
    <definedName name="PREDS_3_P">#REF!</definedName>
    <definedName name="PREDS_4">#REF!</definedName>
    <definedName name="PREDS_4_A">#REF!</definedName>
    <definedName name="PREDS_4_B">#REF!</definedName>
    <definedName name="PREDS_4_C">#REF!</definedName>
    <definedName name="PREDS_4_D">#REF!</definedName>
    <definedName name="PREDS_4_E">#REF!</definedName>
    <definedName name="PREDS_4_M">#REF!</definedName>
    <definedName name="PREDS_4_P">#REF!</definedName>
    <definedName name="PREDS_5">#REF!</definedName>
    <definedName name="PREDS_5_A">#REF!</definedName>
    <definedName name="PREDS_5_B">#REF!</definedName>
    <definedName name="PREDS_5_C">#REF!</definedName>
    <definedName name="PREDS_5_D">#REF!</definedName>
    <definedName name="PREDS_5_E">#REF!</definedName>
    <definedName name="PREDS_5_M">#REF!</definedName>
    <definedName name="PREDS_5_P">#REF!</definedName>
    <definedName name="PREDS_6">#REF!</definedName>
    <definedName name="PREDS_6_A">#REF!</definedName>
    <definedName name="PREDS_6_B">#REF!</definedName>
    <definedName name="PREDS_6_C">#REF!</definedName>
    <definedName name="PREDS_6_D">#REF!</definedName>
    <definedName name="PREDS_6_E">#REF!</definedName>
    <definedName name="PREDS_6_M">#REF!</definedName>
    <definedName name="PREDS_6_P">#REF!</definedName>
    <definedName name="PREDS_7">#REF!</definedName>
    <definedName name="PREDS_7_A">#REF!</definedName>
    <definedName name="PREDS_7_B">#REF!</definedName>
    <definedName name="PREDS_7_C">#REF!</definedName>
    <definedName name="PREDS_7_D">#REF!</definedName>
    <definedName name="PREDS_7_E">#REF!</definedName>
    <definedName name="PREDS_7_M">#REF!</definedName>
    <definedName name="PREDS_7_P">#REF!</definedName>
    <definedName name="PREDS_8">#REF!</definedName>
    <definedName name="PREDS_8_A">#REF!</definedName>
    <definedName name="PREDS_8_B">#REF!</definedName>
    <definedName name="PREDS_8_C">#REF!</definedName>
    <definedName name="PREDS_8_D">#REF!</definedName>
    <definedName name="PREDS_8_E">#REF!</definedName>
    <definedName name="PREDS_8_M">#REF!</definedName>
    <definedName name="PREDS_8_P">#REF!</definedName>
    <definedName name="PREDS_9">#REF!</definedName>
    <definedName name="PREDS_9_A">#REF!</definedName>
    <definedName name="PREDS_9_B">#REF!</definedName>
    <definedName name="PREDS_9_C">#REF!</definedName>
    <definedName name="PREDS_9_D">#REF!</definedName>
    <definedName name="PREDS_9_E">#REF!</definedName>
    <definedName name="PREDS_9_M">#REF!</definedName>
    <definedName name="PREDS_9_P">#REF!</definedName>
    <definedName name="PREDSAZ_14">#REF!</definedName>
    <definedName name="prep_rekap">#REF!</definedName>
    <definedName name="prep_schem">#REF!</definedName>
    <definedName name="PRICNYPROFILT151200">#REF!</definedName>
    <definedName name="PRICNYPROFILT151200_A">#REF!</definedName>
    <definedName name="PRICNYPROFILT151200_B">#REF!</definedName>
    <definedName name="PRICNYPROFILT151200_C">#REF!</definedName>
    <definedName name="PRICNYPROFILT151200_D">#REF!</definedName>
    <definedName name="PRICNYPROFILT151200_E">#REF!</definedName>
    <definedName name="PRICNYPROFILT15600">#REF!</definedName>
    <definedName name="PRICNYPROFILT15600_A">#REF!</definedName>
    <definedName name="PRICNYPROFILT15600_B">#REF!</definedName>
    <definedName name="PRICNYPROFILT15600_C">#REF!</definedName>
    <definedName name="PRICNYPROFILT15600_D">#REF!</definedName>
    <definedName name="PRICNYPROFILT15600_E">#REF!</definedName>
    <definedName name="PRICNYPROFILT241200">#REF!</definedName>
    <definedName name="PRICNYPROFILT241200_A">#REF!</definedName>
    <definedName name="PRICNYPROFILT241200_B">#REF!</definedName>
    <definedName name="PRICNYPROFILT241200_C">#REF!</definedName>
    <definedName name="PRICNYPROFILT241200_D">#REF!</definedName>
    <definedName name="PRICNYPROFILT241200_E">#REF!</definedName>
    <definedName name="PRICNYPROFILT24600">#REF!</definedName>
    <definedName name="PRICNYPROFILT24600_A">#REF!</definedName>
    <definedName name="PRICNYPROFILT24600_B">#REF!</definedName>
    <definedName name="PRICNYPROFILT24600_C">#REF!</definedName>
    <definedName name="PRICNYPROFILT24600_D">#REF!</definedName>
    <definedName name="PRICNYPROFILT24600_E">#REF!</definedName>
    <definedName name="PRICHYTKAPENDEX">#REF!</definedName>
    <definedName name="PRICHYTKAPENDEX_A">#REF!</definedName>
    <definedName name="PRICHYTKAPENDEX_B">#REF!</definedName>
    <definedName name="PRICHYTKAPENDEX_C">#REF!</definedName>
    <definedName name="PRICHYTKAPENDEX_D">#REF!</definedName>
    <definedName name="PRICHYTKAPENDEX_E">#REF!</definedName>
    <definedName name="PRICHYTNASVORKA32">#REF!</definedName>
    <definedName name="PRICHYTNASVORKA32_A">#REF!</definedName>
    <definedName name="PRICHYTNASVORKA32_B">#REF!</definedName>
    <definedName name="PRICHYTNASVORKA32_C">#REF!</definedName>
    <definedName name="PRICHYTNASVORKA32_D">#REF!</definedName>
    <definedName name="PRICHYTNASVORKA32_E">#REF!</definedName>
    <definedName name="PRICHYTNASVORKA50">#REF!</definedName>
    <definedName name="PRICHYTNASVORKA50_A">#REF!</definedName>
    <definedName name="PRICHYTNASVORKA50_B">#REF!</definedName>
    <definedName name="PRICHYTNASVORKA50_C">#REF!</definedName>
    <definedName name="PRICHYTNASVORKA50_D">#REF!</definedName>
    <definedName name="PRICHYTNASVORKA50_E">#REF!</definedName>
    <definedName name="PRIMA_DUNAPLUSMICROLOOK">#REF!</definedName>
    <definedName name="PRIMA_PLAIN_MICROLOOK">#REF!</definedName>
    <definedName name="PRIMAADRIA">#REF!</definedName>
    <definedName name="PRIMAADRIA_A">#REF!</definedName>
    <definedName name="PRIMAADRIA_B">#REF!</definedName>
    <definedName name="PRIMAADRIA_C">#REF!</definedName>
    <definedName name="PRIMAADRIA_D">#REF!</definedName>
    <definedName name="PRIMAADRIA_E">#REF!</definedName>
    <definedName name="PRIMAADRIAT">#REF!</definedName>
    <definedName name="PRIMAADRIAT_A">#REF!</definedName>
    <definedName name="PRIMAADRIAT_B">#REF!</definedName>
    <definedName name="PRIMAADRIAT_C">#REF!</definedName>
    <definedName name="PRIMAADRIAT_D">#REF!</definedName>
    <definedName name="PRIMAADRIAT_E">#REF!</definedName>
    <definedName name="PRIMACASA">#REF!</definedName>
    <definedName name="PRIMACASA_">#REF!</definedName>
    <definedName name="PRIMACASA_A">#REF!</definedName>
    <definedName name="PRIMACASA_B">#REF!</definedName>
    <definedName name="PRIMACASA_C">#REF!</definedName>
    <definedName name="PRIMACASA_D">#REF!</definedName>
    <definedName name="PRIMACASA_E">#REF!</definedName>
    <definedName name="PRIMADUNAPLUSMICROLOOK_A">#REF!</definedName>
    <definedName name="PRIMADUNAPLUSMICROLOOK_B">#REF!</definedName>
    <definedName name="PRIMADUNAPLUSMICROLOOK_C">#REF!</definedName>
    <definedName name="PRIMADUNAPLUSMICROLOOK_D">#REF!</definedName>
    <definedName name="PRIMADUNAPLUSMICROLOOK_E">#REF!</definedName>
    <definedName name="PRIMADUNEPLUS">#REF!</definedName>
    <definedName name="PRIMADUNEPLUS_A">#REF!</definedName>
    <definedName name="PRIMADUNEPLUS_B">#REF!</definedName>
    <definedName name="PRIMADUNEPLUS_C">#REF!</definedName>
    <definedName name="PRIMADUNEPLUS_D">#REF!</definedName>
    <definedName name="PRIMADUNEPLUS_E">#REF!</definedName>
    <definedName name="PRIMADUNEPLUST">#REF!</definedName>
    <definedName name="PRIMADUNEPLUST_A">#REF!</definedName>
    <definedName name="PRIMADUNEPLUST_B">#REF!</definedName>
    <definedName name="PRIMADUNEPLUST_C">#REF!</definedName>
    <definedName name="PRIMADUNEPLUST_D">#REF!</definedName>
    <definedName name="PRIMADUNEPLUST_E">#REF!</definedName>
    <definedName name="PRIMAFISSUREDT">#REF!</definedName>
    <definedName name="PRIMAFISSUREDT_A">#REF!</definedName>
    <definedName name="PRIMAFISSUREDT_B">#REF!</definedName>
    <definedName name="PRIMAFISSUREDT_C">#REF!</definedName>
    <definedName name="PRIMAFISSUREDT_D">#REF!</definedName>
    <definedName name="PRIMAFISSUREDT_E">#REF!</definedName>
    <definedName name="PRIMAFISURED">#REF!</definedName>
    <definedName name="PRIMAFISURED_A">#REF!</definedName>
    <definedName name="PRIMAFISURED_B">#REF!</definedName>
    <definedName name="PRIMAFISURED_C">#REF!</definedName>
    <definedName name="PRIMAFISURED_D">#REF!</definedName>
    <definedName name="PRIMAFISURED_E">#REF!</definedName>
    <definedName name="PRIMAPLAIN">#REF!</definedName>
    <definedName name="PRIMAPLAIN_A">#REF!</definedName>
    <definedName name="PRIMAPLAIN_B">#REF!</definedName>
    <definedName name="PRIMAPLAIN_C">#REF!</definedName>
    <definedName name="PRIMAPLAIN_D">#REF!</definedName>
    <definedName name="PRIMAPLAIN_E">#REF!</definedName>
    <definedName name="PRIMAPLAINMICROLOOK_A">#REF!</definedName>
    <definedName name="PRIMAPLAINMICROLOOK_B">#REF!</definedName>
    <definedName name="PRIMAPLAINMICROLOOK_C">#REF!</definedName>
    <definedName name="PRIMAPLAINMICROLOOK_D">#REF!</definedName>
    <definedName name="PRIMAPLAINMICROLOOK_E">#REF!</definedName>
    <definedName name="PRIMYZAVES125">#REF!</definedName>
    <definedName name="PRIMYZAVES125_A">#REF!</definedName>
    <definedName name="PRIMYZAVES125_B">#REF!</definedName>
    <definedName name="PRIMYZAVES125_C">#REF!</definedName>
    <definedName name="PRIMYZAVES125_D">#REF!</definedName>
    <definedName name="PRIMYZAVES125_E">#REF!</definedName>
    <definedName name="PRIMYZAVES60">#REF!</definedName>
    <definedName name="PRIMYZAVES60_A">#REF!</definedName>
    <definedName name="PRIMYZAVES60_B">#REF!</definedName>
    <definedName name="PRIMYZAVES60_C">#REF!</definedName>
    <definedName name="PRIMYZAVES60_D">#REF!</definedName>
    <definedName name="PRIMYZAVES60_E">#REF!</definedName>
    <definedName name="PRIMYZAVESRIGISTIL125">#REF!</definedName>
    <definedName name="PRIMYZAVESRIGISTIL125_A">#REF!</definedName>
    <definedName name="PRIMYZAVESRIGISTIL125_B">#REF!</definedName>
    <definedName name="PRIMYZAVESRIGISTIL125_C">#REF!</definedName>
    <definedName name="PRIMYZAVESRIGISTIL125_D">#REF!</definedName>
    <definedName name="PRIMYZAVESRIGISTIL125_E">#REF!</definedName>
    <definedName name="PRIMYZAVESRIGISTIL75">#REF!</definedName>
    <definedName name="PRIMYZAVESRIGISTIL75_A">#REF!</definedName>
    <definedName name="PRIMYZAVESRIGISTIL75_B">#REF!</definedName>
    <definedName name="PRIMYZAVESRIGISTIL75_C">#REF!</definedName>
    <definedName name="PRIMYZAVESRIGISTIL75_D">#REF!</definedName>
    <definedName name="PRIMYZAVESRIGISTIL75_E">#REF!</definedName>
    <definedName name="Print_Area">#REF!</definedName>
    <definedName name="Print_Titles">#REF!</definedName>
    <definedName name="PRIPOJUHELNIKUA50">#REF!</definedName>
    <definedName name="PRIPOJUHELNIKUA50_A">#REF!</definedName>
    <definedName name="PRIPOJUHELNIKUA50_B">#REF!</definedName>
    <definedName name="PRIPOJUHELNIKUA50_C">#REF!</definedName>
    <definedName name="PRIPOJUHELNIKUA50_D">#REF!</definedName>
    <definedName name="PRIPOJUHELNIKUA50_E">#REF!</definedName>
    <definedName name="PRIPOJUHELNIKUA75100">#REF!</definedName>
    <definedName name="PRIPOJUHELNIKUA75100_A">#REF!</definedName>
    <definedName name="PRIPOJUHELNIKUA75100_B">#REF!</definedName>
    <definedName name="PRIPOJUHELNIKUA75100_C">#REF!</definedName>
    <definedName name="PRIPOJUHELNIKUA75100_D">#REF!</definedName>
    <definedName name="PRIPOJUHELNIKUA75100_E">#REF!</definedName>
    <definedName name="Procenta">#REF!</definedName>
    <definedName name="PROFILC146S50">#REF!</definedName>
    <definedName name="PROFILC146S50_A">#REF!</definedName>
    <definedName name="PROFILC146S50_B">#REF!</definedName>
    <definedName name="PROFILC146S50_C">#REF!</definedName>
    <definedName name="PROFILC146S50_D">#REF!</definedName>
    <definedName name="PROFILC146S50_E">#REF!</definedName>
    <definedName name="PROFILC95S12">#REF!</definedName>
    <definedName name="PROFILC95S12_A">#REF!</definedName>
    <definedName name="PROFILC95S12_B">#REF!</definedName>
    <definedName name="PROFILC95S12_C">#REF!</definedName>
    <definedName name="PROFILC95S12_D">#REF!</definedName>
    <definedName name="PROFILC95S12_E">#REF!</definedName>
    <definedName name="PROFILSPAROVY13X27">#REF!</definedName>
    <definedName name="PROFILSPAROVY13X27_A">#REF!</definedName>
    <definedName name="PROFILSPAROVY13X27_B">#REF!</definedName>
    <definedName name="PROFILSPAROVY13X27_C">#REF!</definedName>
    <definedName name="PROFILSPAROVY13X27_D">#REF!</definedName>
    <definedName name="PROFILSPAROVY13X27_E">#REF!</definedName>
    <definedName name="PROFILSPAROVY13X27MM">#REF!</definedName>
    <definedName name="PROFINMIX">#REF!</definedName>
    <definedName name="PROFINMIX_A">#REF!</definedName>
    <definedName name="PROFINMIX_B">#REF!</definedName>
    <definedName name="PROFINMIX_C">#REF!</definedName>
    <definedName name="PROFINMIX_D">#REF!</definedName>
    <definedName name="PROFINMIX_E">#REF!</definedName>
    <definedName name="Projektant">#REF!</definedName>
    <definedName name="prva">#REF!</definedName>
    <definedName name="Přehled">#REF!</definedName>
    <definedName name="Přehled_1">0</definedName>
    <definedName name="Přehled_2">#REF!</definedName>
    <definedName name="PřehledCen">#REF!</definedName>
    <definedName name="Přirážka">#REF!</definedName>
    <definedName name="PřirážkaLippok">[31]LON!#REF!</definedName>
    <definedName name="PSV">[17]Rekapitulace!$F$9</definedName>
    <definedName name="PSV0">[17]Položky!#REF!</definedName>
    <definedName name="PT">#REF!</definedName>
    <definedName name="Q">#REF!</definedName>
    <definedName name="QQ">#REF!</definedName>
    <definedName name="QQQ">#REF!</definedName>
    <definedName name="qqqqqq">#REF!</definedName>
    <definedName name="qwe">#REF!</definedName>
    <definedName name="qwefgerg">#REF!</definedName>
    <definedName name="r_zie_dop">#REF!</definedName>
    <definedName name="r_zie_m">#REF!</definedName>
    <definedName name="r_zie_r">#REF!</definedName>
    <definedName name="Rabat">#REF!</definedName>
    <definedName name="Rabat_skupina">#REF!</definedName>
    <definedName name="Rabatová_skupina">#REF!</definedName>
    <definedName name="RB12.5">#REF!</definedName>
    <definedName name="RB12.5_A">#REF!</definedName>
    <definedName name="RB12.5_B">#REF!</definedName>
    <definedName name="RB12.5_C">#REF!</definedName>
    <definedName name="RB12.5_D">#REF!</definedName>
    <definedName name="RB12.5_E">#REF!</definedName>
    <definedName name="RB15_A">#REF!</definedName>
    <definedName name="RB15_B">#REF!</definedName>
    <definedName name="RB15_C">#REF!</definedName>
    <definedName name="RB15_D">#REF!</definedName>
    <definedName name="RB15_E">#REF!</definedName>
    <definedName name="RB9.5">#REF!</definedName>
    <definedName name="RB9.5_A">#REF!</definedName>
    <definedName name="RB9.5_B">#REF!</definedName>
    <definedName name="RB9.5_C">#REF!</definedName>
    <definedName name="RB9.5_D">#REF!</definedName>
    <definedName name="RB9.5_E">#REF!</definedName>
    <definedName name="RBI12.5">#REF!</definedName>
    <definedName name="RBI12.5_A">#REF!</definedName>
    <definedName name="RBI12.5_B">#REF!</definedName>
    <definedName name="RBI12.5_C">#REF!</definedName>
    <definedName name="RBI12.5_D">#REF!</definedName>
    <definedName name="RBI12.5_E">#REF!</definedName>
    <definedName name="RBI15_A">#REF!</definedName>
    <definedName name="RBI15_B">#REF!</definedName>
    <definedName name="RBI15_C">#REF!</definedName>
    <definedName name="RBI15_D">#REF!</definedName>
    <definedName name="RBI15_E">#REF!</definedName>
    <definedName name="re">#REF!</definedName>
    <definedName name="Reference">#REF!</definedName>
    <definedName name="REKAPITULACE">'[8]SO 11.1A Výkaz výměr'!#REF!</definedName>
    <definedName name="REKAPITULACE_2">'[8]SO 11.1A Výkaz výměr'!#REF!</definedName>
    <definedName name="rergerg">#REF!</definedName>
    <definedName name="ret">#REF!</definedName>
    <definedName name="rez">#REF!</definedName>
    <definedName name="RF12.5">#REF!</definedName>
    <definedName name="RF12.5_A">#REF!</definedName>
    <definedName name="RF12.5_B">#REF!</definedName>
    <definedName name="RF12.5_C">#REF!</definedName>
    <definedName name="RF12.5_D">#REF!</definedName>
    <definedName name="RF12.5_E">#REF!</definedName>
    <definedName name="RF15_A">#REF!</definedName>
    <definedName name="RF15_B">#REF!</definedName>
    <definedName name="RF15_C">#REF!</definedName>
    <definedName name="RF15_D">#REF!</definedName>
    <definedName name="RF15_E">#REF!</definedName>
    <definedName name="RF18_A">#REF!</definedName>
    <definedName name="RF18_B">#REF!</definedName>
    <definedName name="RF18_C">#REF!</definedName>
    <definedName name="RF18_D">#REF!</definedName>
    <definedName name="RF18_E">#REF!</definedName>
    <definedName name="RF20_A">#REF!</definedName>
    <definedName name="RF20_B">#REF!</definedName>
    <definedName name="RF20_C">#REF!</definedName>
    <definedName name="RF20_D">#REF!</definedName>
    <definedName name="RF20_E">#REF!</definedName>
    <definedName name="RF25_A">#REF!</definedName>
    <definedName name="RF25_B">#REF!</definedName>
    <definedName name="RF25_C">#REF!</definedName>
    <definedName name="RF25_D">#REF!</definedName>
    <definedName name="RF25_E">#REF!</definedName>
    <definedName name="RFI12.5">#REF!</definedName>
    <definedName name="RFI12.5_A">#REF!</definedName>
    <definedName name="RFI12.5_B">#REF!</definedName>
    <definedName name="RFI12.5_C">#REF!</definedName>
    <definedName name="RFI12.5_D">#REF!</definedName>
    <definedName name="RFI12.5_E">#REF!</definedName>
    <definedName name="RFI15_A">#REF!</definedName>
    <definedName name="RFI15_B">#REF!</definedName>
    <definedName name="RFI15_C">#REF!</definedName>
    <definedName name="RFI15_D">#REF!</definedName>
    <definedName name="RFI15_E">#REF!</definedName>
    <definedName name="rg">#REF!</definedName>
    <definedName name="Rídící_systém">#REF!</definedName>
    <definedName name="RIDURIT15">#REF!</definedName>
    <definedName name="RIDURIT15_A">#REF!</definedName>
    <definedName name="RIDURIT15_B">#REF!</definedName>
    <definedName name="RIDURIT15_C">#REF!</definedName>
    <definedName name="RIDURIT15_D">#REF!</definedName>
    <definedName name="RIDURIT15_E">#REF!</definedName>
    <definedName name="RIDURIT20">#REF!</definedName>
    <definedName name="RIDURIT20_A">#REF!</definedName>
    <definedName name="RIDURIT20_B">#REF!</definedName>
    <definedName name="RIDURIT20_C">#REF!</definedName>
    <definedName name="RIDURIT20_D">#REF!</definedName>
    <definedName name="RIDURIT20_E">#REF!</definedName>
    <definedName name="RIDURIT25">#REF!</definedName>
    <definedName name="RIDURIT25_A">#REF!</definedName>
    <definedName name="RIDURIT25_B">#REF!</definedName>
    <definedName name="RIDURIT25_C">#REF!</definedName>
    <definedName name="RIDURIT25_D">#REF!</definedName>
    <definedName name="RIDURIT25_E">#REF!</definedName>
    <definedName name="RIFLEX10">#REF!</definedName>
    <definedName name="RIFLEX10_A">#REF!</definedName>
    <definedName name="RIFLEX10_B">#REF!</definedName>
    <definedName name="RIFLEX10_C">#REF!</definedName>
    <definedName name="RIFLEX10_D">#REF!</definedName>
    <definedName name="RIFLEX10_E">#REF!</definedName>
    <definedName name="RIFLEX12.5">#REF!</definedName>
    <definedName name="RIFLEX12.5_A">#REF!</definedName>
    <definedName name="RIFLEX12.5_B">#REF!</definedName>
    <definedName name="RIFLEX12.5_C">#REF!</definedName>
    <definedName name="RIFLEX12.5_D">#REF!</definedName>
    <definedName name="RIFLEX12.5_E">#REF!</definedName>
    <definedName name="RIFLEX6">#REF!</definedName>
    <definedName name="RIFLEX6_A">#REF!</definedName>
    <definedName name="RIFLEX6_B">#REF!</definedName>
    <definedName name="RIFLEX6_C">#REF!</definedName>
    <definedName name="RIFLEX6_D">#REF!</definedName>
    <definedName name="RIFLEX6_E">#REF!</definedName>
    <definedName name="RIGIDUR">#REF!</definedName>
    <definedName name="RIGIDUR_A">#REF!</definedName>
    <definedName name="RIGIDUR_B">#REF!</definedName>
    <definedName name="RIGIDUR_C">#REF!</definedName>
    <definedName name="RIGIDUR_D">#REF!</definedName>
    <definedName name="RIGIDUR_E">#REF!</definedName>
    <definedName name="RIGIDUR10MF">#REF!</definedName>
    <definedName name="RIGIDUR10MF_A">#REF!</definedName>
    <definedName name="RIGIDUR10MF_B">#REF!</definedName>
    <definedName name="RIGIDUR10MF_C">#REF!</definedName>
    <definedName name="RIGIDUR10MF_D">#REF!</definedName>
    <definedName name="RIGIDUR10MF_E">#REF!</definedName>
    <definedName name="RIGIDUR10MM">#REF!</definedName>
    <definedName name="RIGIDUR10MM_A">#REF!</definedName>
    <definedName name="RIGIDUR10MM_B">#REF!</definedName>
    <definedName name="RIGIDUR10MM_C">#REF!</definedName>
    <definedName name="RIGIDUR10MM_D">#REF!</definedName>
    <definedName name="RIGIDUR10MM_E">#REF!</definedName>
    <definedName name="RIGIDUR12.5MM">#REF!</definedName>
    <definedName name="RIGIDUR12.5MM_A">#REF!</definedName>
    <definedName name="RIGIDUR12.5MM_B">#REF!</definedName>
    <definedName name="RIGIDUR12.5MM_C">#REF!</definedName>
    <definedName name="RIGIDUR12.5MM_D">#REF!</definedName>
    <definedName name="RIGIDUR12.5MM_E">#REF!</definedName>
    <definedName name="RIGIDUR20PS">#REF!</definedName>
    <definedName name="RIGIDUR20PS_A">#REF!</definedName>
    <definedName name="RIGIDUR20PS_B">#REF!</definedName>
    <definedName name="RIGIDUR20PS_C">#REF!</definedName>
    <definedName name="RIGIDUR20PS_D">#REF!</definedName>
    <definedName name="RIGIDUR20PS_E">#REF!</definedName>
    <definedName name="RIGIDUR30PS">#REF!</definedName>
    <definedName name="RIGIDUR30PS_A">#REF!</definedName>
    <definedName name="RIGIDUR30PS_B">#REF!</definedName>
    <definedName name="RIGIDUR30PS_C">#REF!</definedName>
    <definedName name="RIGIDUR30PS_D">#REF!</definedName>
    <definedName name="RIGIDUR30PS_E">#REF!</definedName>
    <definedName name="RIGIPLAN">#REF!</definedName>
    <definedName name="RIGIPLAN_A">#REF!</definedName>
    <definedName name="RIGIPLAN_B">#REF!</definedName>
    <definedName name="RIGIPLAN_C">#REF!</definedName>
    <definedName name="RIGIPLAN_D">#REF!</definedName>
    <definedName name="RIGIPLAN_E">#REF!</definedName>
    <definedName name="RIGIPLAN10MF">#REF!</definedName>
    <definedName name="RIGIPLAN10MF_A">#REF!</definedName>
    <definedName name="RIGIPLAN10MF_B">#REF!</definedName>
    <definedName name="RIGIPLAN10MF_C">#REF!</definedName>
    <definedName name="RIGIPLAN10MF_D">#REF!</definedName>
    <definedName name="RIGIPLAN10MF_E">#REF!</definedName>
    <definedName name="RIGIPLAN125">#REF!</definedName>
    <definedName name="RIGIPLAN125_A">#REF!</definedName>
    <definedName name="RIGIPLAN125_B">#REF!</definedName>
    <definedName name="RIGIPLAN125_C">#REF!</definedName>
    <definedName name="RIGIPLAN125_D">#REF!</definedName>
    <definedName name="RIGIPLAN125_E">#REF!</definedName>
    <definedName name="RIGIPLAN20PS">#REF!</definedName>
    <definedName name="RIGIPLAN20PS_A">#REF!</definedName>
    <definedName name="RIGIPLAN20PS_B">#REF!</definedName>
    <definedName name="RIGIPLAN20PS_C">#REF!</definedName>
    <definedName name="RIGIPLAN20PS_D">#REF!</definedName>
    <definedName name="RIGIPLAN20PS_E">#REF!</definedName>
    <definedName name="RIGIPLANLEPIDLO_A">#REF!</definedName>
    <definedName name="RIGIPLANLEPIDLO_B">#REF!</definedName>
    <definedName name="RIGIPLANLEPIDLO_C">#REF!</definedName>
    <definedName name="RIGIPLANLEPIDLO_D">#REF!</definedName>
    <definedName name="RIGIPLANLEPIDLO_E">#REF!</definedName>
    <definedName name="RIGIPLANSTERKA">#REF!</definedName>
    <definedName name="RIGIPLANSTERKA_A">#REF!</definedName>
    <definedName name="RIGIPLANSTERKA_B">#REF!</definedName>
    <definedName name="RIGIPLANSTERKA_C">#REF!</definedName>
    <definedName name="RIGIPLANSTERKA_D">#REF!</definedName>
    <definedName name="RIGIPLANSTERKA_E">#REF!</definedName>
    <definedName name="RIGISTILCD">#REF!</definedName>
    <definedName name="RIGISTILCD_A">#REF!</definedName>
    <definedName name="RIGISTILCD_B">#REF!</definedName>
    <definedName name="RIGISTILCD_C">#REF!</definedName>
    <definedName name="RIGISTILCD_D">#REF!</definedName>
    <definedName name="RIGISTILCD_E">#REF!</definedName>
    <definedName name="RIGISTILUD">#REF!</definedName>
    <definedName name="RIGISTILUD_A">#REF!</definedName>
    <definedName name="RIGISTILUD_B">#REF!</definedName>
    <definedName name="RIGISTILUD_C">#REF!</definedName>
    <definedName name="RIGISTILUD_D">#REF!</definedName>
    <definedName name="RIGISTILUD_E">#REF!</definedName>
    <definedName name="RIGITHERM20NF_A">#REF!</definedName>
    <definedName name="RIGITHERM20NF_B">#REF!</definedName>
    <definedName name="RIGITHERM20NF_C">#REF!</definedName>
    <definedName name="RIGITHERM20NF_D">#REF!</definedName>
    <definedName name="RIGITHERM20NF_E">#REF!</definedName>
    <definedName name="RIGITHERM20PS">#REF!</definedName>
    <definedName name="RIGITHERM20PS_A">#REF!</definedName>
    <definedName name="RIGITHERM20PS_B">#REF!</definedName>
    <definedName name="RIGITHERM20PS_C">#REF!</definedName>
    <definedName name="RIGITHERM20PS_D">#REF!</definedName>
    <definedName name="RIGITHERM20PS_E">#REF!</definedName>
    <definedName name="RIGITHERM30PS">#REF!</definedName>
    <definedName name="RIGITHERM30PS_A">#REF!</definedName>
    <definedName name="RIGITHERM30PS_B">#REF!</definedName>
    <definedName name="RIGITHERM30PS_C">#REF!</definedName>
    <definedName name="RIGITHERM30PS_D">#REF!</definedName>
    <definedName name="RIGITHERM30PS_E">#REF!</definedName>
    <definedName name="RIGITHERM40PS">#REF!</definedName>
    <definedName name="RIGITHERM40PS_A">#REF!</definedName>
    <definedName name="RIGITHERM40PS_B">#REF!</definedName>
    <definedName name="RIGITHERM40PS_C">#REF!</definedName>
    <definedName name="RIGITHERM40PS_D">#REF!</definedName>
    <definedName name="RIGITHERM40PS_E">#REF!</definedName>
    <definedName name="RIGITHERM50PS">#REF!</definedName>
    <definedName name="RIGITHERM50PS_A">#REF!</definedName>
    <definedName name="RIGITHERM50PS_B">#REF!</definedName>
    <definedName name="RIGITHERM50PS_C">#REF!</definedName>
    <definedName name="RIGITHERM50PS_D">#REF!</definedName>
    <definedName name="RIGITHERM50PS_E">#REF!</definedName>
    <definedName name="RIGITHERM60PS">#REF!</definedName>
    <definedName name="RIGITHERM60PS_A">#REF!</definedName>
    <definedName name="RIGITHERM60PS_B">#REF!</definedName>
    <definedName name="RIGITHERM60PS_C">#REF!</definedName>
    <definedName name="RIGITHERM60PS_D">#REF!</definedName>
    <definedName name="RIGITHERM60PS_E">#REF!</definedName>
    <definedName name="RIGITHERM70PS">#REF!</definedName>
    <definedName name="RIGITHERM70PS_A">#REF!</definedName>
    <definedName name="RIGITHERM70PS_B">#REF!</definedName>
    <definedName name="RIGITHERM70PS_C">#REF!</definedName>
    <definedName name="RIGITHERM70PS_D">#REF!</definedName>
    <definedName name="RIGITHERM70PS_E">#REF!</definedName>
    <definedName name="RM">[21]dodav!$B:$D</definedName>
    <definedName name="rmn">[22]dodav!$B:$D</definedName>
    <definedName name="RMVIMPERK">[23]mont!$B:$D</definedName>
    <definedName name="Rok_nabídky">#REF!</definedName>
    <definedName name="Rok_nabídky_1">0</definedName>
    <definedName name="Rok_nabídky_2">#REF!</definedName>
    <definedName name="rozp_X">#REF!,#REF!,#REF!,#REF!,#REF!,#REF!,#REF!,#REF!,#REF!,#REF!,#REF!,#REF!,#REF!,#REF!,#REF!,#REF!,#REF!,#REF!,#REF!,#REF!</definedName>
    <definedName name="Rozpočet">#REF!</definedName>
    <definedName name="rozvržení_rozp">#REF!</definedName>
    <definedName name="RV">#REF!</definedName>
    <definedName name="RYCHLOSROUB2123525">#REF!</definedName>
    <definedName name="RYCHLOSROUB2123525_A">#REF!</definedName>
    <definedName name="RYCHLOSROUB2123525_B">#REF!</definedName>
    <definedName name="RYCHLOSROUB2123525_C">#REF!</definedName>
    <definedName name="RYCHLOSROUB2123525_D">#REF!</definedName>
    <definedName name="RYCHLOSROUB2123525_E">#REF!</definedName>
    <definedName name="RYCHLOSROUB2123535">#REF!</definedName>
    <definedName name="RYCHLOSROUB2123535_A">#REF!</definedName>
    <definedName name="RYCHLOSROUB2123535_B">#REF!</definedName>
    <definedName name="RYCHLOSROUB2123535_C">#REF!</definedName>
    <definedName name="RYCHLOSROUB2123535_D">#REF!</definedName>
    <definedName name="RYCHLOSROUB2123535_E">#REF!</definedName>
    <definedName name="RYCHLOSROUB2123545">#REF!</definedName>
    <definedName name="RYCHLOSROUB2123545_A">#REF!</definedName>
    <definedName name="RYCHLOSROUB2123545_B">#REF!</definedName>
    <definedName name="RYCHLOSROUB2123545_C">#REF!</definedName>
    <definedName name="RYCHLOSROUB2123545_D">#REF!</definedName>
    <definedName name="RYCHLOSROUB2123545_E">#REF!</definedName>
    <definedName name="RYCHLOSROUB2123555">#REF!</definedName>
    <definedName name="RYCHLOSROUB2123555_A">#REF!</definedName>
    <definedName name="RYCHLOSROUB2123555_B">#REF!</definedName>
    <definedName name="RYCHLOSROUB2123555_C">#REF!</definedName>
    <definedName name="RYCHLOSROUB2123555_D">#REF!</definedName>
    <definedName name="RYCHLOSROUB2123555_E">#REF!</definedName>
    <definedName name="RYCHLOZAVESKAZETOVY">#REF!</definedName>
    <definedName name="RYCHLOZAVESKAZETOVY_A">#REF!</definedName>
    <definedName name="RYCHLOZAVESKAZETOVY_B">#REF!</definedName>
    <definedName name="RYCHLOZAVESKAZETOVY_C">#REF!</definedName>
    <definedName name="RYCHLOZAVESKAZETOVY_D">#REF!</definedName>
    <definedName name="RYCHLOZAVESKAZETOVY_E">#REF!</definedName>
    <definedName name="RYCHLOZAVESPEROVY">#REF!</definedName>
    <definedName name="RYCHLOZAVESPEROVY_A">#REF!</definedName>
    <definedName name="RYCHLOZAVESPEROVY_B">#REF!</definedName>
    <definedName name="RYCHLOZAVESPEROVY_C">#REF!</definedName>
    <definedName name="RYCHLOZAVESPEROVY_D">#REF!</definedName>
    <definedName name="RYCHLOZAVESPEROVY_E">#REF!</definedName>
    <definedName name="RYCHLOZAVESPEROVYCTYRBODOVY">#REF!</definedName>
    <definedName name="RYCHLOZAVESPEROVYCTYRBODOVY_A">#REF!</definedName>
    <definedName name="RYCHLOZAVESPEROVYCTYRBODOVY_B">#REF!</definedName>
    <definedName name="RYCHLOZAVESPEROVYCTYRBODOVY_C">#REF!</definedName>
    <definedName name="RYCHLOZAVESPEROVYCTYRBODOVY_D">#REF!</definedName>
    <definedName name="RYCHLOZAVESPEROVYCTYRBODOVY_E">#REF!</definedName>
    <definedName name="RYCHLOZAVESPEROVYDREVO">#REF!</definedName>
    <definedName name="RYCHLOZAVESPEROVYDREVO_A">#REF!</definedName>
    <definedName name="RYCHLOZAVESPEROVYDREVO_B">#REF!</definedName>
    <definedName name="RYCHLOZAVESPEROVYDREVO_C">#REF!</definedName>
    <definedName name="RYCHLOZAVESPEROVYDREVO_D">#REF!</definedName>
    <definedName name="RYCHLOZAVESPEROVYDREVO_E">#REF!</definedName>
    <definedName name="S">#REF!</definedName>
    <definedName name="Sádrokartonové_konstrukce">'[8]SO 11.1A Výkaz výměr'!#REF!</definedName>
    <definedName name="SAMOLEPICIPASKA">#REF!</definedName>
    <definedName name="SAMOLEPICIPASKA_A">#REF!</definedName>
    <definedName name="SAMOLEPICIPASKA_B">#REF!</definedName>
    <definedName name="SAMOLEPICIPASKA_C">#REF!</definedName>
    <definedName name="SAMOLEPICIPASKA_D">#REF!</definedName>
    <definedName name="SAMOLEPICIPASKA_E">#REF!</definedName>
    <definedName name="SazbaDPH1">'[10]Krycí list'!$C$30</definedName>
    <definedName name="SazbaDPH2">'[10]Krycí list'!$C$32</definedName>
    <definedName name="SC">#REF!</definedName>
    <definedName name="SC_12">#REF!</definedName>
    <definedName name="SC_34">#REF!</definedName>
    <definedName name="SC_50">#REF!</definedName>
    <definedName name="sd">[32]MaR!#REF!</definedName>
    <definedName name="sdf">#REF!</definedName>
    <definedName name="sfasdfa">#REF!</definedName>
    <definedName name="SILIKON">#REF!</definedName>
    <definedName name="SILIKON_A">#REF!</definedName>
    <definedName name="SILIKON_B">#REF!</definedName>
    <definedName name="SILIKON_C">#REF!</definedName>
    <definedName name="SILIKON_D">#REF!</definedName>
    <definedName name="SILIKON_E">#REF!</definedName>
    <definedName name="SILIKONSANITARNI">#REF!</definedName>
    <definedName name="SILIKONSANITARNI_A">#REF!</definedName>
    <definedName name="SILIKONSANITARNI_B">#REF!</definedName>
    <definedName name="SILIKONSANITARNI_C">#REF!</definedName>
    <definedName name="SILIKONSANITARNI_D">#REF!</definedName>
    <definedName name="SILIKONSANITARNI_E">#REF!</definedName>
    <definedName name="silnoproud">[4]Budova!$A$950:$A$1397</definedName>
    <definedName name="SKELNAPASKA">#REF!</definedName>
    <definedName name="SKELNAPASKA_A">#REF!</definedName>
    <definedName name="SKELNAPASKA_B">#REF!</definedName>
    <definedName name="SKELNAPASKA_C">#REF!</definedName>
    <definedName name="SKELNAPASKA_D">#REF!</definedName>
    <definedName name="SKELNAPASKA_E">#REF!</definedName>
    <definedName name="Sklad">#REF!</definedName>
    <definedName name="skuska">#N/A</definedName>
    <definedName name="Sl_sk_1">#REF!</definedName>
    <definedName name="Sl_sk_2">#REF!</definedName>
    <definedName name="slaboproud">[4]Budova!$A$1696:$A$1918</definedName>
    <definedName name="Sleva">#REF!</definedName>
    <definedName name="SlevaEnbra">[24]Ost!#REF!</definedName>
    <definedName name="SlevaLDMGiac">[24]VentPoh!#REF!</definedName>
    <definedName name="SlevaRittal">[24]Silno!#REF!</definedName>
    <definedName name="SlevaSCA">[24]VentPoh!#REF!</definedName>
    <definedName name="SlevaSchrackrele">[24]Silno!#REF!</definedName>
    <definedName name="SlevaSontex">[24]Ost!#REF!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n">#REF!</definedName>
    <definedName name="SO_01_01__Příprava_území">#REF!</definedName>
    <definedName name="SO_01_02_Vjezdy_a_výjezdy_na_staveniště">#REF!</definedName>
    <definedName name="SO_01_03_Vodovodní_přípojka_na_staveniště">#REF!</definedName>
    <definedName name="SO_01_04_Kanalizační_přípojka_na_staveniště">#REF!</definedName>
    <definedName name="SO_01_06_El._přípojka_pro_zařízení_staveniště">#REF!</definedName>
    <definedName name="SO_01_07_Telefonní_přípojka_staveniště">#REF!</definedName>
    <definedName name="SO_01_08_Ochrana_pěšího_provozu">#REF!</definedName>
    <definedName name="SO_01_12_Ochrana_inž.sítí">#REF!</definedName>
    <definedName name="SO_01_20_Rekonstrukce_v_odstavných_kolejích">#REF!</definedName>
    <definedName name="SO_01_21_Hloubené_tunely">#REF!</definedName>
    <definedName name="SO_04_22_Hloubené_tunely_v_ul._Trojská">#REF!</definedName>
    <definedName name="SO_05_21__Stanice_Kobylisy">#REF!</definedName>
    <definedName name="SO_06_21_Jednokolejné_tunely_před_st._Kobylisy">#REF!</definedName>
    <definedName name="SO_06_26_Ražená_HGB_v_km_14_960_L.K.">#REF!</definedName>
    <definedName name="SO_07_91_Větrací_objekty">#REF!</definedName>
    <definedName name="SO01_06___STAVEBNÍ_OBJEKT">#REF!</definedName>
    <definedName name="SOKLOVALISTAPVC_A">#REF!</definedName>
    <definedName name="SOKLOVALISTAPVC_B">#REF!</definedName>
    <definedName name="SOKLOVALISTAPVC_C">#REF!</definedName>
    <definedName name="SOKLOVALISTAPVC_D">#REF!</definedName>
    <definedName name="SOKLOVALISTAPVC_E">#REF!</definedName>
    <definedName name="Specifikace">#REF!</definedName>
    <definedName name="Specifikace_1">0</definedName>
    <definedName name="Specifikace_2">#REF!</definedName>
    <definedName name="Spodek">#REF!</definedName>
    <definedName name="SPOJKACDRIGISTIL">#REF!</definedName>
    <definedName name="SPOJKACDRIGISTIL_A">#REF!</definedName>
    <definedName name="SPOJKACDRIGISTIL_B">#REF!</definedName>
    <definedName name="SPOJKACDRIGISTIL_C">#REF!</definedName>
    <definedName name="SPOJKACDRIGISTIL_D">#REF!</definedName>
    <definedName name="SPOJKACDRIGISTIL_E">#REF!</definedName>
    <definedName name="SPOJKACDUROVNOVA">#REF!</definedName>
    <definedName name="SPOJKACDUROVNOVA_A">#REF!</definedName>
    <definedName name="SPOJKACDUROVNOVA_B">#REF!</definedName>
    <definedName name="SPOJKACDUROVNOVA_C">#REF!</definedName>
    <definedName name="SPOJKACDUROVNOVA_D">#REF!</definedName>
    <definedName name="SPOJKACDUROVNOVA_E">#REF!</definedName>
    <definedName name="SPOJOVACIKUSCD">#REF!</definedName>
    <definedName name="SPOJOVACIKUSCD_A">#REF!</definedName>
    <definedName name="SPOJOVACIKUSCD_B">#REF!</definedName>
    <definedName name="SPOJOVACIKUSCD_C">#REF!</definedName>
    <definedName name="SPOJOVACIKUSCD_D">#REF!</definedName>
    <definedName name="SPOJOVACIKUSCD_E">#REF!</definedName>
    <definedName name="SROUBKPATKAM">#REF!</definedName>
    <definedName name="SROUBKPATKAM_A">#REF!</definedName>
    <definedName name="SROUBKPATKAM_B">#REF!</definedName>
    <definedName name="SROUBKPATKAM_C">#REF!</definedName>
    <definedName name="SROUBKPATKAM_D">#REF!</definedName>
    <definedName name="SROUBKPATKAM_E">#REF!</definedName>
    <definedName name="SROUBRIDURIT3535">#REF!</definedName>
    <definedName name="SROUBRIDURIT3535_A">#REF!</definedName>
    <definedName name="SROUBRIDURIT3535_B">#REF!</definedName>
    <definedName name="SROUBRIDURIT3535_C">#REF!</definedName>
    <definedName name="SROUBRIDURIT3535_D">#REF!</definedName>
    <definedName name="SROUBRIDURIT3535_E">#REF!</definedName>
    <definedName name="SROUBRIDURIT3545">#REF!</definedName>
    <definedName name="SROUBRIDURIT3545_A">#REF!</definedName>
    <definedName name="SROUBRIDURIT3545_B">#REF!</definedName>
    <definedName name="SROUBRIDURIT3545_C">#REF!</definedName>
    <definedName name="SROUBRIDURIT3545_D">#REF!</definedName>
    <definedName name="SROUBRIDURIT3545_E">#REF!</definedName>
    <definedName name="SROUBRIDURIT3555_A">#REF!</definedName>
    <definedName name="SROUBRIDURIT3555_B">#REF!</definedName>
    <definedName name="SROUBRIDURIT3555_C">#REF!</definedName>
    <definedName name="SROUBRIDURIT3555_D">#REF!</definedName>
    <definedName name="SROUBRIDURIT3555_E">#REF!</definedName>
    <definedName name="SROUBSHROTEM2213525">#REF!</definedName>
    <definedName name="SROUBSHROTEM2213525_A">#REF!</definedName>
    <definedName name="SROUBSHROTEM2213525_B">#REF!</definedName>
    <definedName name="SROUBSHROTEM2213525_C">#REF!</definedName>
    <definedName name="SROUBSHROTEM2213525_D">#REF!</definedName>
    <definedName name="SROUBSHROTEM2213525_E">#REF!</definedName>
    <definedName name="SROUBSHROTEM2213535">#REF!</definedName>
    <definedName name="SROUBSHROTEM2213535_A">#REF!</definedName>
    <definedName name="SROUBSHROTEM2213535_B">#REF!</definedName>
    <definedName name="SROUBSHROTEM2213535_C">#REF!</definedName>
    <definedName name="SROUBSHROTEM2213535_D">#REF!</definedName>
    <definedName name="SROUBSHROTEM2213535_E">#REF!</definedName>
    <definedName name="SROUBSHROTEM2213545">#REF!</definedName>
    <definedName name="SROUBSHROTEM2213545_A">#REF!</definedName>
    <definedName name="SROUBSHROTEM2213545_B">#REF!</definedName>
    <definedName name="SROUBSHROTEM2213545_C">#REF!</definedName>
    <definedName name="SROUBSHROTEM2213545_D">#REF!</definedName>
    <definedName name="SROUBSHROTEM2213545_E">#REF!</definedName>
    <definedName name="SROUBSHROTEM2213560">#REF!</definedName>
    <definedName name="SROUBSHROTEM2213560_A">#REF!</definedName>
    <definedName name="SROUBSHROTEM2213560_B">#REF!</definedName>
    <definedName name="SROUBSHROTEM2213560_C">#REF!</definedName>
    <definedName name="SROUBSHROTEM2213560_D">#REF!</definedName>
    <definedName name="SROUBSHROTEM2213560_E">#REF!</definedName>
    <definedName name="SROUBSHROTEM2213570_A">#REF!</definedName>
    <definedName name="SROUBSHROTEM2213570_B">#REF!</definedName>
    <definedName name="SROUBSHROTEM2213570_C">#REF!</definedName>
    <definedName name="SROUBSHROTEM2213570_D">#REF!</definedName>
    <definedName name="SROUBSHROTEM2213570_E">#REF!</definedName>
    <definedName name="SROUBSPLOCHOUHLAVOU4214">#REF!</definedName>
    <definedName name="SROUBSPLOCHOUHLAVOU4214_A">#REF!</definedName>
    <definedName name="SROUBSPLOCHOUHLAVOU4214_B">#REF!</definedName>
    <definedName name="SROUBSPLOCHOUHLAVOU4214_C">#REF!</definedName>
    <definedName name="SROUBSPLOCHOUHLAVOU4214_D">#REF!</definedName>
    <definedName name="SROUBSPLOCHOUHLAVOU4214_E">#REF!</definedName>
    <definedName name="SROUBTEXY4213595">#REF!</definedName>
    <definedName name="SROUBTEXY4213595_A">#REF!</definedName>
    <definedName name="SROUBTEXY4213595_B">#REF!</definedName>
    <definedName name="SROUBTEXY4213595_C">#REF!</definedName>
    <definedName name="SROUBTEXY4213595_D">#REF!</definedName>
    <definedName name="SROUBTEXY4213595_E">#REF!</definedName>
    <definedName name="SROUBTEXYDLOUHY4213919">#REF!</definedName>
    <definedName name="SROUBTEXYDLOUHY4213919_A">#REF!</definedName>
    <definedName name="SROUBTEXYDLOUHY4213919_B">#REF!</definedName>
    <definedName name="SROUBTEXYDLOUHY4213919_C">#REF!</definedName>
    <definedName name="SROUBTEXYDLOUHY4213919_D">#REF!</definedName>
    <definedName name="SROUBTEXYDLOUHY4213919_E">#REF!</definedName>
    <definedName name="SROUBTEXYSTREDNI4214213">#REF!</definedName>
    <definedName name="SROUBTEXYSTREDNI4214213_A">#REF!</definedName>
    <definedName name="SROUBTEXYSTREDNI4214213_B">#REF!</definedName>
    <definedName name="SROUBTEXYSTREDNI4214213_C">#REF!</definedName>
    <definedName name="SROUBTEXYSTREDNI4214213_D">#REF!</definedName>
    <definedName name="SROUBTEXYSTREDNI4214213_E">#REF!</definedName>
    <definedName name="ssss">#REF!</definedName>
    <definedName name="SSSSS">'[6]01'!$A$8:$A$10,'[6]01'!$A$14:$A$16,'[6]01'!$A$20:$A$22,'[6]01'!$A$26:$A$28,'[6]01'!$A$32:$A$34,'[6]01'!$A$38:$A$40,'[6]01'!$A$44:$A$46,'[6]01'!$A$50:$A$52,'[6]01'!$A$56:$A$58,'[6]01'!$A$62:$A$64,'[6]01'!$A$68:$A$70,'[6]01'!$A$74:$A$76,'[6]01'!$A$80:$A$82,'[6]01'!$A$86:$A$88,'[6]01'!$A$92:$A$94,'[6]01'!$A$98:$A$100,'[6]01'!$A$104:$A$106,'[6]01'!$A$110:$A$112,'[6]01'!$A$116:$A$118,'[6]01'!$A$122:$A$124</definedName>
    <definedName name="ssssss">#REF!</definedName>
    <definedName name="STANDARD">#REF!</definedName>
    <definedName name="STANDARD_A">#REF!</definedName>
    <definedName name="STANDARD_B">#REF!</definedName>
    <definedName name="STANDARD_C">#REF!</definedName>
    <definedName name="STANDARD_D">#REF!</definedName>
    <definedName name="STANDARD_E">#REF!</definedName>
    <definedName name="statika">[4]Budova!$A$787:$A$825</definedName>
    <definedName name="staveb">[4]Budova!$A$10:$A$688</definedName>
    <definedName name="STAVECITRMEN35">#REF!</definedName>
    <definedName name="STAVECITRMEN35_A">#REF!</definedName>
    <definedName name="STAVECITRMEN35_B">#REF!</definedName>
    <definedName name="STAVECITRMEN35_C">#REF!</definedName>
    <definedName name="STAVECITRMEN35_D">#REF!</definedName>
    <definedName name="STAVECITRMEN35_E">#REF!</definedName>
    <definedName name="STAVECITRMEN65">#REF!</definedName>
    <definedName name="STAVECITRMEN65_A">#REF!</definedName>
    <definedName name="STAVECITRMEN65_B">#REF!</definedName>
    <definedName name="STAVECITRMEN65_C">#REF!</definedName>
    <definedName name="STAVECITRMEN65_D">#REF!</definedName>
    <definedName name="STAVECITRMEN65_E">#REF!</definedName>
    <definedName name="STAVECITRMEN95">#REF!</definedName>
    <definedName name="STAVECITRMEN95_A">#REF!</definedName>
    <definedName name="STAVECITRMEN95_B">#REF!</definedName>
    <definedName name="STAVECITRMEN95_C">#REF!</definedName>
    <definedName name="STAVECITRMEN95_D">#REF!</definedName>
    <definedName name="STAVECITRMEN95_E">#REF!</definedName>
    <definedName name="STROPNIHREBDN6">#REF!</definedName>
    <definedName name="STROPNIHREBDN6_A">#REF!</definedName>
    <definedName name="STROPNIHREBDN6_B">#REF!</definedName>
    <definedName name="STROPNIHREBDN6_C">#REF!</definedName>
    <definedName name="STROPNIHREBDN6_D">#REF!</definedName>
    <definedName name="STROPNIHREBDN6_E">#REF!</definedName>
    <definedName name="subslevy">#REF!</definedName>
    <definedName name="sum_memrekapdph">#REF!</definedName>
    <definedName name="sum_prekap">#REF!</definedName>
    <definedName name="sumpok">#REF!</definedName>
    <definedName name="SUPER">#REF!</definedName>
    <definedName name="SUPER_A">#REF!</definedName>
    <definedName name="SUPER_B">#REF!</definedName>
    <definedName name="SUPER_C">#REF!</definedName>
    <definedName name="SUPER_D">#REF!</definedName>
    <definedName name="SUPER_E">#REF!</definedName>
    <definedName name="SVORKANOSNIKU130210">#REF!</definedName>
    <definedName name="SVORKANOSNIKU130210_A">#REF!</definedName>
    <definedName name="SVORKANOSNIKU130210_B">#REF!</definedName>
    <definedName name="SVORKANOSNIKU130210_C">#REF!</definedName>
    <definedName name="SVORKANOSNIKU130210_D">#REF!</definedName>
    <definedName name="SVORKANOSNIKU130210_E">#REF!</definedName>
    <definedName name="SVORKANOSNIKU5085">#REF!</definedName>
    <definedName name="SVORKANOSNIKU5085_A">#REF!</definedName>
    <definedName name="SVORKANOSNIKU5085_B">#REF!</definedName>
    <definedName name="SVORKANOSNIKU5085_C">#REF!</definedName>
    <definedName name="SVORKANOSNIKU5085_D">#REF!</definedName>
    <definedName name="SVORKANOSNIKU5085_E">#REF!</definedName>
    <definedName name="SVORKANOSNIKU85130">#REF!</definedName>
    <definedName name="SVORKANOSNIKU85130_A">#REF!</definedName>
    <definedName name="SVORKANOSNIKU85130_B">#REF!</definedName>
    <definedName name="SVORKANOSNIKU85130_C">#REF!</definedName>
    <definedName name="SVORKANOSNIKU85130_D">#REF!</definedName>
    <definedName name="SVORKANOSNIKU85130_E">#REF!</definedName>
    <definedName name="SWnákup">#REF!</definedName>
    <definedName name="SWprodej">#REF!</definedName>
    <definedName name="Systém">[24]Rozp!#REF!</definedName>
    <definedName name="sz_be">#REF!</definedName>
    <definedName name="sz_ma">#REF!</definedName>
    <definedName name="sz_pf">#REF!</definedName>
    <definedName name="sz_sc">#REF!</definedName>
    <definedName name="sz_sch">#REF!</definedName>
    <definedName name="sz_so">#REF!</definedName>
    <definedName name="sz_sp">#REF!</definedName>
    <definedName name="sz_st">#REF!</definedName>
    <definedName name="T">#REF!</definedName>
    <definedName name="T1_12">#REF!</definedName>
    <definedName name="T1_34">#REF!</definedName>
    <definedName name="T1_50">#REF!</definedName>
    <definedName name="TABLE_1">"$xx.$#REF!$#REF!:$#REF!$#REF!"</definedName>
    <definedName name="TABLE_10_1">"$xx.$#REF!$#REF!:$#REF!$#REF!"</definedName>
    <definedName name="TABLE_11_1">"$xx.$#REF!$#REF!:$#REF!$#REF!"</definedName>
    <definedName name="TABLE_12_1">"$xx.$#REF!$#REF!:$#REF!$#REF!"</definedName>
    <definedName name="TABLE_13_1">"$xx.$#REF!$#REF!:$#REF!$#REF!"</definedName>
    <definedName name="TABLE_2_1">"$xx.$#REF!$#REF!:$#REF!$#REF!"</definedName>
    <definedName name="TABLE_3_1">"$xx.$#REF!$#REF!:$#REF!$#REF!"</definedName>
    <definedName name="TABLE_4_1">"$xx.$#REF!$#REF!:$#REF!$#REF!"</definedName>
    <definedName name="TABLE_5_1">"$xx.$#REF!$#REF!:$#REF!$#REF!"</definedName>
    <definedName name="TABLE_6_1">"$xx.$#REF!$#REF!:$#REF!$#REF!"</definedName>
    <definedName name="TABLE_7_1">"$xx.$#REF!$#REF!:$#REF!$#REF!"</definedName>
    <definedName name="TABLE_8_1">"$xx.$#REF!$#REF!:$#REF!$#REF!"</definedName>
    <definedName name="TABLE_9_1">"$xx.$#REF!$#REF!:$#REF!$#REF!"</definedName>
    <definedName name="TAPETA_T1006">#REF!</definedName>
    <definedName name="TAPETA_T1006_A">#REF!</definedName>
    <definedName name="TAPETA_T1006_B">#REF!</definedName>
    <definedName name="TAPETA_T1006_C">#REF!</definedName>
    <definedName name="TAPETA_T1006_D">#REF!</definedName>
    <definedName name="TAPETA_T1006_E">#REF!</definedName>
    <definedName name="TECHROCK40MM">#REF!</definedName>
    <definedName name="TECHROCK40MM_A">#REF!</definedName>
    <definedName name="TECHROCK40MM_B">#REF!</definedName>
    <definedName name="TECHROCK40MM_C">#REF!</definedName>
    <definedName name="TECHROCK40MM_D">#REF!</definedName>
    <definedName name="TECHROCK40MM_E">#REF!</definedName>
    <definedName name="TECHROCK50MM">#REF!</definedName>
    <definedName name="TECHROCK50MM_A">#REF!</definedName>
    <definedName name="TECHROCK50MM_B">#REF!</definedName>
    <definedName name="TECHROCK50MM_C">#REF!</definedName>
    <definedName name="TECHROCK50MM_D">#REF!</definedName>
    <definedName name="TECHROCK50MM_E">#REF!</definedName>
    <definedName name="TECHROCK60KG50MM">#REF!</definedName>
    <definedName name="TECHROCK60KG50MM_A">#REF!</definedName>
    <definedName name="TECHROCK60KG50MM_B">#REF!</definedName>
    <definedName name="TECHROCK60KG50MM_C">#REF!</definedName>
    <definedName name="TECHROCK60KG50MM_D">#REF!</definedName>
    <definedName name="TECHROCK60KG50MM_E">#REF!</definedName>
    <definedName name="TESNENIPENOVE30">#REF!</definedName>
    <definedName name="TESNENIPENOVE30_A">#REF!</definedName>
    <definedName name="TESNENIPENOVE30_B">#REF!</definedName>
    <definedName name="TESNENIPENOVE30_C">#REF!</definedName>
    <definedName name="TESNENIPENOVE30_D">#REF!</definedName>
    <definedName name="TESNENIPENOVE30_E">#REF!</definedName>
    <definedName name="TESNENIPENOVE50">#REF!</definedName>
    <definedName name="TESNENIPENOVE50_A">#REF!</definedName>
    <definedName name="TESNENIPENOVE50_B">#REF!</definedName>
    <definedName name="TESNENIPENOVE50_C">#REF!</definedName>
    <definedName name="TESNENIPENOVE50_D">#REF!</definedName>
    <definedName name="TESNENIPENOVE50_E">#REF!</definedName>
    <definedName name="TESNENIPENOVE70">#REF!</definedName>
    <definedName name="TESNENIPENOVE70_A">#REF!</definedName>
    <definedName name="TESNENIPENOVE70_B">#REF!</definedName>
    <definedName name="TESNENIPENOVE70_C">#REF!</definedName>
    <definedName name="TESNENIPENOVE70_D">#REF!</definedName>
    <definedName name="TESNENIPENOVE70_E">#REF!</definedName>
    <definedName name="TESNENIPENOVE95">#REF!</definedName>
    <definedName name="TESNENIPENOVE95_A">#REF!</definedName>
    <definedName name="TESNENIPENOVE95_B">#REF!</definedName>
    <definedName name="TESNENIPENOVE95_C">#REF!</definedName>
    <definedName name="TESNENIPENOVE95_D">#REF!</definedName>
    <definedName name="TESNENIPENOVE95_E">#REF!</definedName>
    <definedName name="THERMATEX_FEINFRESKO_SK">#REF!</definedName>
    <definedName name="THERMATEX_FEINGELOCHT_SK">#REF!</definedName>
    <definedName name="THERMATEX_FENFRESKO_VT">#REF!</definedName>
    <definedName name="THERMATEX_LAGUNA">#REF!</definedName>
    <definedName name="Thermatex_Laguna_SK">#REF!</definedName>
    <definedName name="THERMATEXECOMIN">#REF!</definedName>
    <definedName name="THERMATEXECOMIN_A">#REF!</definedName>
    <definedName name="THERMATEXECOMIN_B">#REF!</definedName>
    <definedName name="THERMATEXECOMIN_C">#REF!</definedName>
    <definedName name="THERMATEXECOMIN_D">#REF!</definedName>
    <definedName name="THERMATEXECOMIN_E">#REF!</definedName>
    <definedName name="TK">#REF!</definedName>
    <definedName name="tłu">#REF!</definedName>
    <definedName name="TMELRIDURIT">#REF!</definedName>
    <definedName name="TMELRIDURIT_A">#REF!</definedName>
    <definedName name="TMELRIDURIT_B">#REF!</definedName>
    <definedName name="TMELRIDURIT_C">#REF!</definedName>
    <definedName name="TMELRIDURIT_D">#REF!</definedName>
    <definedName name="TMELRIDURIT_E">#REF!</definedName>
    <definedName name="top_memrekapdph">#REF!</definedName>
    <definedName name="top_phlavy">#REF!</definedName>
    <definedName name="top_rkap">#REF!</definedName>
    <definedName name="top_rozpocty">#REF!</definedName>
    <definedName name="top_rpolozky">#REF!</definedName>
    <definedName name="TP">#REF!</definedName>
    <definedName name="TRAMERE24">#REF!</definedName>
    <definedName name="TRAMERE24_A">#REF!</definedName>
    <definedName name="TRAMERE24_B">#REF!</definedName>
    <definedName name="TRAMERE24_C">#REF!</definedName>
    <definedName name="TRAMERE24_D">#REF!</definedName>
    <definedName name="TRAMERE24_E">#REF!</definedName>
    <definedName name="trew">#REF!</definedName>
    <definedName name="TRHACINYT">#REF!</definedName>
    <definedName name="TRHACINYT_A">#REF!</definedName>
    <definedName name="TRHACINYT_B">#REF!</definedName>
    <definedName name="TRHACINYT_C">#REF!</definedName>
    <definedName name="TRHACINYT_D">#REF!</definedName>
    <definedName name="TRHACINYT_E">#REF!</definedName>
    <definedName name="TWF14050_A">#REF!</definedName>
    <definedName name="TWF14050_B">#REF!</definedName>
    <definedName name="TWF14050_C">#REF!</definedName>
    <definedName name="TWF14050_D">#REF!</definedName>
    <definedName name="TWF14050_E">#REF!</definedName>
    <definedName name="TWF16075_A">#REF!</definedName>
    <definedName name="TWF16075_B">#REF!</definedName>
    <definedName name="TWF16075_C">#REF!</definedName>
    <definedName name="TWF16075_D">#REF!</definedName>
    <definedName name="TWF16075_E">#REF!</definedName>
    <definedName name="TWF180100_A">#REF!</definedName>
    <definedName name="TWF180100_B">#REF!</definedName>
    <definedName name="TWF180100_C">#REF!</definedName>
    <definedName name="TWF180100_D">#REF!</definedName>
    <definedName name="TWF180100_E">#REF!</definedName>
    <definedName name="TWP1100_A">#REF!</definedName>
    <definedName name="TWP1100_B">#REF!</definedName>
    <definedName name="TWP1100_C">#REF!</definedName>
    <definedName name="TWP1100_D">#REF!</definedName>
    <definedName name="TWP1100_E">#REF!</definedName>
    <definedName name="TWP1120_A">#REF!</definedName>
    <definedName name="TWP1120_B">#REF!</definedName>
    <definedName name="TWP1120_C">#REF!</definedName>
    <definedName name="TWP1120_D">#REF!</definedName>
    <definedName name="TWP1120_E">#REF!</definedName>
    <definedName name="TWP1140_A">#REF!</definedName>
    <definedName name="TWP1140_B">#REF!</definedName>
    <definedName name="TWP1140_C">#REF!</definedName>
    <definedName name="TWP1140_D">#REF!</definedName>
    <definedName name="TWP1140_E">#REF!</definedName>
    <definedName name="TWP140_A">#REF!</definedName>
    <definedName name="TWP140_B">#REF!</definedName>
    <definedName name="TWP140_C">#REF!</definedName>
    <definedName name="TWP140_D">#REF!</definedName>
    <definedName name="TWP140_E">#REF!</definedName>
    <definedName name="TWP150_A">#REF!</definedName>
    <definedName name="TWP150_B">#REF!</definedName>
    <definedName name="TWP150_C">#REF!</definedName>
    <definedName name="TWP150_D">#REF!</definedName>
    <definedName name="TWP150_E">#REF!</definedName>
    <definedName name="TWP160_A">#REF!</definedName>
    <definedName name="TWP160_B">#REF!</definedName>
    <definedName name="TWP160_C">#REF!</definedName>
    <definedName name="TWP160_D">#REF!</definedName>
    <definedName name="TWP160_E">#REF!</definedName>
    <definedName name="TWP180_A">#REF!</definedName>
    <definedName name="TWP180_B">#REF!</definedName>
    <definedName name="TWP180_C">#REF!</definedName>
    <definedName name="TWP180_D">#REF!</definedName>
    <definedName name="TWP180_E">#REF!</definedName>
    <definedName name="Typ">[17]Položky!#REF!</definedName>
    <definedName name="Typ_2">([13]MaR!$C$151:$C$161,[13]MaR!$C$44:$C$143)</definedName>
    <definedName name="u">'[33]Roboty sanitarne'!#REF!</definedName>
    <definedName name="UA100_A">#REF!</definedName>
    <definedName name="UA100_B">#REF!</definedName>
    <definedName name="UA100_C">#REF!</definedName>
    <definedName name="UA100_D">#REF!</definedName>
    <definedName name="UA100_E">#REF!</definedName>
    <definedName name="UA50_A">#REF!</definedName>
    <definedName name="UA50_B">#REF!</definedName>
    <definedName name="UA50_C">#REF!</definedName>
    <definedName name="UA50_D">#REF!</definedName>
    <definedName name="UA50_E">#REF!</definedName>
    <definedName name="UA75_A">#REF!</definedName>
    <definedName name="UA75_B">#REF!</definedName>
    <definedName name="UA75_C">#REF!</definedName>
    <definedName name="UA75_D">#REF!</definedName>
    <definedName name="UA75_E">#REF!</definedName>
    <definedName name="UD28_A">#REF!</definedName>
    <definedName name="UD28_B">#REF!</definedName>
    <definedName name="UD28_C">#REF!</definedName>
    <definedName name="UD28_D">#REF!</definedName>
    <definedName name="UD28_E">#REF!</definedName>
    <definedName name="UD30_A">#REF!</definedName>
    <definedName name="UD30_B">#REF!</definedName>
    <definedName name="UD30_C">#REF!</definedName>
    <definedName name="UD30_D">#REF!</definedName>
    <definedName name="UD30_E">#REF!</definedName>
    <definedName name="UHELNIKSUVNYUA100_A">#REF!</definedName>
    <definedName name="UHELNIKSUVNYUA100_B">#REF!</definedName>
    <definedName name="UHELNIKSUVNYUA100_C">#REF!</definedName>
    <definedName name="UHELNIKSUVNYUA100_D">#REF!</definedName>
    <definedName name="UHELNIKSUVNYUA100_E">#REF!</definedName>
    <definedName name="UHELNIKSUVNYUA50_A">#REF!</definedName>
    <definedName name="UHELNIKSUVNYUA50_B">#REF!</definedName>
    <definedName name="UHELNIKSUVNYUA50_C">#REF!</definedName>
    <definedName name="UHELNIKSUVNYUA50_D">#REF!</definedName>
    <definedName name="UHELNIKSUVNYUA50_E">#REF!</definedName>
    <definedName name="UHELNIKSUVNYUA75_A">#REF!</definedName>
    <definedName name="UHELNIKSUVNYUA75_B">#REF!</definedName>
    <definedName name="UHELNIKSUVNYUA75_C">#REF!</definedName>
    <definedName name="UHELNIKSUVNYUA75_D">#REF!</definedName>
    <definedName name="UHELNIKSUVNYUA75_E">#REF!</definedName>
    <definedName name="UHLOVAKOTVA">#REF!</definedName>
    <definedName name="UHLOVAKOTVA_A">#REF!</definedName>
    <definedName name="UHLOVAKOTVA_B">#REF!</definedName>
    <definedName name="UHLOVAKOTVA_C">#REF!</definedName>
    <definedName name="UHLOVAKOTVA_D">#REF!</definedName>
    <definedName name="UHLOVAKOTVA_E">#REF!</definedName>
    <definedName name="UKONCLISTAALU13X24_A">#REF!</definedName>
    <definedName name="UKONCLISTAALU13X24_B">#REF!</definedName>
    <definedName name="UKONCLISTAALU13X24_C">#REF!</definedName>
    <definedName name="UKONCLISTAALU13X24_D">#REF!</definedName>
    <definedName name="UKONCLISTAALU13X24_E">#REF!</definedName>
    <definedName name="UKONCPROFILPVC20X12.5">#REF!</definedName>
    <definedName name="UKONCPROFILPVC20X12.5_A">#REF!</definedName>
    <definedName name="UKONCPROFILPVC20X12.5_B">#REF!</definedName>
    <definedName name="UKONCPROFILPVC20X12.5_C">#REF!</definedName>
    <definedName name="UKONCPROFILPVC20X12.5_D">#REF!</definedName>
    <definedName name="UKONCPROFILPVC20X12.5_E">#REF!</definedName>
    <definedName name="UKONCPROFILPVC20X15_A">#REF!</definedName>
    <definedName name="UKONCPROFILPVC20X15_B">#REF!</definedName>
    <definedName name="UKONCPROFILPVC20X15_C">#REF!</definedName>
    <definedName name="UKONCPROFILPVC20X15_D">#REF!</definedName>
    <definedName name="UKONCPROFILPVC20X15_E">#REF!</definedName>
    <definedName name="UPROFIL_A">#REF!</definedName>
    <definedName name="UPROFIL_B">#REF!</definedName>
    <definedName name="UPROFIL_C">#REF!</definedName>
    <definedName name="UPROFIL_D">#REF!</definedName>
    <definedName name="UPROFIL_E">#REF!</definedName>
    <definedName name="UPROFILALTEKO">#REF!</definedName>
    <definedName name="usd">#REF!</definedName>
    <definedName name="UV">#REF!</definedName>
    <definedName name="UW100_A">#REF!</definedName>
    <definedName name="UW100_B">#REF!</definedName>
    <definedName name="UW100_C">#REF!</definedName>
    <definedName name="UW100_D">#REF!</definedName>
    <definedName name="UW100_E">#REF!</definedName>
    <definedName name="UW100HRANA100">#REF!</definedName>
    <definedName name="UW100HRANA100_A">#REF!</definedName>
    <definedName name="UW100HRANA100_B">#REF!</definedName>
    <definedName name="UW100HRANA100_C">#REF!</definedName>
    <definedName name="UW100HRANA100_D">#REF!</definedName>
    <definedName name="UW100HRANA100_E">#REF!</definedName>
    <definedName name="UW150_A">#REF!</definedName>
    <definedName name="UW150_B">#REF!</definedName>
    <definedName name="UW150_C">#REF!</definedName>
    <definedName name="UW150_D">#REF!</definedName>
    <definedName name="UW150_E">#REF!</definedName>
    <definedName name="UW50_A">#REF!</definedName>
    <definedName name="UW50_B">#REF!</definedName>
    <definedName name="UW50_C">#REF!</definedName>
    <definedName name="UW50_D">#REF!</definedName>
    <definedName name="UW50_E">#REF!</definedName>
    <definedName name="UW75_A">#REF!</definedName>
    <definedName name="UW75_B">#REF!</definedName>
    <definedName name="UW75_C">#REF!</definedName>
    <definedName name="UW75_D">#REF!</definedName>
    <definedName name="UW75_E">#REF!</definedName>
    <definedName name="V">#REF!</definedName>
    <definedName name="VARIO">#REF!</definedName>
    <definedName name="VARIO_A">#REF!</definedName>
    <definedName name="VARIO_B">#REF!</definedName>
    <definedName name="VARIO_C">#REF!</definedName>
    <definedName name="VARIO_D">#REF!</definedName>
    <definedName name="VARIO_E">#REF!</definedName>
    <definedName name="VIKOELEKTROKRABICE">#REF!</definedName>
    <definedName name="VIKOELEKTROKRABICE_A">#REF!</definedName>
    <definedName name="VIKOELEKTROKRABICE_B">#REF!</definedName>
    <definedName name="VIKOELEKTROKRABICE_C">#REF!</definedName>
    <definedName name="VIKOELEKTROKRABICE_D">#REF!</definedName>
    <definedName name="VIKOELEKTROKRABICE_E">#REF!</definedName>
    <definedName name="VIMPERK">[23]DATA_INSTR!$B:$F</definedName>
    <definedName name="VIMPERK1">[23]DATA_INSTR!$A:$F</definedName>
    <definedName name="vlevo">#REF!</definedName>
    <definedName name="VN">'[5]SO 01 - 06 ELEKTROINSTALACE'!$B$9644</definedName>
    <definedName name="Vodorovné_konstrukce">'[25]SO 51.4 Výkaz výměr'!#REF!</definedName>
    <definedName name="VRN">[17]Rekapitulace!$H$15</definedName>
    <definedName name="VRNKc">[2]rekapitulace!#REF!</definedName>
    <definedName name="VRNnazev">[2]rekapitulace!#REF!</definedName>
    <definedName name="VRNproc">[2]rekapitulace!#REF!</definedName>
    <definedName name="VRNzakl">[2]rekapitulace!#REF!</definedName>
    <definedName name="VRUTDOSVISLYCHZAVESU4835">#REF!</definedName>
    <definedName name="VRUTDOSVISLYCHZAVESU4835_A">#REF!</definedName>
    <definedName name="VRUTDOSVISLYCHZAVESU4835_B">#REF!</definedName>
    <definedName name="VRUTDOSVISLYCHZAVESU4835_C">#REF!</definedName>
    <definedName name="VRUTDOSVISLYCHZAVESU4835_D">#REF!</definedName>
    <definedName name="VRUTDOSVISLYCHZAVESU4835_E">#REF!</definedName>
    <definedName name="VRUTDOSVISLYCHZAVESU4850">#REF!</definedName>
    <definedName name="VRUTDOSVISLYCHZAVESU4850_A">#REF!</definedName>
    <definedName name="VRUTDOSVISLYCHZAVESU4850_B">#REF!</definedName>
    <definedName name="VRUTDOSVISLYCHZAVESU4850_C">#REF!</definedName>
    <definedName name="VRUTDOSVISLYCHZAVESU4850_D">#REF!</definedName>
    <definedName name="VRUTDOSVISLYCHZAVESU4850_E">#REF!</definedName>
    <definedName name="výpočty">#REF!</definedName>
    <definedName name="vystup">#REF!</definedName>
    <definedName name="výtahy">[4]Budova!$A$1921:$A$1944</definedName>
    <definedName name="vytápění">[4]Budova!$A$1400:$A$1505</definedName>
    <definedName name="vzduchotechnika">[4]Budova!$A$1508:$A$1693</definedName>
    <definedName name="VZT">#REF!</definedName>
    <definedName name="W">#REF!</definedName>
    <definedName name="wrn.Tisk." hidden="1">{#N/A,#N/A,FALSE,"Nabídka";#N/A,#N/A,FALSE,"Specifikace"}</definedName>
    <definedName name="WW">#REF!</definedName>
    <definedName name="WWW">#REF!</definedName>
    <definedName name="wwwwww">#REF!</definedName>
    <definedName name="WWWWWWWW">#REF!</definedName>
    <definedName name="X">#REF!</definedName>
    <definedName name="xxxx">#REF!</definedName>
    <definedName name="z">'[34]SO 51.4 Výkaz výměr'!#REF!</definedName>
    <definedName name="Z_0216E4A3_6182_11D6_9494_000102FA4DF4_.wvu.Cols" hidden="1">#REF!</definedName>
    <definedName name="Z_0216E4A3_6182_11D6_9494_000102FA4DF4_.wvu.PrintArea" hidden="1">#REF!</definedName>
    <definedName name="Z_0216E4A3_6182_11D6_9494_000102FA4DF4_.wvu.PrintTitles" hidden="1">#REF!</definedName>
    <definedName name="Z_1E8618C1_1B4D_11D4_B32D_0050046A422B_.wvu.PrintTitles">#REF!</definedName>
    <definedName name="Z_1E8618C1_1B4D_11D4_B32D_0050046A422B_.wvu.Rows">#REF!</definedName>
    <definedName name="Z_65AC2F60_1B4A_11D4_81C5_0050046A4233_.wvu.PrintTitles">#REF!</definedName>
    <definedName name="Z_65AC2F60_1B4A_11D4_81C5_0050046A4233_.wvu.Rows">#REF!</definedName>
    <definedName name="Z_A6D38DCC_6184_11D6_8FBA_000476959415_.wvu.Cols" hidden="1">#REF!</definedName>
    <definedName name="Z_A6D38DCC_6184_11D6_8FBA_000476959415_.wvu.PrintArea" hidden="1">#REF!</definedName>
    <definedName name="Z_A6D38DCC_6184_11D6_8FBA_000476959415_.wvu.PrintTitles" hidden="1">#REF!</definedName>
    <definedName name="zacatek">#REF!</definedName>
    <definedName name="zahrnsazby">#REF!</definedName>
    <definedName name="zahrnslevy">#REF!</definedName>
    <definedName name="Zakazka">#REF!</definedName>
    <definedName name="Zaklad22">#REF!</definedName>
    <definedName name="Zaklad5">#REF!</definedName>
    <definedName name="ZakladDPHSni">[18]Stavba!$G$23</definedName>
    <definedName name="ZakladDPHZakl">[18]Stavba!$G$25</definedName>
    <definedName name="Základy">'[25]SO 51.4 Výkaz výměr'!#REF!</definedName>
    <definedName name="založ">[4]Budova!$A$691:$A$784</definedName>
    <definedName name="Zaokrouhleni">[18]Stavba!$G$27</definedName>
    <definedName name="ZARUBEN800100">#REF!</definedName>
    <definedName name="ZARUBEN800100_A">#REF!</definedName>
    <definedName name="ZARUBEN800100_B">#REF!</definedName>
    <definedName name="ZARUBEN800100_C">#REF!</definedName>
    <definedName name="ZARUBEN800100_D">#REF!</definedName>
    <definedName name="ZARUBEN800100_E">#REF!</definedName>
    <definedName name="ZARUBEN800125">#REF!</definedName>
    <definedName name="ZARUBEN800125_A">#REF!</definedName>
    <definedName name="ZARUBEN800125_B">#REF!</definedName>
    <definedName name="ZARUBEN800125_C">#REF!</definedName>
    <definedName name="ZARUBEN800125_D">#REF!</definedName>
    <definedName name="ZARUBEN800125_E">#REF!</definedName>
    <definedName name="ZARUBEN800150">#REF!</definedName>
    <definedName name="ZARUBEN800150_A">#REF!</definedName>
    <definedName name="ZARUBEN800150_B">#REF!</definedName>
    <definedName name="ZARUBEN800150_C">#REF!</definedName>
    <definedName name="ZARUBEN800150_D">#REF!</definedName>
    <definedName name="ZARUBEN800150_E">#REF!</definedName>
    <definedName name="ZARUBEN80075">#REF!</definedName>
    <definedName name="ZARUBEN80075_A">#REF!</definedName>
    <definedName name="ZARUBEN80075_B">#REF!</definedName>
    <definedName name="ZARUBEN80075_C">#REF!</definedName>
    <definedName name="ZARUBEN80075_D">#REF!</definedName>
    <definedName name="ZARUBEN80075_E">#REF!</definedName>
    <definedName name="ZARUBENM1250100">#REF!</definedName>
    <definedName name="ZARUBENM1250100_A">#REF!</definedName>
    <definedName name="ZARUBENM1250100_B">#REF!</definedName>
    <definedName name="ZARUBENM1250100_C">#REF!</definedName>
    <definedName name="ZARUBENM1250100_D">#REF!</definedName>
    <definedName name="ZARUBENM1250100_E">#REF!</definedName>
    <definedName name="ZARUBENM1450100">#REF!</definedName>
    <definedName name="ZARUBENM1450100_A">#REF!</definedName>
    <definedName name="ZARUBENM1450100_B">#REF!</definedName>
    <definedName name="ZARUBENM1450100_C">#REF!</definedName>
    <definedName name="ZARUBENM1450100_D">#REF!</definedName>
    <definedName name="ZARUBENM1450100_E">#REF!</definedName>
    <definedName name="ZARUBENM800100">#REF!</definedName>
    <definedName name="ZARUBENM800100_A">#REF!</definedName>
    <definedName name="ZARUBENM800100_B">#REF!</definedName>
    <definedName name="ZARUBENM800100_C">#REF!</definedName>
    <definedName name="ZARUBENM800100_D">#REF!</definedName>
    <definedName name="ZARUBENM800100_E">#REF!</definedName>
    <definedName name="ZARUBENM800125">#REF!</definedName>
    <definedName name="ZARUBENM800125_A">#REF!</definedName>
    <definedName name="ZARUBENM800125_B">#REF!</definedName>
    <definedName name="ZARUBENM800125_C">#REF!</definedName>
    <definedName name="ZARUBENM800125_D">#REF!</definedName>
    <definedName name="ZARUBENM800125_E">#REF!</definedName>
    <definedName name="ZARUBENM800150">#REF!</definedName>
    <definedName name="ZARUBENM800150_A">#REF!</definedName>
    <definedName name="ZARUBENM800150_C">#REF!</definedName>
    <definedName name="ZARUBENM800150_D">#REF!</definedName>
    <definedName name="ZARUBENM800150_E">#REF!</definedName>
    <definedName name="ZARUBENMT1100100">#REF!</definedName>
    <definedName name="ZARUBENMT1100100_A">#REF!</definedName>
    <definedName name="ZARUBENMT1100100_B">#REF!</definedName>
    <definedName name="ZARUBENMT1100100_C">#REF!</definedName>
    <definedName name="ZARUBENMT1100100_D">#REF!</definedName>
    <definedName name="ZARUBENMT1100100_E">#REF!</definedName>
    <definedName name="ZARUBENMT1250100">#REF!</definedName>
    <definedName name="ZARUBENMT1250100_A">#REF!</definedName>
    <definedName name="ZARUBENMT1250100_B">#REF!</definedName>
    <definedName name="ZARUBENMT1250100_C">#REF!</definedName>
    <definedName name="ZARUBENMT1250100_D">#REF!</definedName>
    <definedName name="ZARUBENMT1250100_E">#REF!</definedName>
    <definedName name="ZARUBENMT1450100">#REF!</definedName>
    <definedName name="ZARUBENMT1450100_A">#REF!</definedName>
    <definedName name="ZARUBENMT1450100_B">#REF!</definedName>
    <definedName name="ZARUBENMT1450100_C">#REF!</definedName>
    <definedName name="ZARUBENMT1450100_D">#REF!</definedName>
    <definedName name="ZARUBENMT1450100_E">#REF!</definedName>
    <definedName name="ZARUBENMT800100">#REF!</definedName>
    <definedName name="ZARUBENMT800100_A">#REF!</definedName>
    <definedName name="ZARUBENMT800100_B">#REF!</definedName>
    <definedName name="ZARUBENMT800100_C">#REF!</definedName>
    <definedName name="ZARUBENMT800100_D">#REF!</definedName>
    <definedName name="ZARUBENMT800100_E">#REF!</definedName>
    <definedName name="ZARUBENMT800125">#REF!</definedName>
    <definedName name="ZARUBENMT800125_A">#REF!</definedName>
    <definedName name="ZARUBENMT800125_B">#REF!</definedName>
    <definedName name="ZARUBENMT800125_C">#REF!</definedName>
    <definedName name="ZARUBENMT800125_D">#REF!</definedName>
    <definedName name="ZARUBENMT800125_E">#REF!</definedName>
    <definedName name="ZARUBENMT800150">#REF!</definedName>
    <definedName name="ZARUBENMT800150_A">#REF!</definedName>
    <definedName name="ZARUBENMT800150_B">#REF!</definedName>
    <definedName name="ZARUBENMT800150_C">#REF!</definedName>
    <definedName name="ZARUBENMT800150_D">#REF!</definedName>
    <definedName name="ZARUBENMT800150_E">#REF!</definedName>
    <definedName name="ZARUBENSILIKON800100">#REF!</definedName>
    <definedName name="ZARUBENSILIKON800100_A">#REF!</definedName>
    <definedName name="ZARUBENSILIKON800100_B">#REF!</definedName>
    <definedName name="ZARUBENSILIKON800100_C">#REF!</definedName>
    <definedName name="ZARUBENSILIKON800100_D">#REF!</definedName>
    <definedName name="ZARUBENSILIKON800100_E">#REF!</definedName>
    <definedName name="ZARUBENSILIKON800125">#REF!</definedName>
    <definedName name="ZARUBENSILIKON800125_A">#REF!</definedName>
    <definedName name="ZARUBENSILIKON800125_B">#REF!</definedName>
    <definedName name="ZARUBENSILIKON800125_C">#REF!</definedName>
    <definedName name="ZARUBENSILIKON800125_D">#REF!</definedName>
    <definedName name="ZARUBENSILIKON800125_E">#REF!</definedName>
    <definedName name="ZARUBENSILIKON800150">#REF!</definedName>
    <definedName name="ZARUBENSILIKON800150_A">#REF!</definedName>
    <definedName name="ZARUBENSILIKON800150_B">#REF!</definedName>
    <definedName name="ZARUBENSILIKON800150_C">#REF!</definedName>
    <definedName name="ZARUBENSILIKON800150_D">#REF!</definedName>
    <definedName name="ZARUBENSILIKON800150_E">#REF!</definedName>
    <definedName name="ZARUBENSILIKON80075">#REF!</definedName>
    <definedName name="ZARUBENSILIKON80075_A">#REF!</definedName>
    <definedName name="ZARUBENSILIKON80075_B">#REF!</definedName>
    <definedName name="ZARUBENSILIKON80075_C">#REF!</definedName>
    <definedName name="ZARUBENSILIKON80075_D">#REF!</definedName>
    <definedName name="ZARUBENSILIKON80075_E">#REF!</definedName>
    <definedName name="ZárukaNaCS">[24]Rozp!$C$22</definedName>
    <definedName name="ZAVESCD">#REF!</definedName>
    <definedName name="ZAVESCD_A">#REF!</definedName>
    <definedName name="ZAVESCD_B">#REF!</definedName>
    <definedName name="ZAVESCD_C">#REF!</definedName>
    <definedName name="ZAVESCD_D">#REF!</definedName>
    <definedName name="ZAVESCD_E">#REF!</definedName>
    <definedName name="ZAVESCDZAOBLENY_A">#REF!</definedName>
    <definedName name="ZAVESCDZAOBLENY_B">#REF!</definedName>
    <definedName name="ZAVESCDZAOBLENY_C">#REF!</definedName>
    <definedName name="ZAVESCDZAOBLENY_D">#REF!</definedName>
    <definedName name="ZAVESCDZAOBLENY_E">#REF!</definedName>
    <definedName name="ZAVESSPEREMRIGISTIL">#REF!</definedName>
    <definedName name="ZAVESSPEREMRIGISTIL_A">#REF!</definedName>
    <definedName name="ZAVESSPEREMRIGISTIL_B">#REF!</definedName>
    <definedName name="ZAVESSPEREMRIGISTIL_C">#REF!</definedName>
    <definedName name="ZAVESSPEREMRIGISTIL_D">#REF!</definedName>
    <definedName name="ZAVESSPEREMRIGISTIL_E">#REF!</definedName>
    <definedName name="zb">#REF!</definedName>
    <definedName name="zb_be">#REF!</definedName>
    <definedName name="zb_la">#REF!</definedName>
    <definedName name="zb_ła">#REF!</definedName>
    <definedName name="zb_ma">#REF!</definedName>
    <definedName name="zb_pf">#REF!</definedName>
    <definedName name="zb_rg">#REF!</definedName>
    <definedName name="zb_sc">#REF!</definedName>
    <definedName name="zb_sch">#REF!</definedName>
    <definedName name="zb_sp">#REF!</definedName>
    <definedName name="zb_st">#REF!</definedName>
    <definedName name="zb_stop">#REF!</definedName>
    <definedName name="Zemní_práce">'[25]SO 51.4 Výkaz výměr'!#REF!</definedName>
    <definedName name="Zhotovitel">#REF!</definedName>
    <definedName name="Zkou">[24]Rozp!#REF!</definedName>
    <definedName name="zti">[4]Budova!$A$828:$A$914</definedName>
    <definedName name="ZTUZENISTEN">#REF!</definedName>
    <definedName name="ZTUZENISTEN_A">#REF!</definedName>
    <definedName name="ZTUZENISTEN_B">#REF!</definedName>
    <definedName name="ZTUZENISTEN_C">#REF!</definedName>
    <definedName name="ZTUZENISTEN_D">#REF!</definedName>
    <definedName name="ZTUZENISTEN_E">#REF!</definedName>
    <definedName name="zukktzerukitýžuk">#REF!</definedName>
    <definedName name="zukuilůuiluil">#REF!</definedName>
    <definedName name="zukzikzukzuk">#REF!</definedName>
    <definedName name="zukzukuiluilui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7" i="51" l="1"/>
  <c r="I167" i="51"/>
  <c r="H167" i="51"/>
  <c r="G167" i="51"/>
  <c r="C123" i="44" l="1"/>
  <c r="C124" i="44" s="1"/>
  <c r="C125" i="44" s="1"/>
  <c r="N124" i="44"/>
  <c r="N123" i="44"/>
  <c r="K239" i="51"/>
  <c r="K236" i="51"/>
  <c r="K191" i="51"/>
  <c r="K216" i="51"/>
  <c r="K190" i="51"/>
  <c r="K220" i="51"/>
  <c r="K129" i="51"/>
  <c r="C162" i="51"/>
  <c r="I156" i="51"/>
  <c r="H156" i="51"/>
  <c r="G156" i="51"/>
  <c r="I159" i="51"/>
  <c r="H159" i="51"/>
  <c r="G159" i="51"/>
  <c r="I154" i="51"/>
  <c r="H154" i="51"/>
  <c r="G154" i="51"/>
  <c r="Y152" i="51"/>
  <c r="K169" i="51"/>
  <c r="I169" i="51"/>
  <c r="H169" i="51"/>
  <c r="G169" i="51"/>
  <c r="K119" i="51"/>
  <c r="C131" i="50"/>
  <c r="AI108" i="1"/>
  <c r="G197" i="51"/>
  <c r="H197" i="51" s="1"/>
  <c r="I197" i="51" s="1"/>
  <c r="G125" i="51"/>
  <c r="H125" i="51" s="1"/>
  <c r="I125" i="51" s="1"/>
  <c r="A36" i="53"/>
  <c r="A35" i="53"/>
  <c r="K224" i="51"/>
  <c r="I225" i="51"/>
  <c r="H225" i="51"/>
  <c r="G225" i="51"/>
  <c r="D41" i="53"/>
  <c r="F35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J164" i="54"/>
  <c r="AN108" i="1" l="1"/>
  <c r="A32" i="22" l="1"/>
  <c r="A33" i="22"/>
  <c r="F32" i="22"/>
  <c r="F37" i="53"/>
  <c r="A15" i="22"/>
  <c r="A16" i="22" s="1"/>
  <c r="F15" i="22"/>
  <c r="X158" i="49"/>
  <c r="N159" i="49" l="1"/>
  <c r="Y159" i="49"/>
  <c r="Y158" i="49" s="1"/>
  <c r="I176" i="52" l="1"/>
  <c r="H176" i="52"/>
  <c r="G176" i="52"/>
  <c r="K187" i="43"/>
  <c r="K186" i="43"/>
  <c r="E187" i="43"/>
  <c r="E186" i="43"/>
  <c r="K184" i="43"/>
  <c r="K183" i="43" s="1"/>
  <c r="K182" i="43"/>
  <c r="K181" i="43" s="1"/>
  <c r="N181" i="43" s="1"/>
  <c r="E184" i="43"/>
  <c r="E182" i="43"/>
  <c r="V181" i="43"/>
  <c r="K154" i="43"/>
  <c r="E154" i="43"/>
  <c r="E153" i="43"/>
  <c r="K151" i="43"/>
  <c r="K150" i="43" s="1"/>
  <c r="E151" i="43"/>
  <c r="K173" i="43"/>
  <c r="K141" i="43"/>
  <c r="K149" i="43" s="1"/>
  <c r="K148" i="43" s="1"/>
  <c r="N148" i="43" s="1"/>
  <c r="E149" i="43"/>
  <c r="V183" i="43"/>
  <c r="V150" i="43"/>
  <c r="V148" i="43"/>
  <c r="I173" i="43"/>
  <c r="H173" i="43"/>
  <c r="G173" i="43"/>
  <c r="I141" i="43"/>
  <c r="H141" i="43"/>
  <c r="G141" i="43"/>
  <c r="AI113" i="1"/>
  <c r="AI112" i="1"/>
  <c r="AN112" i="1" s="1"/>
  <c r="AI107" i="1"/>
  <c r="AI106" i="1"/>
  <c r="AI105" i="1"/>
  <c r="K233" i="52"/>
  <c r="K232" i="52" s="1"/>
  <c r="I233" i="52"/>
  <c r="H233" i="52"/>
  <c r="G233" i="52"/>
  <c r="W181" i="43" l="1"/>
  <c r="W150" i="43"/>
  <c r="K153" i="43"/>
  <c r="W183" i="43"/>
  <c r="N183" i="43"/>
  <c r="W148" i="43"/>
  <c r="N150" i="43"/>
  <c r="AN113" i="1"/>
  <c r="AN107" i="1"/>
  <c r="AN106" i="1"/>
  <c r="AN105" i="1"/>
  <c r="N118" i="44" l="1"/>
  <c r="I215" i="50"/>
  <c r="H215" i="50"/>
  <c r="G215" i="50"/>
  <c r="K215" i="50"/>
  <c r="K214" i="50" s="1"/>
  <c r="N214" i="50" s="1"/>
  <c r="K206" i="50"/>
  <c r="K204" i="50"/>
  <c r="K203" i="50"/>
  <c r="N201" i="50"/>
  <c r="N200" i="50"/>
  <c r="K195" i="50"/>
  <c r="K193" i="50" s="1"/>
  <c r="I195" i="50"/>
  <c r="H195" i="50"/>
  <c r="G195" i="50"/>
  <c r="I194" i="50"/>
  <c r="H194" i="50"/>
  <c r="G194" i="50"/>
  <c r="K212" i="50"/>
  <c r="K211" i="50" s="1"/>
  <c r="N211" i="50" s="1"/>
  <c r="I212" i="50"/>
  <c r="H212" i="50"/>
  <c r="G212" i="50"/>
  <c r="G210" i="50"/>
  <c r="H210" i="50" s="1"/>
  <c r="I210" i="50" s="1"/>
  <c r="I191" i="50"/>
  <c r="H191" i="50"/>
  <c r="G191" i="50"/>
  <c r="N185" i="50"/>
  <c r="E176" i="51"/>
  <c r="E182" i="50"/>
  <c r="E178" i="50"/>
  <c r="E177" i="50"/>
  <c r="I177" i="50"/>
  <c r="H177" i="50"/>
  <c r="G177" i="50"/>
  <c r="I178" i="50"/>
  <c r="H178" i="50"/>
  <c r="G178" i="50"/>
  <c r="I148" i="50"/>
  <c r="H148" i="50"/>
  <c r="G148" i="50"/>
  <c r="I145" i="50"/>
  <c r="H145" i="50"/>
  <c r="G145" i="50"/>
  <c r="K172" i="50"/>
  <c r="K177" i="50" s="1"/>
  <c r="K179" i="50" s="1"/>
  <c r="K173" i="50"/>
  <c r="K178" i="50" s="1"/>
  <c r="K180" i="50" s="1"/>
  <c r="K121" i="50"/>
  <c r="K152" i="50" s="1"/>
  <c r="K155" i="50" s="1"/>
  <c r="K174" i="50"/>
  <c r="K182" i="50" s="1"/>
  <c r="C127" i="50"/>
  <c r="K122" i="50"/>
  <c r="K149" i="50" s="1"/>
  <c r="K118" i="50"/>
  <c r="K115" i="50"/>
  <c r="K213" i="50" l="1"/>
  <c r="N213" i="50" s="1"/>
  <c r="K209" i="50"/>
  <c r="N209" i="50" s="1"/>
  <c r="K176" i="50"/>
  <c r="W117" i="50"/>
  <c r="K117" i="50"/>
  <c r="K114" i="50"/>
  <c r="I184" i="50"/>
  <c r="H184" i="50"/>
  <c r="G184" i="50"/>
  <c r="I182" i="50"/>
  <c r="H182" i="50"/>
  <c r="G182" i="50"/>
  <c r="K181" i="50"/>
  <c r="N180" i="50" s="1"/>
  <c r="G166" i="50"/>
  <c r="H166" i="50" s="1"/>
  <c r="I166" i="50" s="1"/>
  <c r="J164" i="50"/>
  <c r="G164" i="50"/>
  <c r="H164" i="50" s="1"/>
  <c r="I164" i="50" s="1"/>
  <c r="K162" i="50"/>
  <c r="G162" i="50"/>
  <c r="H162" i="50" s="1"/>
  <c r="I162" i="50" s="1"/>
  <c r="I157" i="50"/>
  <c r="H157" i="50"/>
  <c r="G157" i="50"/>
  <c r="I155" i="50"/>
  <c r="H155" i="50"/>
  <c r="G155" i="50"/>
  <c r="K153" i="50"/>
  <c r="I151" i="50"/>
  <c r="H151" i="50"/>
  <c r="G151" i="50"/>
  <c r="K151" i="50"/>
  <c r="K150" i="50" s="1"/>
  <c r="N150" i="50" s="1"/>
  <c r="I142" i="50"/>
  <c r="H142" i="50"/>
  <c r="G142" i="50"/>
  <c r="I139" i="50"/>
  <c r="H139" i="50"/>
  <c r="G139" i="50"/>
  <c r="K134" i="50"/>
  <c r="N134" i="50" s="1"/>
  <c r="I135" i="50"/>
  <c r="H135" i="50"/>
  <c r="G135" i="50"/>
  <c r="U131" i="50"/>
  <c r="G130" i="50"/>
  <c r="H130" i="50" s="1"/>
  <c r="I130" i="50" s="1"/>
  <c r="C129" i="50"/>
  <c r="C134" i="50" s="1"/>
  <c r="C138" i="50" s="1"/>
  <c r="C140" i="50" s="1"/>
  <c r="W114" i="50"/>
  <c r="Y219" i="43"/>
  <c r="D89" i="1"/>
  <c r="D95" i="1"/>
  <c r="D94" i="1"/>
  <c r="K144" i="54"/>
  <c r="N144" i="54" s="1"/>
  <c r="K143" i="54"/>
  <c r="N143" i="54" s="1"/>
  <c r="K142" i="54"/>
  <c r="N142" i="54" s="1"/>
  <c r="K125" i="54"/>
  <c r="J122" i="54"/>
  <c r="C117" i="54"/>
  <c r="C119" i="54" s="1"/>
  <c r="C121" i="54" s="1"/>
  <c r="K148" i="54"/>
  <c r="N148" i="54" s="1"/>
  <c r="K147" i="54"/>
  <c r="N147" i="54" s="1"/>
  <c r="K146" i="54"/>
  <c r="N146" i="54" s="1"/>
  <c r="K145" i="54"/>
  <c r="I153" i="54"/>
  <c r="H153" i="54"/>
  <c r="G153" i="54"/>
  <c r="K153" i="54"/>
  <c r="K133" i="54"/>
  <c r="J124" i="54"/>
  <c r="J123" i="54"/>
  <c r="D29" i="53"/>
  <c r="K140" i="54"/>
  <c r="N140" i="54" s="1"/>
  <c r="I141" i="54"/>
  <c r="H141" i="54"/>
  <c r="G141" i="54"/>
  <c r="F99" i="54"/>
  <c r="D88" i="54"/>
  <c r="D87" i="54"/>
  <c r="D86" i="54"/>
  <c r="F76" i="54"/>
  <c r="M33" i="54"/>
  <c r="E22" i="54"/>
  <c r="E19" i="54"/>
  <c r="M81" i="54" s="1"/>
  <c r="E16" i="54"/>
  <c r="M103" i="54" s="1"/>
  <c r="O13" i="54"/>
  <c r="E13" i="54"/>
  <c r="O12" i="54"/>
  <c r="F12" i="54"/>
  <c r="F81" i="54" s="1"/>
  <c r="F104" i="54" s="1"/>
  <c r="F9" i="54"/>
  <c r="F80" i="54" s="1"/>
  <c r="F103" i="54" s="1"/>
  <c r="O7" i="54"/>
  <c r="M101" i="54" s="1"/>
  <c r="F4" i="54"/>
  <c r="F98" i="54" s="1"/>
  <c r="D43" i="53"/>
  <c r="F47" i="53" s="1"/>
  <c r="D40" i="53"/>
  <c r="D45" i="53" s="1"/>
  <c r="F45" i="53" s="1"/>
  <c r="K161" i="50" l="1"/>
  <c r="N161" i="50" s="1"/>
  <c r="C141" i="50"/>
  <c r="K137" i="50"/>
  <c r="K139" i="50" s="1"/>
  <c r="K138" i="50" s="1"/>
  <c r="N138" i="50" s="1"/>
  <c r="K133" i="50"/>
  <c r="K131" i="50" s="1"/>
  <c r="N131" i="50" s="1"/>
  <c r="K143" i="50"/>
  <c r="K126" i="50"/>
  <c r="K125" i="50" s="1"/>
  <c r="V134" i="50"/>
  <c r="K113" i="50"/>
  <c r="I83" i="50" s="1"/>
  <c r="AS89" i="1" s="1"/>
  <c r="N181" i="50"/>
  <c r="K184" i="50"/>
  <c r="K183" i="50" s="1"/>
  <c r="N183" i="50" s="1"/>
  <c r="V153" i="50"/>
  <c r="N153" i="50"/>
  <c r="K157" i="50"/>
  <c r="K168" i="50"/>
  <c r="K160" i="50"/>
  <c r="N160" i="50" s="1"/>
  <c r="K164" i="50"/>
  <c r="K163" i="50" s="1"/>
  <c r="N163" i="50" s="1"/>
  <c r="K170" i="50"/>
  <c r="K169" i="50" s="1"/>
  <c r="N169" i="50" s="1"/>
  <c r="C125" i="54"/>
  <c r="C133" i="54" s="1"/>
  <c r="C140" i="54" s="1"/>
  <c r="K118" i="54"/>
  <c r="K117" i="54" s="1"/>
  <c r="K116" i="54"/>
  <c r="N125" i="54"/>
  <c r="K120" i="54"/>
  <c r="K119" i="54" s="1"/>
  <c r="K149" i="54"/>
  <c r="K150" i="54"/>
  <c r="K124" i="54"/>
  <c r="M78" i="54"/>
  <c r="M80" i="54"/>
  <c r="M104" i="54"/>
  <c r="N133" i="54"/>
  <c r="K152" i="54"/>
  <c r="F75" i="54"/>
  <c r="K112" i="54" l="1"/>
  <c r="K164" i="54"/>
  <c r="K151" i="54"/>
  <c r="K163" i="54"/>
  <c r="N163" i="54" s="1"/>
  <c r="K140" i="50"/>
  <c r="N140" i="50" s="1"/>
  <c r="K142" i="50"/>
  <c r="K141" i="50" s="1"/>
  <c r="N141" i="50" s="1"/>
  <c r="V131" i="50"/>
  <c r="N196" i="50"/>
  <c r="K190" i="50"/>
  <c r="K167" i="50"/>
  <c r="C144" i="50"/>
  <c r="C146" i="50" s="1"/>
  <c r="C147" i="50" s="1"/>
  <c r="C150" i="50" s="1"/>
  <c r="C153" i="50" s="1"/>
  <c r="C156" i="50" s="1"/>
  <c r="C158" i="50" s="1"/>
  <c r="C160" i="50" s="1"/>
  <c r="C161" i="50" s="1"/>
  <c r="C163" i="50" s="1"/>
  <c r="C165" i="50" s="1"/>
  <c r="N125" i="50"/>
  <c r="V125" i="50"/>
  <c r="V114" i="50" s="1"/>
  <c r="Y213" i="43" s="1"/>
  <c r="K145" i="50"/>
  <c r="K144" i="50" s="1"/>
  <c r="N144" i="50" s="1"/>
  <c r="K148" i="50"/>
  <c r="K147" i="50" s="1"/>
  <c r="N147" i="50" s="1"/>
  <c r="K146" i="50"/>
  <c r="N146" i="50" s="1"/>
  <c r="K128" i="50"/>
  <c r="K127" i="50" s="1"/>
  <c r="K130" i="50" s="1"/>
  <c r="K156" i="50"/>
  <c r="K159" i="50"/>
  <c r="K158" i="50" s="1"/>
  <c r="N158" i="50" s="1"/>
  <c r="K162" i="54"/>
  <c r="K165" i="54"/>
  <c r="N165" i="54" s="1"/>
  <c r="N151" i="54"/>
  <c r="C142" i="54"/>
  <c r="C143" i="54" s="1"/>
  <c r="C144" i="54" s="1"/>
  <c r="K123" i="54"/>
  <c r="K122" i="54" s="1"/>
  <c r="K121" i="54" s="1"/>
  <c r="N121" i="54" s="1"/>
  <c r="N117" i="54"/>
  <c r="N119" i="54"/>
  <c r="K115" i="54"/>
  <c r="N150" i="54"/>
  <c r="N149" i="54"/>
  <c r="N145" i="54"/>
  <c r="I83" i="54"/>
  <c r="AS94" i="1" s="1"/>
  <c r="N152" i="54"/>
  <c r="N190" i="50" l="1"/>
  <c r="K192" i="50"/>
  <c r="N193" i="50"/>
  <c r="N192" i="50"/>
  <c r="N167" i="50"/>
  <c r="C167" i="50"/>
  <c r="C169" i="50" s="1"/>
  <c r="C176" i="50" s="1"/>
  <c r="C179" i="50" s="1"/>
  <c r="C180" i="50" s="1"/>
  <c r="C181" i="50" s="1"/>
  <c r="C183" i="50" s="1"/>
  <c r="C185" i="50" s="1"/>
  <c r="C190" i="50" s="1"/>
  <c r="N179" i="50"/>
  <c r="N176" i="50"/>
  <c r="N127" i="50"/>
  <c r="K129" i="50"/>
  <c r="N156" i="50"/>
  <c r="K166" i="50"/>
  <c r="K165" i="50" s="1"/>
  <c r="N165" i="50" s="1"/>
  <c r="C145" i="54"/>
  <c r="C146" i="54" s="1"/>
  <c r="C147" i="54" s="1"/>
  <c r="C148" i="54" s="1"/>
  <c r="C149" i="54" s="1"/>
  <c r="C150" i="54" s="1"/>
  <c r="C151" i="54" s="1"/>
  <c r="C152" i="54" s="1"/>
  <c r="C162" i="54" s="1"/>
  <c r="C163" i="54" s="1"/>
  <c r="C165" i="54" s="1"/>
  <c r="N115" i="54"/>
  <c r="C192" i="50" l="1"/>
  <c r="C193" i="50" s="1"/>
  <c r="C196" i="50" s="1"/>
  <c r="N129" i="50"/>
  <c r="C169" i="54"/>
  <c r="N162" i="54"/>
  <c r="N112" i="54" s="1"/>
  <c r="D36" i="53"/>
  <c r="F30" i="53"/>
  <c r="F31" i="53"/>
  <c r="D99" i="1"/>
  <c r="F48" i="53"/>
  <c r="F43" i="53"/>
  <c r="F40" i="53"/>
  <c r="F34" i="53"/>
  <c r="F29" i="53"/>
  <c r="A34" i="53"/>
  <c r="A37" i="53" s="1"/>
  <c r="A40" i="53" s="1"/>
  <c r="F14" i="53"/>
  <c r="C6" i="53"/>
  <c r="C1" i="53"/>
  <c r="N113" i="50" l="1"/>
  <c r="C197" i="50"/>
  <c r="T112" i="54"/>
  <c r="K169" i="54"/>
  <c r="N87" i="54"/>
  <c r="K87" i="54" s="1"/>
  <c r="A41" i="53"/>
  <c r="A42" i="53" s="1"/>
  <c r="A43" i="53" s="1"/>
  <c r="F36" i="53"/>
  <c r="F33" i="53" s="1"/>
  <c r="F41" i="53"/>
  <c r="F13" i="53"/>
  <c r="A44" i="53" l="1"/>
  <c r="A45" i="53" s="1"/>
  <c r="A46" i="53" s="1"/>
  <c r="A47" i="53" s="1"/>
  <c r="D44" i="53"/>
  <c r="F44" i="53" s="1"/>
  <c r="F46" i="53"/>
  <c r="D42" i="53"/>
  <c r="F42" i="53" s="1"/>
  <c r="A48" i="53"/>
  <c r="C198" i="50"/>
  <c r="N169" i="54"/>
  <c r="N168" i="54" s="1"/>
  <c r="F39" i="53" l="1"/>
  <c r="F50" i="53" s="1"/>
  <c r="C199" i="50"/>
  <c r="T168" i="54"/>
  <c r="N110" i="54"/>
  <c r="T110" i="54" s="1"/>
  <c r="T109" i="54" s="1"/>
  <c r="N88" i="54"/>
  <c r="N86" i="54" s="1"/>
  <c r="AG99" i="1"/>
  <c r="I50" i="53" l="1"/>
  <c r="C200" i="50"/>
  <c r="C201" i="50" s="1"/>
  <c r="C202" i="50" s="1"/>
  <c r="K88" i="54"/>
  <c r="N109" i="54"/>
  <c r="N85" i="54"/>
  <c r="K86" i="54"/>
  <c r="T86" i="54"/>
  <c r="T85" i="54" l="1"/>
  <c r="M28" i="54"/>
  <c r="M30" i="54" s="1"/>
  <c r="AG94" i="1" s="1"/>
  <c r="L90" i="54"/>
  <c r="K90" i="54" s="1"/>
  <c r="K85" i="54"/>
  <c r="H32" i="54" l="1"/>
  <c r="M32" i="54" s="1"/>
  <c r="L35" i="54" s="1"/>
  <c r="D98" i="1" l="1"/>
  <c r="D30" i="22"/>
  <c r="D28" i="22"/>
  <c r="Y218" i="43" s="1"/>
  <c r="D29" i="22"/>
  <c r="D33" i="22" s="1"/>
  <c r="AT94" i="1"/>
  <c r="D93" i="1"/>
  <c r="J138" i="49"/>
  <c r="I138" i="49"/>
  <c r="H138" i="49"/>
  <c r="G138" i="49"/>
  <c r="J156" i="49"/>
  <c r="J121" i="49"/>
  <c r="K115" i="49"/>
  <c r="X113" i="49"/>
  <c r="I166" i="31"/>
  <c r="H166" i="31"/>
  <c r="G166" i="31"/>
  <c r="K166" i="31"/>
  <c r="K143" i="31"/>
  <c r="K141" i="31"/>
  <c r="K133" i="31"/>
  <c r="K131" i="31" s="1"/>
  <c r="K132" i="31"/>
  <c r="I161" i="31"/>
  <c r="H161" i="31"/>
  <c r="G161" i="31"/>
  <c r="K161" i="31"/>
  <c r="K160" i="31"/>
  <c r="K162" i="31" s="1"/>
  <c r="N162" i="31" s="1"/>
  <c r="K129" i="31"/>
  <c r="N160" i="31" l="1"/>
  <c r="K125" i="31"/>
  <c r="K124" i="31" s="1"/>
  <c r="N124" i="31" s="1"/>
  <c r="K121" i="31"/>
  <c r="I121" i="31"/>
  <c r="H121" i="31"/>
  <c r="G121" i="31"/>
  <c r="I117" i="31"/>
  <c r="H117" i="31"/>
  <c r="G117" i="31"/>
  <c r="C120" i="31"/>
  <c r="C122" i="31" s="1"/>
  <c r="C123" i="31" s="1"/>
  <c r="C124" i="31" s="1"/>
  <c r="K117" i="31"/>
  <c r="D92" i="1"/>
  <c r="D89" i="31"/>
  <c r="D88" i="31"/>
  <c r="D87" i="31"/>
  <c r="K165" i="31"/>
  <c r="N165" i="31" s="1"/>
  <c r="K142" i="31"/>
  <c r="I143" i="31"/>
  <c r="H143" i="31"/>
  <c r="G143" i="31"/>
  <c r="K140" i="31"/>
  <c r="N140" i="31" s="1"/>
  <c r="I141" i="31"/>
  <c r="H141" i="31"/>
  <c r="G141" i="31"/>
  <c r="I136" i="31"/>
  <c r="H136" i="31"/>
  <c r="G136" i="31"/>
  <c r="K134" i="31"/>
  <c r="K128" i="31"/>
  <c r="I129" i="31"/>
  <c r="H129" i="31"/>
  <c r="G129" i="31"/>
  <c r="I123" i="31"/>
  <c r="H123" i="31"/>
  <c r="G123" i="31"/>
  <c r="K273" i="52"/>
  <c r="K272" i="52" s="1"/>
  <c r="I273" i="52"/>
  <c r="H273" i="52"/>
  <c r="G273" i="52"/>
  <c r="K267" i="52"/>
  <c r="K266" i="52" s="1"/>
  <c r="K271" i="52" s="1"/>
  <c r="I267" i="52"/>
  <c r="H267" i="52"/>
  <c r="G267" i="52"/>
  <c r="I265" i="52"/>
  <c r="H265" i="52"/>
  <c r="G265" i="52"/>
  <c r="K265" i="52"/>
  <c r="K264" i="52"/>
  <c r="K270" i="52" s="1"/>
  <c r="I263" i="52"/>
  <c r="H263" i="52"/>
  <c r="G263" i="52"/>
  <c r="K263" i="52"/>
  <c r="K262" i="52" s="1"/>
  <c r="N262" i="52" s="1"/>
  <c r="K259" i="52"/>
  <c r="K258" i="52" s="1"/>
  <c r="I259" i="52"/>
  <c r="H259" i="52"/>
  <c r="G259" i="52"/>
  <c r="K231" i="52"/>
  <c r="K230" i="52" s="1"/>
  <c r="K229" i="52"/>
  <c r="K228" i="52" s="1"/>
  <c r="N228" i="52" s="1"/>
  <c r="I224" i="52"/>
  <c r="H224" i="52"/>
  <c r="G224" i="52"/>
  <c r="D91" i="1"/>
  <c r="I231" i="52"/>
  <c r="H231" i="52"/>
  <c r="G231" i="52"/>
  <c r="I229" i="52"/>
  <c r="H229" i="52"/>
  <c r="G229" i="52"/>
  <c r="I219" i="52"/>
  <c r="H219" i="52"/>
  <c r="G219" i="52"/>
  <c r="K217" i="52"/>
  <c r="I209" i="52"/>
  <c r="H209" i="52"/>
  <c r="G209" i="52"/>
  <c r="K209" i="52"/>
  <c r="K208" i="52" s="1"/>
  <c r="K213" i="52" s="1"/>
  <c r="I207" i="52"/>
  <c r="H207" i="52"/>
  <c r="G207" i="52"/>
  <c r="K207" i="52"/>
  <c r="K206" i="52" s="1"/>
  <c r="N160" i="49" l="1"/>
  <c r="N230" i="52"/>
  <c r="K236" i="52"/>
  <c r="W124" i="31"/>
  <c r="W113" i="31" s="1"/>
  <c r="AA216" i="43" s="1"/>
  <c r="C126" i="31"/>
  <c r="C128" i="31" s="1"/>
  <c r="C135" i="31" s="1"/>
  <c r="K127" i="31"/>
  <c r="K126" i="31" s="1"/>
  <c r="N126" i="31" s="1"/>
  <c r="K113" i="31"/>
  <c r="I83" i="31" s="1"/>
  <c r="AS92" i="1" s="1"/>
  <c r="K151" i="31"/>
  <c r="K120" i="31"/>
  <c r="K122" i="31" s="1"/>
  <c r="N122" i="31" s="1"/>
  <c r="K116" i="31"/>
  <c r="X116" i="31" s="1"/>
  <c r="K144" i="31"/>
  <c r="K146" i="31" s="1"/>
  <c r="K145" i="31" s="1"/>
  <c r="N145" i="31" s="1"/>
  <c r="K149" i="31"/>
  <c r="N149" i="31" s="1"/>
  <c r="K136" i="31"/>
  <c r="K135" i="31" s="1"/>
  <c r="K147" i="31"/>
  <c r="N147" i="31" s="1"/>
  <c r="N142" i="31"/>
  <c r="N128" i="31"/>
  <c r="N264" i="52"/>
  <c r="N270" i="52"/>
  <c r="N236" i="52"/>
  <c r="N213" i="52"/>
  <c r="K215" i="52"/>
  <c r="K154" i="31" l="1"/>
  <c r="N154" i="31" s="1"/>
  <c r="K152" i="31"/>
  <c r="N152" i="31" s="1"/>
  <c r="K153" i="31"/>
  <c r="N153" i="31" s="1"/>
  <c r="K155" i="31"/>
  <c r="N116" i="31"/>
  <c r="K123" i="31"/>
  <c r="N123" i="31" s="1"/>
  <c r="N120" i="31"/>
  <c r="Y120" i="31"/>
  <c r="Y113" i="31" s="1"/>
  <c r="Z216" i="43" s="1"/>
  <c r="K137" i="31"/>
  <c r="N135" i="31"/>
  <c r="K148" i="31"/>
  <c r="N148" i="31" s="1"/>
  <c r="N144" i="31"/>
  <c r="N113" i="31" l="1"/>
  <c r="N87" i="31" s="1"/>
  <c r="K156" i="31"/>
  <c r="N155" i="31"/>
  <c r="N164" i="49"/>
  <c r="N161" i="49"/>
  <c r="N163" i="49"/>
  <c r="N162" i="49"/>
  <c r="K138" i="31"/>
  <c r="N137" i="31"/>
  <c r="C137" i="31"/>
  <c r="C138" i="31" s="1"/>
  <c r="C139" i="31" s="1"/>
  <c r="C140" i="31" s="1"/>
  <c r="C142" i="31" s="1"/>
  <c r="X113" i="31"/>
  <c r="Y216" i="43" s="1"/>
  <c r="T113" i="31" l="1"/>
  <c r="K157" i="31"/>
  <c r="N157" i="31" s="1"/>
  <c r="N156" i="31"/>
  <c r="C144" i="31"/>
  <c r="C145" i="31"/>
  <c r="C147" i="31" s="1"/>
  <c r="C148" i="31" s="1"/>
  <c r="C149" i="31" s="1"/>
  <c r="C152" i="31" s="1"/>
  <c r="C153" i="31" s="1"/>
  <c r="C154" i="31" s="1"/>
  <c r="C155" i="31" s="1"/>
  <c r="C156" i="31" s="1"/>
  <c r="C157" i="31" s="1"/>
  <c r="N138" i="31"/>
  <c r="K139" i="31"/>
  <c r="N139" i="31" s="1"/>
  <c r="C160" i="31" l="1"/>
  <c r="C162" i="31" s="1"/>
  <c r="C165" i="31" s="1"/>
  <c r="C169" i="31" s="1"/>
  <c r="N131" i="31"/>
  <c r="T131" i="31" l="1"/>
  <c r="N88" i="31"/>
  <c r="K169" i="31"/>
  <c r="N169" i="31" s="1"/>
  <c r="N168" i="31" s="1"/>
  <c r="T168" i="31" l="1"/>
  <c r="N89" i="31"/>
  <c r="N111" i="31"/>
  <c r="N110" i="31" s="1"/>
  <c r="K201" i="52" l="1"/>
  <c r="N217" i="52"/>
  <c r="N199" i="52"/>
  <c r="K198" i="52"/>
  <c r="I198" i="52"/>
  <c r="H198" i="52"/>
  <c r="G198" i="52"/>
  <c r="I196" i="52"/>
  <c r="H196" i="52"/>
  <c r="G196" i="52"/>
  <c r="K196" i="52"/>
  <c r="I194" i="52"/>
  <c r="H194" i="52"/>
  <c r="G194" i="52"/>
  <c r="K194" i="52"/>
  <c r="K177" i="52"/>
  <c r="I191" i="52"/>
  <c r="H191" i="52"/>
  <c r="G191" i="52"/>
  <c r="I179" i="52"/>
  <c r="H179" i="52"/>
  <c r="G179" i="52"/>
  <c r="I173" i="52"/>
  <c r="H173" i="52"/>
  <c r="G173" i="52"/>
  <c r="K168" i="52"/>
  <c r="K222" i="52" s="1"/>
  <c r="K139" i="52"/>
  <c r="G139" i="52"/>
  <c r="H139" i="52" s="1"/>
  <c r="I139" i="52" s="1"/>
  <c r="K145" i="52"/>
  <c r="K144" i="52" s="1"/>
  <c r="N144" i="52" s="1"/>
  <c r="K151" i="52"/>
  <c r="K150" i="52" s="1"/>
  <c r="I151" i="52"/>
  <c r="H151" i="52"/>
  <c r="G151" i="52"/>
  <c r="I154" i="52"/>
  <c r="H154" i="52"/>
  <c r="G154" i="52"/>
  <c r="I149" i="52"/>
  <c r="H149" i="52"/>
  <c r="G149" i="52"/>
  <c r="K149" i="52"/>
  <c r="K143" i="52"/>
  <c r="I147" i="52"/>
  <c r="H147" i="52"/>
  <c r="G147" i="52"/>
  <c r="K147" i="52"/>
  <c r="G138" i="52"/>
  <c r="H138" i="52" s="1"/>
  <c r="I138" i="52" s="1"/>
  <c r="J138" i="52"/>
  <c r="K138" i="52" s="1"/>
  <c r="K165" i="52"/>
  <c r="K164" i="52"/>
  <c r="K188" i="52" s="1"/>
  <c r="K162" i="52"/>
  <c r="I119" i="52"/>
  <c r="H119" i="52"/>
  <c r="G119" i="52"/>
  <c r="K119" i="52"/>
  <c r="I158" i="52"/>
  <c r="H158" i="52"/>
  <c r="G158" i="52"/>
  <c r="K158" i="52"/>
  <c r="K132" i="52"/>
  <c r="G132" i="52"/>
  <c r="H132" i="52" s="1"/>
  <c r="I132" i="52" s="1"/>
  <c r="K131" i="52"/>
  <c r="G131" i="52"/>
  <c r="H131" i="52" s="1"/>
  <c r="I131" i="52" s="1"/>
  <c r="I118" i="52"/>
  <c r="H118" i="52"/>
  <c r="G118" i="52"/>
  <c r="K118" i="52"/>
  <c r="I120" i="52"/>
  <c r="H120" i="52"/>
  <c r="G120" i="52"/>
  <c r="K120" i="52"/>
  <c r="K175" i="43"/>
  <c r="K128" i="52"/>
  <c r="I128" i="52"/>
  <c r="H128" i="52"/>
  <c r="G128" i="52"/>
  <c r="I126" i="52"/>
  <c r="H126" i="52"/>
  <c r="G126" i="52"/>
  <c r="K126" i="52"/>
  <c r="K124" i="52"/>
  <c r="I124" i="52"/>
  <c r="H124" i="52"/>
  <c r="G124" i="52"/>
  <c r="I122" i="52"/>
  <c r="H122" i="52"/>
  <c r="G122" i="52"/>
  <c r="K122" i="52"/>
  <c r="G117" i="52"/>
  <c r="H117" i="52" s="1"/>
  <c r="I117" i="52" s="1"/>
  <c r="K117" i="52"/>
  <c r="D88" i="1"/>
  <c r="D90" i="1"/>
  <c r="AN94" i="1"/>
  <c r="I239" i="51"/>
  <c r="H239" i="51"/>
  <c r="G239" i="51"/>
  <c r="I236" i="51"/>
  <c r="H236" i="51"/>
  <c r="G236" i="51"/>
  <c r="K235" i="51"/>
  <c r="I235" i="51"/>
  <c r="H235" i="51"/>
  <c r="G235" i="51"/>
  <c r="I255" i="51"/>
  <c r="H255" i="51"/>
  <c r="G255" i="51"/>
  <c r="K255" i="51"/>
  <c r="I256" i="51"/>
  <c r="H256" i="51"/>
  <c r="G256" i="51"/>
  <c r="K256" i="51"/>
  <c r="K238" i="51"/>
  <c r="I238" i="51"/>
  <c r="H238" i="51"/>
  <c r="G238" i="51"/>
  <c r="K228" i="51"/>
  <c r="K227" i="51" s="1"/>
  <c r="I228" i="51"/>
  <c r="H228" i="51"/>
  <c r="G228" i="51"/>
  <c r="K218" i="51"/>
  <c r="K217" i="51" s="1"/>
  <c r="I222" i="51"/>
  <c r="H222" i="51"/>
  <c r="G222" i="51"/>
  <c r="I220" i="51"/>
  <c r="H220" i="51"/>
  <c r="G220" i="51"/>
  <c r="K212" i="51"/>
  <c r="J210" i="51"/>
  <c r="K202" i="51"/>
  <c r="K205" i="51" s="1"/>
  <c r="I204" i="51"/>
  <c r="H204" i="51"/>
  <c r="G204" i="51"/>
  <c r="U198" i="51"/>
  <c r="K200" i="51"/>
  <c r="K186" i="51"/>
  <c r="K195" i="51" s="1"/>
  <c r="K188" i="51"/>
  <c r="K215" i="51" s="1"/>
  <c r="I182" i="51"/>
  <c r="H182" i="51"/>
  <c r="G182" i="51"/>
  <c r="I184" i="51"/>
  <c r="H184" i="51"/>
  <c r="G184" i="51"/>
  <c r="I178" i="51"/>
  <c r="H178" i="51"/>
  <c r="G178" i="51"/>
  <c r="K173" i="51"/>
  <c r="K182" i="51" s="1"/>
  <c r="K172" i="51"/>
  <c r="K180" i="51" s="1"/>
  <c r="K171" i="51"/>
  <c r="K176" i="51" s="1"/>
  <c r="I139" i="51"/>
  <c r="H139" i="51"/>
  <c r="G139" i="51"/>
  <c r="K187" i="52" l="1"/>
  <c r="K186" i="52" s="1"/>
  <c r="N186" i="52" s="1"/>
  <c r="K224" i="52"/>
  <c r="K223" i="52" s="1"/>
  <c r="K225" i="52" s="1"/>
  <c r="K226" i="52" s="1"/>
  <c r="K227" i="52" s="1"/>
  <c r="N227" i="52" s="1"/>
  <c r="K238" i="52"/>
  <c r="N238" i="52" s="1"/>
  <c r="K171" i="52"/>
  <c r="K176" i="52" s="1"/>
  <c r="K175" i="52" s="1"/>
  <c r="N175" i="52" s="1"/>
  <c r="K161" i="52"/>
  <c r="K113" i="52" s="1"/>
  <c r="K210" i="52"/>
  <c r="K212" i="52" s="1"/>
  <c r="K219" i="52"/>
  <c r="K205" i="52"/>
  <c r="K202" i="52"/>
  <c r="N202" i="52" s="1"/>
  <c r="K204" i="52"/>
  <c r="K203" i="52"/>
  <c r="N203" i="52" s="1"/>
  <c r="K183" i="52"/>
  <c r="K182" i="52" s="1"/>
  <c r="N182" i="52" s="1"/>
  <c r="K181" i="52"/>
  <c r="K180" i="52" s="1"/>
  <c r="N180" i="52" s="1"/>
  <c r="K185" i="52"/>
  <c r="K184" i="52" s="1"/>
  <c r="N184" i="52" s="1"/>
  <c r="K179" i="52"/>
  <c r="K178" i="52" s="1"/>
  <c r="N178" i="52" s="1"/>
  <c r="K169" i="52"/>
  <c r="K240" i="52" s="1"/>
  <c r="K137" i="52"/>
  <c r="K129" i="52"/>
  <c r="N129" i="52" s="1"/>
  <c r="K116" i="52"/>
  <c r="K237" i="51"/>
  <c r="K234" i="51"/>
  <c r="K210" i="51"/>
  <c r="K209" i="51" s="1"/>
  <c r="N209" i="51" s="1"/>
  <c r="K207" i="51"/>
  <c r="K206" i="51" s="1"/>
  <c r="K208" i="51" s="1"/>
  <c r="K204" i="51"/>
  <c r="K203" i="51" s="1"/>
  <c r="N203" i="51" s="1"/>
  <c r="K137" i="51"/>
  <c r="I136" i="51"/>
  <c r="H136" i="51"/>
  <c r="G136" i="51"/>
  <c r="I133" i="51"/>
  <c r="H133" i="51"/>
  <c r="G133" i="51"/>
  <c r="K148" i="51"/>
  <c r="K151" i="51" s="1"/>
  <c r="N151" i="51" s="1"/>
  <c r="W115" i="51"/>
  <c r="W214" i="43" s="1"/>
  <c r="X115" i="51"/>
  <c r="AA214" i="43" s="1"/>
  <c r="U126" i="51"/>
  <c r="I129" i="51"/>
  <c r="H129" i="51"/>
  <c r="G129" i="51"/>
  <c r="K128" i="51"/>
  <c r="V128" i="51" s="1"/>
  <c r="N227" i="51"/>
  <c r="N224" i="51"/>
  <c r="I226" i="51"/>
  <c r="H226" i="51"/>
  <c r="G226" i="51"/>
  <c r="N217" i="51"/>
  <c r="I218" i="51"/>
  <c r="H218" i="51"/>
  <c r="G218" i="51"/>
  <c r="K214" i="51"/>
  <c r="I215" i="51"/>
  <c r="H215" i="51"/>
  <c r="G215" i="51"/>
  <c r="K211" i="51"/>
  <c r="K219" i="51" s="1"/>
  <c r="I212" i="51"/>
  <c r="H212" i="51"/>
  <c r="G212" i="51"/>
  <c r="G210" i="51"/>
  <c r="H210" i="51" s="1"/>
  <c r="I210" i="51" s="1"/>
  <c r="I207" i="51"/>
  <c r="H207" i="51"/>
  <c r="G207" i="51"/>
  <c r="N205" i="51"/>
  <c r="K194" i="51"/>
  <c r="K197" i="51" s="1"/>
  <c r="K196" i="51" s="1"/>
  <c r="K198" i="51"/>
  <c r="N198" i="51" s="1"/>
  <c r="K181" i="51"/>
  <c r="K179" i="51"/>
  <c r="N179" i="51" s="1"/>
  <c r="I180" i="51"/>
  <c r="H180" i="51"/>
  <c r="G180" i="51"/>
  <c r="K175" i="51"/>
  <c r="I176" i="51"/>
  <c r="H176" i="51"/>
  <c r="G176" i="51"/>
  <c r="I164" i="51"/>
  <c r="H164" i="51"/>
  <c r="G164" i="51"/>
  <c r="K161" i="51"/>
  <c r="K117" i="51"/>
  <c r="K127" i="51" s="1"/>
  <c r="K126" i="51" s="1"/>
  <c r="N126" i="51" s="1"/>
  <c r="C124" i="51"/>
  <c r="I150" i="51"/>
  <c r="H150" i="51"/>
  <c r="G150" i="51"/>
  <c r="J169" i="43"/>
  <c r="K169" i="43" s="1"/>
  <c r="K168" i="43" s="1"/>
  <c r="G216" i="43"/>
  <c r="H216" i="43" s="1"/>
  <c r="I216" i="43" s="1"/>
  <c r="K157" i="52"/>
  <c r="K148" i="52"/>
  <c r="K146" i="52"/>
  <c r="K142" i="52"/>
  <c r="N142" i="52" s="1"/>
  <c r="I141" i="52"/>
  <c r="H141" i="52"/>
  <c r="G141" i="52"/>
  <c r="K127" i="52"/>
  <c r="N127" i="52" s="1"/>
  <c r="K125" i="52"/>
  <c r="K123" i="52"/>
  <c r="N123" i="52" s="1"/>
  <c r="K121" i="52"/>
  <c r="C121" i="52"/>
  <c r="C123" i="52" s="1"/>
  <c r="C125" i="52" s="1"/>
  <c r="C127" i="52" s="1"/>
  <c r="C129" i="52" s="1"/>
  <c r="C133" i="52" s="1"/>
  <c r="F100" i="52"/>
  <c r="D89" i="52"/>
  <c r="D88" i="52"/>
  <c r="D87" i="52"/>
  <c r="D86" i="52"/>
  <c r="F76" i="52"/>
  <c r="M33" i="52"/>
  <c r="E22" i="52"/>
  <c r="E19" i="52"/>
  <c r="M81" i="52" s="1"/>
  <c r="E16" i="52"/>
  <c r="M104" i="52" s="1"/>
  <c r="O13" i="52"/>
  <c r="E13" i="52"/>
  <c r="O12" i="52"/>
  <c r="F12" i="52"/>
  <c r="F81" i="52" s="1"/>
  <c r="F105" i="52" s="1"/>
  <c r="F9" i="52"/>
  <c r="F80" i="52" s="1"/>
  <c r="F104" i="52" s="1"/>
  <c r="O7" i="52"/>
  <c r="M102" i="52" s="1"/>
  <c r="F4" i="52"/>
  <c r="F75" i="52" s="1"/>
  <c r="Y253" i="51"/>
  <c r="F101" i="51"/>
  <c r="D90" i="51"/>
  <c r="D89" i="51"/>
  <c r="D88" i="51"/>
  <c r="D87" i="51"/>
  <c r="D86" i="51"/>
  <c r="F76" i="51"/>
  <c r="M33" i="51"/>
  <c r="E22" i="51"/>
  <c r="E19" i="51"/>
  <c r="M106" i="51" s="1"/>
  <c r="E16" i="51"/>
  <c r="M105" i="51" s="1"/>
  <c r="O13" i="51"/>
  <c r="E13" i="51"/>
  <c r="O12" i="51"/>
  <c r="F12" i="51"/>
  <c r="F81" i="51" s="1"/>
  <c r="F106" i="51" s="1"/>
  <c r="F9" i="51"/>
  <c r="F80" i="51" s="1"/>
  <c r="F105" i="51" s="1"/>
  <c r="O7" i="51"/>
  <c r="M103" i="51" s="1"/>
  <c r="F4" i="51"/>
  <c r="F100" i="51" s="1"/>
  <c r="G206" i="50"/>
  <c r="H206" i="50" s="1"/>
  <c r="I206" i="50" s="1"/>
  <c r="N199" i="50"/>
  <c r="N198" i="50"/>
  <c r="C205" i="50"/>
  <c r="C209" i="50" s="1"/>
  <c r="F100" i="50"/>
  <c r="D89" i="50"/>
  <c r="D88" i="50"/>
  <c r="D87" i="50"/>
  <c r="D86" i="50"/>
  <c r="F76" i="50"/>
  <c r="M33" i="50"/>
  <c r="E22" i="50"/>
  <c r="E19" i="50"/>
  <c r="M81" i="50" s="1"/>
  <c r="E16" i="50"/>
  <c r="M80" i="50" s="1"/>
  <c r="O13" i="50"/>
  <c r="E13" i="50"/>
  <c r="O12" i="50"/>
  <c r="F12" i="50"/>
  <c r="F81" i="50" s="1"/>
  <c r="F105" i="50" s="1"/>
  <c r="F9" i="50"/>
  <c r="F80" i="50" s="1"/>
  <c r="F104" i="50" s="1"/>
  <c r="O7" i="50"/>
  <c r="M78" i="50" s="1"/>
  <c r="F4" i="50"/>
  <c r="F75" i="50" s="1"/>
  <c r="I156" i="49"/>
  <c r="H156" i="49"/>
  <c r="G156" i="49"/>
  <c r="F143" i="49"/>
  <c r="G143" i="49" s="1"/>
  <c r="H143" i="49" s="1"/>
  <c r="I143" i="49" s="1"/>
  <c r="E143" i="49"/>
  <c r="F142" i="49"/>
  <c r="G142" i="49" s="1"/>
  <c r="H142" i="49" s="1"/>
  <c r="I142" i="49" s="1"/>
  <c r="E142" i="49"/>
  <c r="F140" i="49"/>
  <c r="G140" i="49" s="1"/>
  <c r="H140" i="49" s="1"/>
  <c r="I140" i="49" s="1"/>
  <c r="E140" i="49"/>
  <c r="J136" i="49"/>
  <c r="G136" i="49"/>
  <c r="H136" i="49" s="1"/>
  <c r="I136" i="49" s="1"/>
  <c r="J127" i="49"/>
  <c r="G127" i="49"/>
  <c r="H127" i="49" s="1"/>
  <c r="I127" i="49" s="1"/>
  <c r="G125" i="49"/>
  <c r="H125" i="49" s="1"/>
  <c r="I125" i="49" s="1"/>
  <c r="G123" i="49"/>
  <c r="H123" i="49" s="1"/>
  <c r="I123" i="49" s="1"/>
  <c r="G121" i="49"/>
  <c r="H121" i="49" s="1"/>
  <c r="I121" i="49" s="1"/>
  <c r="C122" i="49"/>
  <c r="C124" i="49" s="1"/>
  <c r="C126" i="49" s="1"/>
  <c r="C128" i="49" s="1"/>
  <c r="C129" i="49" s="1"/>
  <c r="C130" i="49" s="1"/>
  <c r="C132" i="49" s="1"/>
  <c r="C134" i="49" s="1"/>
  <c r="C135" i="49" s="1"/>
  <c r="K154" i="49"/>
  <c r="K153" i="49" s="1"/>
  <c r="N153" i="49" s="1"/>
  <c r="F99" i="49"/>
  <c r="D88" i="49"/>
  <c r="D87" i="49"/>
  <c r="D86" i="49"/>
  <c r="F76" i="49"/>
  <c r="M33" i="49"/>
  <c r="E22" i="49"/>
  <c r="E19" i="49"/>
  <c r="M104" i="49" s="1"/>
  <c r="E16" i="49"/>
  <c r="M80" i="49" s="1"/>
  <c r="O13" i="49"/>
  <c r="E13" i="49"/>
  <c r="O12" i="49"/>
  <c r="F12" i="49"/>
  <c r="F81" i="49" s="1"/>
  <c r="F104" i="49" s="1"/>
  <c r="F9" i="49"/>
  <c r="F80" i="49" s="1"/>
  <c r="F103" i="49" s="1"/>
  <c r="O7" i="49"/>
  <c r="M78" i="49" s="1"/>
  <c r="F4" i="49"/>
  <c r="F75" i="49" s="1"/>
  <c r="C126" i="51" l="1"/>
  <c r="C128" i="51" s="1"/>
  <c r="C132" i="51" s="1"/>
  <c r="K174" i="52"/>
  <c r="N174" i="52" s="1"/>
  <c r="C211" i="50"/>
  <c r="K202" i="50"/>
  <c r="N197" i="50" s="1"/>
  <c r="M104" i="50"/>
  <c r="C137" i="49"/>
  <c r="C139" i="49" s="1"/>
  <c r="C141" i="49" s="1"/>
  <c r="C144" i="49" s="1"/>
  <c r="C146" i="49" s="1"/>
  <c r="C148" i="49" s="1"/>
  <c r="C149" i="49" s="1"/>
  <c r="C150" i="49" s="1"/>
  <c r="C151" i="49" s="1"/>
  <c r="C152" i="49" s="1"/>
  <c r="C153" i="49" s="1"/>
  <c r="C155" i="49" s="1"/>
  <c r="C157" i="49" s="1"/>
  <c r="F98" i="49"/>
  <c r="K121" i="49"/>
  <c r="K120" i="49" s="1"/>
  <c r="Y120" i="49" s="1"/>
  <c r="Y113" i="49" s="1"/>
  <c r="Y217" i="43" s="1"/>
  <c r="N223" i="52"/>
  <c r="N225" i="52"/>
  <c r="N226" i="52"/>
  <c r="K237" i="52"/>
  <c r="K260" i="52"/>
  <c r="N260" i="52" s="1"/>
  <c r="K173" i="52"/>
  <c r="K172" i="52" s="1"/>
  <c r="N172" i="52" s="1"/>
  <c r="K211" i="52"/>
  <c r="N211" i="52" s="1"/>
  <c r="K214" i="52"/>
  <c r="K134" i="52"/>
  <c r="K133" i="52" s="1"/>
  <c r="N133" i="52" s="1"/>
  <c r="I83" i="52"/>
  <c r="AS91" i="1" s="1"/>
  <c r="K235" i="52"/>
  <c r="K234" i="52" s="1"/>
  <c r="N234" i="52" s="1"/>
  <c r="N232" i="52"/>
  <c r="K244" i="52"/>
  <c r="K243" i="52"/>
  <c r="N243" i="52" s="1"/>
  <c r="K242" i="52"/>
  <c r="N242" i="52" s="1"/>
  <c r="K241" i="52"/>
  <c r="N241" i="52" s="1"/>
  <c r="X129" i="52"/>
  <c r="N146" i="52"/>
  <c r="K170" i="52"/>
  <c r="K248" i="52" s="1"/>
  <c r="K255" i="52" s="1"/>
  <c r="N255" i="52" s="1"/>
  <c r="K154" i="52"/>
  <c r="K153" i="52" s="1"/>
  <c r="N137" i="52"/>
  <c r="K140" i="52"/>
  <c r="W137" i="52"/>
  <c r="W113" i="52" s="1"/>
  <c r="Z215" i="43" s="1"/>
  <c r="C137" i="52"/>
  <c r="C140" i="52" s="1"/>
  <c r="N121" i="52"/>
  <c r="X121" i="52"/>
  <c r="N125" i="52"/>
  <c r="X125" i="52"/>
  <c r="N116" i="52"/>
  <c r="X116" i="52"/>
  <c r="N159" i="52"/>
  <c r="N148" i="52"/>
  <c r="M78" i="52"/>
  <c r="M80" i="52"/>
  <c r="M102" i="50"/>
  <c r="F99" i="52"/>
  <c r="M103" i="49"/>
  <c r="F99" i="50"/>
  <c r="K222" i="51"/>
  <c r="K221" i="51" s="1"/>
  <c r="N221" i="51" s="1"/>
  <c r="N219" i="51"/>
  <c r="N211" i="51"/>
  <c r="K213" i="51"/>
  <c r="N213" i="51" s="1"/>
  <c r="N214" i="51"/>
  <c r="V198" i="51"/>
  <c r="K184" i="51"/>
  <c r="K183" i="51" s="1"/>
  <c r="N183" i="51" s="1"/>
  <c r="N175" i="51"/>
  <c r="K178" i="51"/>
  <c r="K177" i="51" s="1"/>
  <c r="N177" i="51" s="1"/>
  <c r="K164" i="51"/>
  <c r="K147" i="51"/>
  <c r="K146" i="51" s="1"/>
  <c r="K145" i="51"/>
  <c r="K144" i="51" s="1"/>
  <c r="K143" i="51"/>
  <c r="K142" i="51" s="1"/>
  <c r="N142" i="51" s="1"/>
  <c r="K141" i="51"/>
  <c r="K139" i="51"/>
  <c r="K138" i="51" s="1"/>
  <c r="K131" i="51"/>
  <c r="K134" i="51" s="1"/>
  <c r="N134" i="51" s="1"/>
  <c r="K150" i="51"/>
  <c r="K149" i="51" s="1"/>
  <c r="N149" i="51" s="1"/>
  <c r="V126" i="51"/>
  <c r="N206" i="51"/>
  <c r="N194" i="51"/>
  <c r="N181" i="51"/>
  <c r="K114" i="51"/>
  <c r="N128" i="51"/>
  <c r="K246" i="51"/>
  <c r="AA168" i="43"/>
  <c r="AA111" i="43" s="1"/>
  <c r="N168" i="43"/>
  <c r="M78" i="51"/>
  <c r="M80" i="51"/>
  <c r="M81" i="51"/>
  <c r="K242" i="51"/>
  <c r="F75" i="51"/>
  <c r="N157" i="52"/>
  <c r="M105" i="52"/>
  <c r="M105" i="50"/>
  <c r="K116" i="49"/>
  <c r="M81" i="49"/>
  <c r="K117" i="49"/>
  <c r="K143" i="49" s="1"/>
  <c r="M101" i="49"/>
  <c r="K118" i="49"/>
  <c r="K140" i="49" s="1"/>
  <c r="K139" i="49" s="1"/>
  <c r="K119" i="49"/>
  <c r="K123" i="49"/>
  <c r="K122" i="49" s="1"/>
  <c r="K111" i="49" s="1"/>
  <c r="I83" i="49" s="1"/>
  <c r="AS93" i="1" s="1"/>
  <c r="K156" i="49"/>
  <c r="K155" i="49" s="1"/>
  <c r="N138" i="51" l="1"/>
  <c r="K162" i="51"/>
  <c r="C159" i="49"/>
  <c r="C160" i="49" s="1"/>
  <c r="C161" i="49" s="1"/>
  <c r="C162" i="49" s="1"/>
  <c r="C163" i="49" s="1"/>
  <c r="C164" i="49" s="1"/>
  <c r="C167" i="49" s="1"/>
  <c r="K205" i="50"/>
  <c r="N205" i="50" s="1"/>
  <c r="N202" i="50"/>
  <c r="C213" i="50"/>
  <c r="K151" i="49"/>
  <c r="N151" i="49" s="1"/>
  <c r="K138" i="49"/>
  <c r="K137" i="49" s="1"/>
  <c r="N137" i="49" s="1"/>
  <c r="N120" i="49"/>
  <c r="K252" i="52"/>
  <c r="K249" i="52"/>
  <c r="N249" i="52" s="1"/>
  <c r="K250" i="52"/>
  <c r="N250" i="52" s="1"/>
  <c r="K251" i="52"/>
  <c r="N251" i="52" s="1"/>
  <c r="N244" i="52"/>
  <c r="K245" i="52"/>
  <c r="K246" i="52" s="1"/>
  <c r="N246" i="52" s="1"/>
  <c r="K216" i="52"/>
  <c r="N216" i="52" s="1"/>
  <c r="N214" i="52"/>
  <c r="N237" i="52"/>
  <c r="K218" i="52"/>
  <c r="K220" i="52" s="1"/>
  <c r="N220" i="52" s="1"/>
  <c r="N215" i="52"/>
  <c r="N153" i="52"/>
  <c r="C141" i="52"/>
  <c r="C142" i="52" s="1"/>
  <c r="N150" i="52"/>
  <c r="K152" i="52"/>
  <c r="N152" i="52" s="1"/>
  <c r="K141" i="52"/>
  <c r="N141" i="52" s="1"/>
  <c r="N140" i="52"/>
  <c r="Y248" i="52"/>
  <c r="K123" i="51"/>
  <c r="K122" i="51" s="1"/>
  <c r="I83" i="51"/>
  <c r="AS90" i="1" s="1"/>
  <c r="AS88" i="1" s="1"/>
  <c r="AS87" i="1" s="1"/>
  <c r="N249" i="51"/>
  <c r="N248" i="51"/>
  <c r="N246" i="51"/>
  <c r="N242" i="51"/>
  <c r="N196" i="51"/>
  <c r="Y223" i="51"/>
  <c r="N162" i="51"/>
  <c r="V162" i="51"/>
  <c r="K140" i="51"/>
  <c r="N140" i="51" s="1"/>
  <c r="N146" i="51"/>
  <c r="N144" i="51"/>
  <c r="K133" i="51"/>
  <c r="K132" i="51" s="1"/>
  <c r="N132" i="51" s="1"/>
  <c r="K136" i="51"/>
  <c r="K135" i="51" s="1"/>
  <c r="N135" i="51" s="1"/>
  <c r="C134" i="51"/>
  <c r="Y202" i="51"/>
  <c r="N208" i="51"/>
  <c r="Y161" i="51"/>
  <c r="Y193" i="51"/>
  <c r="Y216" i="51"/>
  <c r="Y170" i="51"/>
  <c r="Y131" i="51"/>
  <c r="Y137" i="51"/>
  <c r="Y121" i="51"/>
  <c r="Y148" i="51"/>
  <c r="K254" i="51"/>
  <c r="K257" i="51" s="1"/>
  <c r="N257" i="51" s="1"/>
  <c r="Y232" i="51"/>
  <c r="K193" i="52"/>
  <c r="N193" i="52" s="1"/>
  <c r="K195" i="52"/>
  <c r="N195" i="52" s="1"/>
  <c r="N234" i="51"/>
  <c r="K240" i="51"/>
  <c r="N240" i="51" s="1"/>
  <c r="K125" i="49"/>
  <c r="N122" i="49"/>
  <c r="K133" i="49"/>
  <c r="K132" i="49" s="1"/>
  <c r="K147" i="49"/>
  <c r="K146" i="49" s="1"/>
  <c r="N146" i="49" s="1"/>
  <c r="K150" i="49"/>
  <c r="N150" i="49" s="1"/>
  <c r="K142" i="49"/>
  <c r="K145" i="49" s="1"/>
  <c r="K144" i="49" s="1"/>
  <c r="N144" i="49" s="1"/>
  <c r="K152" i="49"/>
  <c r="N152" i="49" s="1"/>
  <c r="K148" i="49"/>
  <c r="N148" i="49" s="1"/>
  <c r="N139" i="49"/>
  <c r="K157" i="49"/>
  <c r="N157" i="49" s="1"/>
  <c r="N155" i="49"/>
  <c r="K159" i="51" l="1"/>
  <c r="K157" i="51"/>
  <c r="K154" i="51"/>
  <c r="K156" i="51" s="1"/>
  <c r="K155" i="51" s="1"/>
  <c r="N155" i="51" s="1"/>
  <c r="K165" i="51"/>
  <c r="N165" i="51" s="1"/>
  <c r="K168" i="51"/>
  <c r="N187" i="50"/>
  <c r="T187" i="50" s="1"/>
  <c r="K125" i="51"/>
  <c r="K124" i="51" s="1"/>
  <c r="C218" i="50"/>
  <c r="C214" i="50"/>
  <c r="N252" i="52"/>
  <c r="K253" i="52"/>
  <c r="N245" i="52"/>
  <c r="N218" i="52"/>
  <c r="Y257" i="52"/>
  <c r="Y240" i="52" s="1"/>
  <c r="K191" i="52"/>
  <c r="K189" i="52" s="1"/>
  <c r="X189" i="52" s="1"/>
  <c r="X113" i="52" s="1"/>
  <c r="Y215" i="43" s="1"/>
  <c r="Y201" i="52"/>
  <c r="N122" i="51"/>
  <c r="C144" i="52"/>
  <c r="C146" i="52" s="1"/>
  <c r="C148" i="52" s="1"/>
  <c r="C150" i="52" s="1"/>
  <c r="C152" i="52" s="1"/>
  <c r="K197" i="52"/>
  <c r="N197" i="52" s="1"/>
  <c r="N113" i="52"/>
  <c r="N250" i="51"/>
  <c r="N251" i="51"/>
  <c r="N186" i="51"/>
  <c r="C135" i="51"/>
  <c r="Y115" i="51"/>
  <c r="Z214" i="43" s="1"/>
  <c r="K244" i="51"/>
  <c r="N244" i="51" s="1"/>
  <c r="N237" i="51"/>
  <c r="N254" i="51"/>
  <c r="N87" i="50"/>
  <c r="T113" i="50"/>
  <c r="N132" i="49"/>
  <c r="K134" i="49"/>
  <c r="K141" i="49"/>
  <c r="N141" i="49" s="1"/>
  <c r="K149" i="49"/>
  <c r="N149" i="49" s="1"/>
  <c r="K124" i="49"/>
  <c r="K127" i="49"/>
  <c r="K126" i="49" s="1"/>
  <c r="V165" i="51" l="1"/>
  <c r="K153" i="51"/>
  <c r="N153" i="51" s="1"/>
  <c r="N157" i="51"/>
  <c r="K160" i="51"/>
  <c r="N160" i="51" s="1"/>
  <c r="K158" i="51"/>
  <c r="V168" i="51"/>
  <c r="N168" i="51"/>
  <c r="V115" i="51"/>
  <c r="Y214" i="43" s="1"/>
  <c r="K218" i="50"/>
  <c r="N124" i="51"/>
  <c r="N88" i="50"/>
  <c r="C138" i="51"/>
  <c r="C140" i="51" s="1"/>
  <c r="C142" i="51" s="1"/>
  <c r="C144" i="51" s="1"/>
  <c r="C146" i="51" s="1"/>
  <c r="K254" i="52"/>
  <c r="N254" i="52" s="1"/>
  <c r="N253" i="52"/>
  <c r="N87" i="52"/>
  <c r="Y222" i="52"/>
  <c r="Y192" i="52" s="1"/>
  <c r="Y156" i="52" s="1"/>
  <c r="Y136" i="52" s="1"/>
  <c r="Y115" i="52" s="1"/>
  <c r="K257" i="52"/>
  <c r="N189" i="52"/>
  <c r="C153" i="52"/>
  <c r="C157" i="52" s="1"/>
  <c r="T113" i="52"/>
  <c r="T186" i="51"/>
  <c r="N230" i="51"/>
  <c r="T230" i="51" s="1"/>
  <c r="N88" i="51"/>
  <c r="K136" i="49"/>
  <c r="K135" i="49" s="1"/>
  <c r="N135" i="49" s="1"/>
  <c r="N134" i="49"/>
  <c r="N126" i="49"/>
  <c r="K128" i="49"/>
  <c r="N128" i="49" s="1"/>
  <c r="K131" i="49"/>
  <c r="K130" i="49" s="1"/>
  <c r="N130" i="49" s="1"/>
  <c r="K129" i="49"/>
  <c r="N129" i="49" s="1"/>
  <c r="N124" i="49"/>
  <c r="Z203" i="43"/>
  <c r="W199" i="43"/>
  <c r="V193" i="43"/>
  <c r="W170" i="43"/>
  <c r="N203" i="43"/>
  <c r="K195" i="43"/>
  <c r="K194" i="43"/>
  <c r="J191" i="43"/>
  <c r="J192" i="43" s="1"/>
  <c r="K192" i="43" s="1"/>
  <c r="E189" i="43"/>
  <c r="E192" i="43"/>
  <c r="E191" i="43"/>
  <c r="J189" i="43"/>
  <c r="K189" i="43" s="1"/>
  <c r="K188" i="43" s="1"/>
  <c r="W188" i="43" s="1"/>
  <c r="K167" i="43"/>
  <c r="K145" i="43"/>
  <c r="K160" i="43" s="1"/>
  <c r="E160" i="43"/>
  <c r="E131" i="43"/>
  <c r="K129" i="43"/>
  <c r="K128" i="43"/>
  <c r="E129" i="43"/>
  <c r="E128" i="43"/>
  <c r="K132" i="43"/>
  <c r="N132" i="43" s="1"/>
  <c r="K124" i="43"/>
  <c r="Y124" i="43" s="1"/>
  <c r="I125" i="43"/>
  <c r="H125" i="43"/>
  <c r="G125" i="43"/>
  <c r="K123" i="43"/>
  <c r="E123" i="43"/>
  <c r="E121" i="43"/>
  <c r="K119" i="43"/>
  <c r="E119" i="43"/>
  <c r="K115" i="43"/>
  <c r="N111" i="49" l="1"/>
  <c r="N158" i="51"/>
  <c r="K159" i="43"/>
  <c r="Z159" i="43" s="1"/>
  <c r="N271" i="52"/>
  <c r="N266" i="52"/>
  <c r="K269" i="52"/>
  <c r="K268" i="52" s="1"/>
  <c r="N268" i="52" s="1"/>
  <c r="C149" i="51"/>
  <c r="N272" i="52"/>
  <c r="N258" i="52"/>
  <c r="N210" i="52"/>
  <c r="C159" i="52"/>
  <c r="N89" i="51"/>
  <c r="K121" i="43"/>
  <c r="N218" i="50"/>
  <c r="N217" i="50" s="1"/>
  <c r="Z132" i="43"/>
  <c r="N199" i="43"/>
  <c r="K193" i="43"/>
  <c r="W193" i="43" s="1"/>
  <c r="K191" i="43"/>
  <c r="K190" i="43" s="1"/>
  <c r="W190" i="43" s="1"/>
  <c r="N188" i="43"/>
  <c r="N159" i="43"/>
  <c r="K127" i="43"/>
  <c r="K131" i="43"/>
  <c r="N114" i="51" l="1"/>
  <c r="T114" i="51" s="1"/>
  <c r="C151" i="51"/>
  <c r="C153" i="51" s="1"/>
  <c r="C155" i="51" s="1"/>
  <c r="C157" i="51" s="1"/>
  <c r="K130" i="43"/>
  <c r="Y130" i="43" s="1"/>
  <c r="K152" i="43"/>
  <c r="N111" i="50"/>
  <c r="N110" i="50" s="1"/>
  <c r="K167" i="49"/>
  <c r="N167" i="49" s="1"/>
  <c r="N166" i="49" s="1"/>
  <c r="N87" i="49"/>
  <c r="K87" i="49" s="1"/>
  <c r="T111" i="49"/>
  <c r="C172" i="52"/>
  <c r="C174" i="52" s="1"/>
  <c r="C175" i="52" s="1"/>
  <c r="C178" i="52" s="1"/>
  <c r="C180" i="52" s="1"/>
  <c r="C182" i="52" s="1"/>
  <c r="C184" i="52" s="1"/>
  <c r="C186" i="52" s="1"/>
  <c r="C189" i="52" s="1"/>
  <c r="C193" i="52" s="1"/>
  <c r="C195" i="52" s="1"/>
  <c r="C197" i="52" s="1"/>
  <c r="C199" i="52" s="1"/>
  <c r="N208" i="52"/>
  <c r="N193" i="43"/>
  <c r="N89" i="50"/>
  <c r="N86" i="50" s="1"/>
  <c r="T217" i="50"/>
  <c r="N190" i="43"/>
  <c r="N127" i="43"/>
  <c r="Y127" i="43"/>
  <c r="N130" i="43"/>
  <c r="K260" i="51" l="1"/>
  <c r="N260" i="51" s="1"/>
  <c r="N259" i="51" s="1"/>
  <c r="N90" i="51" s="1"/>
  <c r="K90" i="51" s="1"/>
  <c r="N87" i="51"/>
  <c r="C158" i="51"/>
  <c r="C160" i="51"/>
  <c r="C165" i="51"/>
  <c r="C168" i="51" s="1"/>
  <c r="C175" i="51" s="1"/>
  <c r="C179" i="51" s="1"/>
  <c r="C181" i="51" s="1"/>
  <c r="Y152" i="43"/>
  <c r="N152" i="43"/>
  <c r="T86" i="50"/>
  <c r="N85" i="50"/>
  <c r="T85" i="50" s="1"/>
  <c r="T111" i="50"/>
  <c r="T110" i="50" s="1"/>
  <c r="N88" i="49"/>
  <c r="T166" i="49"/>
  <c r="N110" i="49"/>
  <c r="N109" i="49" s="1"/>
  <c r="T109" i="49" s="1"/>
  <c r="C202" i="52"/>
  <c r="C203" i="52" s="1"/>
  <c r="C204" i="52" s="1"/>
  <c r="N206" i="52"/>
  <c r="K89" i="50"/>
  <c r="K88" i="50"/>
  <c r="K87" i="50"/>
  <c r="K86" i="50"/>
  <c r="K87" i="52"/>
  <c r="K88" i="51"/>
  <c r="K87" i="51"/>
  <c r="K89" i="51"/>
  <c r="L91" i="50"/>
  <c r="K91" i="50" s="1"/>
  <c r="K85" i="50"/>
  <c r="M28" i="50"/>
  <c r="M30" i="50" s="1"/>
  <c r="AG89" i="1" s="1"/>
  <c r="AT89" i="1" s="1"/>
  <c r="K166" i="43"/>
  <c r="K165" i="43" s="1"/>
  <c r="W165" i="43" s="1"/>
  <c r="K163" i="43"/>
  <c r="Z163" i="43" s="1"/>
  <c r="K161" i="43"/>
  <c r="K158" i="43"/>
  <c r="K157" i="43" s="1"/>
  <c r="Z157" i="43" s="1"/>
  <c r="E158" i="43"/>
  <c r="E156" i="43"/>
  <c r="K144" i="43"/>
  <c r="K156" i="43" s="1"/>
  <c r="K155" i="43" s="1"/>
  <c r="Z155" i="43" s="1"/>
  <c r="I144" i="43"/>
  <c r="H144" i="43"/>
  <c r="G144" i="43"/>
  <c r="I143" i="43"/>
  <c r="H143" i="43"/>
  <c r="G143" i="43"/>
  <c r="T259" i="51" l="1"/>
  <c r="N86" i="51"/>
  <c r="T86" i="51" s="1"/>
  <c r="N112" i="51"/>
  <c r="C177" i="51"/>
  <c r="Z161" i="43"/>
  <c r="K185" i="43"/>
  <c r="K88" i="49"/>
  <c r="N86" i="49"/>
  <c r="N85" i="49" s="1"/>
  <c r="T110" i="49"/>
  <c r="C205" i="52"/>
  <c r="C206" i="52" s="1"/>
  <c r="C208" i="52" s="1"/>
  <c r="N205" i="52"/>
  <c r="N204" i="52"/>
  <c r="C183" i="51"/>
  <c r="C194" i="51" s="1"/>
  <c r="H32" i="50"/>
  <c r="M32" i="50" s="1"/>
  <c r="L35" i="50" s="1"/>
  <c r="N157" i="43"/>
  <c r="N155" i="43"/>
  <c r="N163" i="43"/>
  <c r="N161" i="43"/>
  <c r="N170" i="43"/>
  <c r="N165" i="43"/>
  <c r="N161" i="52" l="1"/>
  <c r="K276" i="52" s="1"/>
  <c r="N85" i="51"/>
  <c r="K85" i="51" s="1"/>
  <c r="K86" i="51"/>
  <c r="N111" i="51"/>
  <c r="T112" i="51"/>
  <c r="T111" i="51" s="1"/>
  <c r="Y185" i="43"/>
  <c r="N185" i="43"/>
  <c r="T86" i="49"/>
  <c r="K86" i="49"/>
  <c r="C210" i="52"/>
  <c r="C211" i="52"/>
  <c r="C196" i="51"/>
  <c r="C198" i="51" s="1"/>
  <c r="L90" i="49"/>
  <c r="K90" i="49" s="1"/>
  <c r="K85" i="49"/>
  <c r="T85" i="49"/>
  <c r="M28" i="49"/>
  <c r="M30" i="49" s="1"/>
  <c r="AG93" i="1" s="1"/>
  <c r="C115" i="44"/>
  <c r="C116" i="44" s="1"/>
  <c r="C117" i="44" s="1"/>
  <c r="C118" i="44" s="1"/>
  <c r="C119" i="44" s="1"/>
  <c r="C120" i="43"/>
  <c r="K207" i="43"/>
  <c r="F34" i="22"/>
  <c r="F30" i="22"/>
  <c r="F29" i="22"/>
  <c r="F28" i="22"/>
  <c r="F20" i="22"/>
  <c r="F19" i="22"/>
  <c r="F33" i="22"/>
  <c r="F16" i="22"/>
  <c r="D90" i="44"/>
  <c r="E88" i="44"/>
  <c r="E89" i="44"/>
  <c r="D87" i="44"/>
  <c r="N122" i="44"/>
  <c r="N125" i="44"/>
  <c r="N121" i="44"/>
  <c r="N119" i="44"/>
  <c r="N117" i="44"/>
  <c r="N116" i="44"/>
  <c r="N115" i="44"/>
  <c r="D86" i="31"/>
  <c r="T161" i="52" l="1"/>
  <c r="N88" i="52"/>
  <c r="K88" i="52" s="1"/>
  <c r="T85" i="51"/>
  <c r="L92" i="51"/>
  <c r="K92" i="51" s="1"/>
  <c r="M28" i="51"/>
  <c r="M30" i="51" s="1"/>
  <c r="AG90" i="1" s="1"/>
  <c r="AT90" i="1" s="1"/>
  <c r="C122" i="43"/>
  <c r="C124" i="43" s="1"/>
  <c r="C127" i="43" s="1"/>
  <c r="C130" i="43" s="1"/>
  <c r="C132" i="43" s="1"/>
  <c r="C135" i="43" s="1"/>
  <c r="C137" i="43" s="1"/>
  <c r="C148" i="43" s="1"/>
  <c r="C150" i="43" s="1"/>
  <c r="C152" i="43" s="1"/>
  <c r="C155" i="43" s="1"/>
  <c r="AT93" i="1"/>
  <c r="AN93" i="1"/>
  <c r="C121" i="44"/>
  <c r="A19" i="22"/>
  <c r="A20" i="22" s="1"/>
  <c r="F18" i="22"/>
  <c r="C213" i="52"/>
  <c r="C214" i="52" s="1"/>
  <c r="C215" i="52" s="1"/>
  <c r="C216" i="52" s="1"/>
  <c r="C217" i="52" s="1"/>
  <c r="N276" i="52"/>
  <c r="N275" i="52" s="1"/>
  <c r="N111" i="52" s="1"/>
  <c r="N110" i="52" s="1"/>
  <c r="C203" i="51"/>
  <c r="C205" i="51" s="1"/>
  <c r="C206" i="51" s="1"/>
  <c r="C208" i="51" s="1"/>
  <c r="H32" i="49"/>
  <c r="M32" i="49" s="1"/>
  <c r="L35" i="49" s="1"/>
  <c r="N207" i="43"/>
  <c r="N120" i="44"/>
  <c r="D88" i="43"/>
  <c r="D87" i="43"/>
  <c r="D86" i="43"/>
  <c r="H32" i="51" l="1"/>
  <c r="M32" i="51" s="1"/>
  <c r="L35" i="51" s="1"/>
  <c r="C122" i="44"/>
  <c r="C127" i="44" s="1"/>
  <c r="AN90" i="1"/>
  <c r="N89" i="44"/>
  <c r="A23" i="22"/>
  <c r="A24" i="22" s="1"/>
  <c r="A25" i="22" s="1"/>
  <c r="C218" i="52"/>
  <c r="C220" i="52"/>
  <c r="T275" i="52"/>
  <c r="N89" i="52"/>
  <c r="K89" i="52" s="1"/>
  <c r="T111" i="52"/>
  <c r="T110" i="52" s="1"/>
  <c r="C209" i="51"/>
  <c r="C211" i="51" s="1"/>
  <c r="AS97" i="1"/>
  <c r="AS101" i="1" s="1"/>
  <c r="AT108" i="1" s="1"/>
  <c r="I84" i="44"/>
  <c r="I83" i="43"/>
  <c r="A28" i="22" l="1"/>
  <c r="A29" i="22" s="1"/>
  <c r="A30" i="22" s="1"/>
  <c r="A31" i="22" s="1"/>
  <c r="AT112" i="1"/>
  <c r="AT113" i="1"/>
  <c r="AT106" i="1"/>
  <c r="AT107" i="1"/>
  <c r="AS116" i="1"/>
  <c r="AT105" i="1"/>
  <c r="C223" i="52"/>
  <c r="C225" i="52" s="1"/>
  <c r="C226" i="52" s="1"/>
  <c r="C227" i="52" s="1"/>
  <c r="C228" i="52" s="1"/>
  <c r="C230" i="52" s="1"/>
  <c r="N86" i="52"/>
  <c r="N85" i="52" s="1"/>
  <c r="C213" i="51"/>
  <c r="C214" i="51" s="1"/>
  <c r="C217" i="51" s="1"/>
  <c r="C157" i="43"/>
  <c r="A34" i="22" l="1"/>
  <c r="K86" i="52"/>
  <c r="T86" i="52"/>
  <c r="C232" i="52"/>
  <c r="C234" i="52"/>
  <c r="C236" i="52" s="1"/>
  <c r="K85" i="52"/>
  <c r="L91" i="52"/>
  <c r="K91" i="52" s="1"/>
  <c r="T85" i="52"/>
  <c r="M28" i="52"/>
  <c r="M30" i="52" s="1"/>
  <c r="AG91" i="1" s="1"/>
  <c r="AT91" i="1" s="1"/>
  <c r="C219" i="51"/>
  <c r="C221" i="51" s="1"/>
  <c r="C159" i="43"/>
  <c r="C161" i="43" s="1"/>
  <c r="C163" i="43" s="1"/>
  <c r="C165" i="43" s="1"/>
  <c r="C168" i="43" s="1"/>
  <c r="C170" i="43" s="1"/>
  <c r="C181" i="43" s="1"/>
  <c r="AN99" i="1"/>
  <c r="AT99" i="1"/>
  <c r="C188" i="43" l="1"/>
  <c r="C183" i="43"/>
  <c r="C185" i="43" s="1"/>
  <c r="C237" i="52"/>
  <c r="C238" i="52" s="1"/>
  <c r="C241" i="52" s="1"/>
  <c r="C242" i="52" s="1"/>
  <c r="C243" i="52" s="1"/>
  <c r="C244" i="52" s="1"/>
  <c r="C245" i="52" s="1"/>
  <c r="C246" i="52" s="1"/>
  <c r="C249" i="52" s="1"/>
  <c r="C250" i="52" s="1"/>
  <c r="C251" i="52" s="1"/>
  <c r="C252" i="52" s="1"/>
  <c r="C253" i="52" s="1"/>
  <c r="C254" i="52" s="1"/>
  <c r="C255" i="52" s="1"/>
  <c r="C258" i="52" s="1"/>
  <c r="AN91" i="1"/>
  <c r="H32" i="52"/>
  <c r="M32" i="52" s="1"/>
  <c r="L35" i="52" s="1"/>
  <c r="C224" i="51"/>
  <c r="C227" i="51" s="1"/>
  <c r="C234" i="51" s="1"/>
  <c r="C237" i="51" s="1"/>
  <c r="C240" i="51" s="1"/>
  <c r="C242" i="51" s="1"/>
  <c r="C190" i="43"/>
  <c r="C193" i="43" s="1"/>
  <c r="C199" i="43" s="1"/>
  <c r="C203" i="43" s="1"/>
  <c r="C204" i="43" s="1"/>
  <c r="C260" i="52" l="1"/>
  <c r="C262" i="52" s="1"/>
  <c r="C264" i="52" s="1"/>
  <c r="C244" i="51"/>
  <c r="C246" i="51" s="1"/>
  <c r="C248" i="51" s="1"/>
  <c r="C249" i="51" s="1"/>
  <c r="C250" i="51" s="1"/>
  <c r="C207" i="43"/>
  <c r="C219" i="43" s="1"/>
  <c r="C220" i="43" s="1"/>
  <c r="C222" i="43" s="1"/>
  <c r="C266" i="52" l="1"/>
  <c r="C270" i="52" s="1"/>
  <c r="C271" i="52" s="1"/>
  <c r="C272" i="52" s="1"/>
  <c r="C276" i="52" s="1"/>
  <c r="C268" i="52"/>
  <c r="C251" i="51"/>
  <c r="C223" i="43"/>
  <c r="C224" i="43" s="1"/>
  <c r="C225" i="43" s="1"/>
  <c r="C226" i="43" s="1"/>
  <c r="C254" i="51" l="1"/>
  <c r="AB210" i="43"/>
  <c r="AC210" i="43"/>
  <c r="AA210" i="43"/>
  <c r="X210" i="43"/>
  <c r="Y210" i="43"/>
  <c r="Z210" i="43"/>
  <c r="W210" i="43"/>
  <c r="G215" i="43"/>
  <c r="H215" i="43" s="1"/>
  <c r="I215" i="43" s="1"/>
  <c r="G214" i="43"/>
  <c r="H214" i="43" s="1"/>
  <c r="I214" i="43" s="1"/>
  <c r="G213" i="43"/>
  <c r="H213" i="43" s="1"/>
  <c r="I213" i="43" s="1"/>
  <c r="G212" i="43"/>
  <c r="H212" i="43" s="1"/>
  <c r="I212" i="43" s="1"/>
  <c r="I114" i="43"/>
  <c r="H114" i="43"/>
  <c r="G114" i="43"/>
  <c r="AI111" i="1"/>
  <c r="AT111" i="1" s="1"/>
  <c r="AI110" i="1"/>
  <c r="AT110" i="1" s="1"/>
  <c r="C257" i="51" l="1"/>
  <c r="C260" i="51" s="1"/>
  <c r="K204" i="43"/>
  <c r="K135" i="43"/>
  <c r="Z135" i="43" s="1"/>
  <c r="K122" i="43"/>
  <c r="Y122" i="43" s="1"/>
  <c r="Y111" i="43" s="1"/>
  <c r="K120" i="43"/>
  <c r="AN110" i="1"/>
  <c r="AN111" i="1"/>
  <c r="N122" i="43" l="1"/>
  <c r="AC111" i="43"/>
  <c r="AC212" i="43" s="1"/>
  <c r="AC211" i="43" s="1"/>
  <c r="N204" i="43"/>
  <c r="N135" i="43"/>
  <c r="K137" i="43"/>
  <c r="Z137" i="43" s="1"/>
  <c r="Z111" i="43" s="1"/>
  <c r="N120" i="43"/>
  <c r="N124" i="43"/>
  <c r="N114" i="44"/>
  <c r="F101" i="44"/>
  <c r="F77" i="44"/>
  <c r="M34" i="44"/>
  <c r="E22" i="44"/>
  <c r="E19" i="44"/>
  <c r="M82" i="44" s="1"/>
  <c r="E16" i="44"/>
  <c r="M81" i="44" s="1"/>
  <c r="O13" i="44"/>
  <c r="E13" i="44"/>
  <c r="O12" i="44"/>
  <c r="F12" i="44"/>
  <c r="F82" i="44" s="1"/>
  <c r="F106" i="44" s="1"/>
  <c r="F9" i="44"/>
  <c r="F81" i="44" s="1"/>
  <c r="F105" i="44" s="1"/>
  <c r="O7" i="44"/>
  <c r="M103" i="44" s="1"/>
  <c r="F4" i="44"/>
  <c r="F100" i="44" s="1"/>
  <c r="N113" i="44" l="1"/>
  <c r="N112" i="44" s="1"/>
  <c r="K89" i="44"/>
  <c r="N88" i="44"/>
  <c r="Y212" i="43"/>
  <c r="Y211" i="43" s="1"/>
  <c r="K225" i="43" s="1"/>
  <c r="M79" i="44"/>
  <c r="F76" i="44"/>
  <c r="M105" i="44"/>
  <c r="M106" i="44"/>
  <c r="F100" i="31"/>
  <c r="F76" i="31"/>
  <c r="M33" i="31"/>
  <c r="E22" i="31"/>
  <c r="E19" i="31"/>
  <c r="M81" i="31" s="1"/>
  <c r="E16" i="31"/>
  <c r="M80" i="31" s="1"/>
  <c r="O13" i="31"/>
  <c r="E13" i="31"/>
  <c r="O12" i="31"/>
  <c r="F12" i="31"/>
  <c r="F9" i="31"/>
  <c r="O7" i="31"/>
  <c r="M102" i="31" s="1"/>
  <c r="F4" i="31"/>
  <c r="F75" i="31" s="1"/>
  <c r="F80" i="31" l="1"/>
  <c r="F104" i="31" s="1"/>
  <c r="F81" i="31"/>
  <c r="F105" i="31" s="1"/>
  <c r="N87" i="44"/>
  <c r="K88" i="44"/>
  <c r="T112" i="44"/>
  <c r="K127" i="44"/>
  <c r="N127" i="44" s="1"/>
  <c r="N126" i="44" s="1"/>
  <c r="AB111" i="43"/>
  <c r="AB212" i="43" s="1"/>
  <c r="AA212" i="43"/>
  <c r="F99" i="31"/>
  <c r="M104" i="31"/>
  <c r="M105" i="31"/>
  <c r="M78" i="31"/>
  <c r="AA211" i="43" l="1"/>
  <c r="K223" i="43" s="1"/>
  <c r="T126" i="44"/>
  <c r="T111" i="44" s="1"/>
  <c r="N90" i="44"/>
  <c r="N86" i="44" s="1"/>
  <c r="N111" i="44"/>
  <c r="K87" i="44"/>
  <c r="AB211" i="43"/>
  <c r="W111" i="43"/>
  <c r="F99" i="43"/>
  <c r="F76" i="43"/>
  <c r="M33" i="43"/>
  <c r="E22" i="43"/>
  <c r="E19" i="43"/>
  <c r="M104" i="43" s="1"/>
  <c r="E16" i="43"/>
  <c r="M103" i="43" s="1"/>
  <c r="O13" i="43"/>
  <c r="E13" i="43"/>
  <c r="O12" i="43"/>
  <c r="F12" i="43"/>
  <c r="F81" i="43" s="1"/>
  <c r="F104" i="43" s="1"/>
  <c r="F9" i="43"/>
  <c r="F80" i="43" s="1"/>
  <c r="F103" i="43" s="1"/>
  <c r="O7" i="43"/>
  <c r="M101" i="43" s="1"/>
  <c r="F4" i="43"/>
  <c r="F75" i="43" s="1"/>
  <c r="K216" i="43" l="1"/>
  <c r="K90" i="44"/>
  <c r="T86" i="44"/>
  <c r="K118" i="43"/>
  <c r="X118" i="43" s="1"/>
  <c r="N137" i="43"/>
  <c r="M80" i="43"/>
  <c r="M81" i="43"/>
  <c r="M78" i="43"/>
  <c r="F98" i="43"/>
  <c r="X111" i="43" l="1"/>
  <c r="X212" i="43" s="1"/>
  <c r="X211" i="43" s="1"/>
  <c r="K224" i="43" s="1"/>
  <c r="K214" i="43"/>
  <c r="N225" i="43" s="1"/>
  <c r="W212" i="43"/>
  <c r="W211" i="43" s="1"/>
  <c r="K222" i="43" s="1"/>
  <c r="N118" i="43"/>
  <c r="N111" i="43" s="1"/>
  <c r="K213" i="43" l="1"/>
  <c r="N224" i="43" s="1"/>
  <c r="N87" i="43"/>
  <c r="T111" i="43"/>
  <c r="Z212" i="43"/>
  <c r="Z211" i="43" s="1"/>
  <c r="K226" i="43" s="1"/>
  <c r="K215" i="43" l="1"/>
  <c r="K212" i="43"/>
  <c r="N223" i="43" s="1"/>
  <c r="N222" i="43" l="1"/>
  <c r="V211" i="43"/>
  <c r="K217" i="43" s="1"/>
  <c r="K219" i="43" s="1"/>
  <c r="N226" i="43"/>
  <c r="K87" i="31"/>
  <c r="N219" i="43" l="1"/>
  <c r="F25" i="22"/>
  <c r="K221" i="43" l="1"/>
  <c r="K220" i="43" s="1"/>
  <c r="N220" i="43" s="1"/>
  <c r="M29" i="44"/>
  <c r="M31" i="44" s="1"/>
  <c r="AG95" i="1" s="1"/>
  <c r="K86" i="44"/>
  <c r="L92" i="44"/>
  <c r="K92" i="44" s="1"/>
  <c r="K87" i="43"/>
  <c r="AT95" i="1" l="1"/>
  <c r="AN95" i="1"/>
  <c r="H33" i="44"/>
  <c r="M33" i="44" s="1"/>
  <c r="L36" i="44" s="1"/>
  <c r="N210" i="43" l="1"/>
  <c r="T210" i="43" l="1"/>
  <c r="N110" i="43"/>
  <c r="N109" i="43" s="1"/>
  <c r="N88" i="43"/>
  <c r="K88" i="43" l="1"/>
  <c r="T110" i="43" l="1"/>
  <c r="N86" i="43"/>
  <c r="N85" i="43" s="1"/>
  <c r="T86" i="43" l="1"/>
  <c r="K86" i="43"/>
  <c r="AI114" i="1"/>
  <c r="AN114" i="1" l="1"/>
  <c r="AT114" i="1"/>
  <c r="F24" i="22" l="1"/>
  <c r="AI109" i="1" l="1"/>
  <c r="AN109" i="1" l="1"/>
  <c r="AT109" i="1"/>
  <c r="F23" i="22" l="1"/>
  <c r="F22" i="22" s="1"/>
  <c r="F14" i="22"/>
  <c r="F13" i="22" s="1"/>
  <c r="C1" i="22"/>
  <c r="C6" i="22"/>
  <c r="D31" i="22" l="1"/>
  <c r="F31" i="22" s="1"/>
  <c r="F27" i="22" l="1"/>
  <c r="F36" i="22" s="1"/>
  <c r="AG98" i="1" s="1"/>
  <c r="AI103" i="1"/>
  <c r="AI102" i="1"/>
  <c r="AT102" i="1" s="1"/>
  <c r="AN98" i="1" l="1"/>
  <c r="AT98" i="1"/>
  <c r="AN103" i="1"/>
  <c r="AT103" i="1"/>
  <c r="AN102" i="1"/>
  <c r="I83" i="1" l="1"/>
  <c r="I82" i="1"/>
  <c r="AM83" i="1" l="1"/>
  <c r="AM82" i="1"/>
  <c r="AM80" i="1"/>
  <c r="I80" i="1"/>
  <c r="F7" i="54" s="1"/>
  <c r="I78" i="1"/>
  <c r="I77" i="1"/>
  <c r="F101" i="54" l="1"/>
  <c r="F78" i="54"/>
  <c r="F7" i="44"/>
  <c r="F79" i="44" s="1"/>
  <c r="F7" i="51"/>
  <c r="F7" i="50"/>
  <c r="F7" i="49"/>
  <c r="F7" i="52"/>
  <c r="F7" i="31"/>
  <c r="F7" i="43"/>
  <c r="W35" i="1"/>
  <c r="W33" i="1"/>
  <c r="W34" i="1"/>
  <c r="F103" i="44" l="1"/>
  <c r="F103" i="51"/>
  <c r="F78" i="51"/>
  <c r="F78" i="52"/>
  <c r="F102" i="52"/>
  <c r="F78" i="49"/>
  <c r="F101" i="49"/>
  <c r="F78" i="50"/>
  <c r="F102" i="50"/>
  <c r="F78" i="43"/>
  <c r="F101" i="43"/>
  <c r="F78" i="31"/>
  <c r="F102" i="31"/>
  <c r="I36" i="22" l="1"/>
  <c r="AG97" i="1" l="1"/>
  <c r="AN97" i="1" l="1"/>
  <c r="AT97" i="1" l="1"/>
  <c r="AK32" i="1" l="1"/>
  <c r="T109" i="43" l="1"/>
  <c r="L90" i="43" l="1"/>
  <c r="K90" i="43" s="1"/>
  <c r="K85" i="43"/>
  <c r="M28" i="43"/>
  <c r="M30" i="43" s="1"/>
  <c r="AG88" i="1" s="1"/>
  <c r="AT88" i="1" s="1"/>
  <c r="T85" i="43"/>
  <c r="H32" i="43" l="1"/>
  <c r="M32" i="43" s="1"/>
  <c r="L35" i="43" s="1"/>
  <c r="AN88" i="1" l="1"/>
  <c r="N86" i="31" l="1"/>
  <c r="N85" i="31" s="1"/>
  <c r="K89" i="31"/>
  <c r="K88" i="31"/>
  <c r="T111" i="31" l="1"/>
  <c r="T110" i="31" s="1"/>
  <c r="K86" i="31"/>
  <c r="T86" i="31"/>
  <c r="T85" i="31" l="1"/>
  <c r="L91" i="31" l="1"/>
  <c r="K91" i="31" s="1"/>
  <c r="K85" i="31"/>
  <c r="M28" i="31"/>
  <c r="M30" i="31" s="1"/>
  <c r="AG92" i="1" s="1"/>
  <c r="AT92" i="1" s="1"/>
  <c r="AN92" i="1" l="1"/>
  <c r="H32" i="31"/>
  <c r="M32" i="31" s="1"/>
  <c r="L35" i="31" s="1"/>
  <c r="AG87" i="1" l="1"/>
  <c r="AN89" i="1"/>
  <c r="AN87" i="1" s="1"/>
  <c r="AA104" i="1" l="1"/>
  <c r="AT87" i="1"/>
  <c r="AI104" i="1" l="1"/>
  <c r="AT104" i="1" s="1"/>
  <c r="AN104" i="1" l="1"/>
  <c r="AG101" i="1"/>
  <c r="AT101" i="1" s="1"/>
  <c r="AN101" i="1" l="1"/>
  <c r="AN116" i="1" s="1"/>
  <c r="AG116" i="1"/>
  <c r="AT116" i="1" s="1"/>
  <c r="AK27" i="1" l="1"/>
  <c r="AK29" i="1" s="1"/>
  <c r="W31" i="1" s="1"/>
  <c r="AK31" i="1" s="1"/>
  <c r="AK37" i="1" s="1"/>
</calcChain>
</file>

<file path=xl/sharedStrings.xml><?xml version="1.0" encoding="utf-8"?>
<sst xmlns="http://schemas.openxmlformats.org/spreadsheetml/2006/main" count="2624" uniqueCount="854">
  <si>
    <t/>
  </si>
  <si>
    <t>SOUHRNNÝ LIST STAVBY</t>
  </si>
  <si>
    <t>Kód:</t>
  </si>
  <si>
    <t>Stavba:</t>
  </si>
  <si>
    <t>JKSO:</t>
  </si>
  <si>
    <t>CC-CZ:</t>
  </si>
  <si>
    <t>Místo:</t>
  </si>
  <si>
    <t>Datum:</t>
  </si>
  <si>
    <t>Objednatel:</t>
  </si>
  <si>
    <t>IČ:</t>
  </si>
  <si>
    <t>DIČ:</t>
  </si>
  <si>
    <t>Zhotovitel:</t>
  </si>
  <si>
    <t xml:space="preserve"> </t>
  </si>
  <si>
    <t>Projektant:</t>
  </si>
  <si>
    <t>Zpracovatel:</t>
  </si>
  <si>
    <t>Jakub Kulhavý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</si>
  <si>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</si>
  <si>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</si>
  <si>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</si>
  <si>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</si>
  <si>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</si>
  <si>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</si>
  <si>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</si>
  <si>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</si>
  <si>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</si>
  <si>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</si>
  <si>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</si>
  <si>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</si>
  <si>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</si>
  <si>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</si>
  <si>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</si>
  <si>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</si>
  <si>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</si>
  <si>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</si>
  <si>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Kód</t>
  </si>
  <si>
    <t>Objekt</t>
  </si>
  <si>
    <t>Cena bez DPH [CZK]</t>
  </si>
  <si>
    <t>Cena s DPH [CZK]</t>
  </si>
  <si>
    <t>KRYCÍ LIST ROZPOČTU</t>
  </si>
  <si>
    <t>Objekt:</t>
  </si>
  <si>
    <t>Náklady z rozpočtu</t>
  </si>
  <si>
    <t>REKAPITULACE ROZPOČTU</t>
  </si>
  <si>
    <t>Kód - Popis</t>
  </si>
  <si>
    <t>Cena celkem [CZK]</t>
  </si>
  <si>
    <t>1) Náklady z rozpočtu</t>
  </si>
  <si>
    <t>ROZPOČET</t>
  </si>
  <si>
    <t>PČ</t>
  </si>
  <si>
    <t>Typ</t>
  </si>
  <si>
    <t>Popis</t>
  </si>
  <si>
    <t>MJ</t>
  </si>
  <si>
    <t>Množství</t>
  </si>
  <si>
    <t>J.cena [CZK]</t>
  </si>
  <si>
    <t>K</t>
  </si>
  <si>
    <t>m2</t>
  </si>
  <si>
    <t>m3</t>
  </si>
  <si>
    <t>M</t>
  </si>
  <si>
    <t>t</t>
  </si>
  <si>
    <t>kus</t>
  </si>
  <si>
    <t>m</t>
  </si>
  <si>
    <t>R</t>
  </si>
  <si>
    <t>%</t>
  </si>
  <si>
    <t>kpl</t>
  </si>
  <si>
    <t>bm</t>
  </si>
  <si>
    <t>Seznam revizí:</t>
  </si>
  <si>
    <t xml:space="preserve">Celkové náklady </t>
  </si>
  <si>
    <t>Celkové náklady za stavbu</t>
  </si>
  <si>
    <t>Celkové náklady z rozpočtů</t>
  </si>
  <si>
    <t>Poznámka:</t>
  </si>
  <si>
    <t>Mimostaveništní doprava a přesuny</t>
  </si>
  <si>
    <t>Zařízení staveniště, včetně návozu a likvidace</t>
  </si>
  <si>
    <t>SOUHRNNÝ VÝKAZ VÝMĚR, DODÁVEK A PRACÍ</t>
  </si>
  <si>
    <r>
      <t>Pozn.:</t>
    </r>
    <r>
      <rPr>
        <b/>
        <sz val="10"/>
        <rFont val="Arial CE"/>
        <family val="2"/>
        <charset val="238"/>
      </rPr>
      <t>Zhotovitel je povinen vykázat množství dodávek a prací a související ocenění dle svého propočtu. Zhotovitel je zodpovědný za množství výměr, dodávek a prací uvedených ve výkazech výměr, dodávek a prací přiložených zhotovitelem k jeho nabídce.</t>
    </r>
  </si>
  <si>
    <t>položka , popis</t>
  </si>
  <si>
    <t>měrná jednotka</t>
  </si>
  <si>
    <t>množství</t>
  </si>
  <si>
    <t>jednotková cena [Kč]</t>
  </si>
  <si>
    <t>celková cena [Kč]</t>
  </si>
  <si>
    <t>poznámka</t>
  </si>
  <si>
    <t>bez DPH</t>
  </si>
  <si>
    <t>KONEČNÁ - ÚPLNÁ NABÍDKOVÁ CENA DODAVATELE ZA PLNĚ FUNKČNÍ KOMPLET ZTI</t>
  </si>
  <si>
    <t>K ceně materiálu jsou připočteny veškeré montážní a zemní práce,nátěry,tlakové zkoušky</t>
  </si>
  <si>
    <t>Tato specifikace množství je nedílnou součástí celého projektu pro výběr dodavatele dané akce. Ceny pro každou položku veškerý související materiál a práce včetně kompletní montáže, tak jak je uvedeno v technické zprávě. Ceny zařízení, která jsou ve výkresech označena jako celek musí být pro kompletní zařízení, tak jak je uvedeno v technické zprávě . Povinností dodavatele je překontrolovat výše uvedenou specifikaci a případný chybějící materiál doplnit a ocenit.</t>
  </si>
  <si>
    <t xml:space="preserve">Výpis materiálu osahuje dodávku základního materiálu pro danou akci. Dodávka akce se předpokládá včetně souvisejícího doplňkového, podružného a montážního materiálu tak, aby celé zřízení bylo funkční a splňovalo všechny předpisy, které se na ně vztahují.  Součástí potrubí jsou ne jen kolena, oblouky, redukce, uložení, šroubení ale i odvzdušnění, vypouštění a podpěry, konzoly a závěsy a veškeré ocelové konstrukce potřebné k uložení potrubí, propláchnutí soustavy, .... Závitové armatury budou dodány včetně potřebných připojovacích šroubení, konopí, fermeže .... Přírubové a bezpřírubové armatury  budou dodány včetně potřebných protipřírub, těsnění, šroubů .... Manometry jsou včetně smyčky a trojcestného manometrického kohoutu. Teploměry jsou včetně návarku a jímky. Napojení čerpadel a zařízení je myšleno včetně připojovacích šroubení resp. protipřírub, .... </t>
  </si>
  <si>
    <t>Veškeré použité výrobky musí mít osvědčení o schválení k provozu v České republice.</t>
  </si>
  <si>
    <t>1.1</t>
  </si>
  <si>
    <t>1.2</t>
  </si>
  <si>
    <t>Poznámky:</t>
  </si>
  <si>
    <t xml:space="preserve"> - položky uvedené v soupisu prací a dodávek je nutné ocenit včetně veškerých potřebných nákladů na práci a materiál tak, aby byla zajištěna plná a bezpodmínečná bezvadná funkčnost dokončeného předaného díla</t>
  </si>
  <si>
    <t xml:space="preserve"> - předložením oceněného soupisu prací a dodávek Zhotovitel prohlašuje, že si veškeré položky a výměry zkontroloval a předložená cenová nabídka zahrnuje veškeré náklady pro provedení bezvadného funkčního díla dl uvedené PD</t>
  </si>
  <si>
    <t>Na Základě:</t>
  </si>
  <si>
    <t>Na základě:</t>
  </si>
  <si>
    <t>CZK / m2 HPP</t>
  </si>
  <si>
    <t>m2 HPP</t>
  </si>
  <si>
    <t>CZK bez DPH / m2HPP</t>
  </si>
  <si>
    <t>Celková cena</t>
  </si>
  <si>
    <t>2.1</t>
  </si>
  <si>
    <t>3.1</t>
  </si>
  <si>
    <t>3.2</t>
  </si>
  <si>
    <t>kg</t>
  </si>
  <si>
    <t>Manipulace a doprava s vešlerým materiálem</t>
  </si>
  <si>
    <t>Kompletní uvedení do provozu</t>
  </si>
  <si>
    <t>Zkouška těsnosti</t>
  </si>
  <si>
    <t>hod</t>
  </si>
  <si>
    <t>Výpis materiálu osahuje dodávku a montáž základního materiálu pro danou akci. Dodávka akce se předpokládá včetně souvisejícího doplňkového, podružného a montážního materiálu tak, aby celé dílo bylo bezvadné a funkční a splňovalo všechny předpisy, které se na ně vztahují.</t>
  </si>
  <si>
    <t xml:space="preserve">Ing. arch. MgA. Bořek Peška </t>
  </si>
  <si>
    <t>1) Stavební práce</t>
  </si>
  <si>
    <t xml:space="preserve">    9 - Bourání a demolice</t>
  </si>
  <si>
    <t>beton</t>
  </si>
  <si>
    <t>cihla</t>
  </si>
  <si>
    <t>směs</t>
  </si>
  <si>
    <t xml:space="preserve">    D - výrobky a specifikace</t>
  </si>
  <si>
    <t>Dokladová část - projekt skutečného provedení a veškeré doklady nutné ke kolaudaci a předání díla - předání v elektronické i papírové podobě</t>
  </si>
  <si>
    <t>Dílenská / výrobní dokumentace výrobků a prvků pro schválení - předložení v elektronické i papírové podobě</t>
  </si>
  <si>
    <t>Vzorkování provedení, barevnosti a doplňků výrobků a prvků - předložení fyzických vzorků</t>
  </si>
  <si>
    <t>město Bílina
Břežanská 50/4, 418 31 Bílina</t>
  </si>
  <si>
    <t>Bourání a demolice</t>
  </si>
  <si>
    <t>Sanace</t>
  </si>
  <si>
    <t>celá plocha</t>
  </si>
  <si>
    <t>zemina</t>
  </si>
  <si>
    <t>Bourání schodišťových stupňů betonových zhotovených na místě</t>
  </si>
  <si>
    <t xml:space="preserve">    997 - Přesun sutě</t>
  </si>
  <si>
    <t>suť beton</t>
  </si>
  <si>
    <t>suť zemina a kamenivo</t>
  </si>
  <si>
    <t>suť směsná</t>
  </si>
  <si>
    <t>výpočtem</t>
  </si>
  <si>
    <t>suť celkem</t>
  </si>
  <si>
    <t>Odvoz suti a vybouraných hmot na skládku nebo meziskládku do 1 km se složením</t>
  </si>
  <si>
    <t>výpočet pro X km</t>
  </si>
  <si>
    <t>celková vzdálenost na skládku a zpět</t>
  </si>
  <si>
    <t>Příplatek k odvozu suti a vybouraných hmot na skládku ZKD 1 km přes 1 km</t>
  </si>
  <si>
    <t>z demolic</t>
  </si>
  <si>
    <t>Poplatek za uložení stavebního odpadu na recyklační skládce (skládkovné) z prostého betonu kód odpadu 17 01 01</t>
  </si>
  <si>
    <t>Poplatek za uložení stavebního odpadu na recyklační skládce (skládkovné) směsného stavebního a demoličního kód odpadu 17 09 04</t>
  </si>
  <si>
    <t>Poplatek za uložení stavebního odpadu na recyklační skládce (skládkovné) zeminy a kamení zatříděného do Katalogu odpadů pod kódem 17 05 04</t>
  </si>
  <si>
    <t>asfalt</t>
  </si>
  <si>
    <t>hydroizolace s výkopem</t>
  </si>
  <si>
    <t>obkopání objektu</t>
  </si>
  <si>
    <t xml:space="preserve"> = délka x profil výkopu</t>
  </si>
  <si>
    <t>Hloubení nezapažených rýh šířky do 800 mm v soudržných horninách třídy těžitelnosti I skupiny 3 ručně</t>
  </si>
  <si>
    <t>skladba SE.1</t>
  </si>
  <si>
    <t>odměřeno z PD - viz D.1.1.1 _ vykázáno v bm</t>
  </si>
  <si>
    <t>svislá do výšky čistého terénu _ vykázáno v m2</t>
  </si>
  <si>
    <t>vodorovná pro hydroizolaci _ vykázáno v m2</t>
  </si>
  <si>
    <t>vodorovná pro nopovou fólii _ vykázáno v m2</t>
  </si>
  <si>
    <t>Ruční dočištění ploch stěn, rubu kleneb a podlah ocelových kartáči</t>
  </si>
  <si>
    <t xml:space="preserve"> = délka x plná výška</t>
  </si>
  <si>
    <t>plocha odhaleného zdiva</t>
  </si>
  <si>
    <t xml:space="preserve">Vyškrabání spár zdiva cihelného mimo komínového	</t>
  </si>
  <si>
    <t>Vyplnění spár cementovou maltou vnějších stěn z cihel</t>
  </si>
  <si>
    <t>předpoklad</t>
  </si>
  <si>
    <t>Vyškrabání spár zdiva kamenného režného</t>
  </si>
  <si>
    <t>Vyplnění spár cementovou maltou vnějších stěn z tvárnic nebo kamene</t>
  </si>
  <si>
    <t xml:space="preserve"> = X% celkové plochy</t>
  </si>
  <si>
    <t xml:space="preserve"> = Y% celkové plochy</t>
  </si>
  <si>
    <t>kamenné zdivo</t>
  </si>
  <si>
    <t>celá plocha zdiva</t>
  </si>
  <si>
    <t>Sanační postřik vnějších stěn nanášený celoplošně ručně</t>
  </si>
  <si>
    <t>Sanační jednovrstvá omítka vnějších stěn nanášená ručně</t>
  </si>
  <si>
    <t xml:space="preserve"> = plocha x počet 5mm vrstev nad 20mm</t>
  </si>
  <si>
    <t>Příplatek k sanační jednovrstvé omítce vnějších stěn za každých dalších 5 mm tloušťky přes 20 mm ručně</t>
  </si>
  <si>
    <t>do celkové tl. 40mm</t>
  </si>
  <si>
    <t>Izolace proti vodě za studena vodorovná těsnicí hmotou dvousložkovou na bázi polymery modifikované živičné emulze</t>
  </si>
  <si>
    <t>Izolace proti vodě za studena svislá těsnicí hmotou dvousložkovou na bázi polymery modifikované živičné emulze</t>
  </si>
  <si>
    <t>Izolace proti podpovrchové a tlakové vodě svislá těsnicí hmotou dvousložkovou na bázi cementu</t>
  </si>
  <si>
    <t>svislá vytažení nad terén _ vykázáno v m2</t>
  </si>
  <si>
    <t>Provedení izolace proti zemní vlhkosti vodorovné za studena nátěrem penetračním</t>
  </si>
  <si>
    <t>Provedení izolace proti zemní vlhkosti svislé za studena nátěrem penetračním</t>
  </si>
  <si>
    <t>bitumen stěrka</t>
  </si>
  <si>
    <t>cement stěrka</t>
  </si>
  <si>
    <t>111.901</t>
  </si>
  <si>
    <t>bitumenová základní emulze</t>
  </si>
  <si>
    <t xml:space="preserve"> = plocha x spotřeba kg/m2</t>
  </si>
  <si>
    <t>111.902</t>
  </si>
  <si>
    <t>cementová základní emulze</t>
  </si>
  <si>
    <t>Izolace proti zemní vlhkosti nopovou fólií s textilií vodorovná, nopek v 8,0 mm, tl do 0,6 mm</t>
  </si>
  <si>
    <t>Izolace proti zemní vlhkosti nopovou fólií s textilií svislá, nopek v 8,0 mm, tl do 0,6 mm</t>
  </si>
  <si>
    <t>obvod</t>
  </si>
  <si>
    <t>Izolace proti zemní vlhkosti nopovou fólií ukončení horní lištou</t>
  </si>
  <si>
    <t>těsnící zásyp</t>
  </si>
  <si>
    <t xml:space="preserve"> = délka x profil těsnícího zásypu</t>
  </si>
  <si>
    <t>Zřízení těsnicí výplně se zhutněním bez dodání sypaniny</t>
  </si>
  <si>
    <t>jíl surový kusový</t>
  </si>
  <si>
    <t xml:space="preserve">    985 - Sanace</t>
  </si>
  <si>
    <t>skladba SE.2</t>
  </si>
  <si>
    <t>Sanace vnější podzemní zdivo - skladba SE.1</t>
  </si>
  <si>
    <t>Přezdívání cihelného zdiva do aktivované malty objemu do 1 m3</t>
  </si>
  <si>
    <t>odhad</t>
  </si>
  <si>
    <t>oprava zasoleného zdiva, množství = odhad</t>
  </si>
  <si>
    <t>Jednonásobné pačokování v místnostech v do 3,80 m</t>
  </si>
  <si>
    <t>přepočet na kusy</t>
  </si>
  <si>
    <t>cihla pálená plná do P15 290x140x65mm</t>
  </si>
  <si>
    <t>Stavební práce a dodávky</t>
  </si>
  <si>
    <t>998.R002</t>
  </si>
  <si>
    <t>Schodišťové stupně dusané na terén z betonu tř. C 20/25 bez potěru</t>
  </si>
  <si>
    <t>Výztuž mazanin svařovanými sítěmi Kari</t>
  </si>
  <si>
    <t xml:space="preserve">    998 - Přesuny hmot</t>
  </si>
  <si>
    <t>schodiště</t>
  </si>
  <si>
    <t>Penetrační silikátový nátěr hladkých, tenkovrstvých zrnitých nebo štukových omítek</t>
  </si>
  <si>
    <t>celkem</t>
  </si>
  <si>
    <t>Krycí dvojnásobný silikátový nátěr omítek stupně členitosti 1 a 2</t>
  </si>
  <si>
    <t>Hydrofobizační transparentní silikonový nátěr omítek stupně členitosti 1 a 2</t>
  </si>
  <si>
    <t>998.R003</t>
  </si>
  <si>
    <t>T.1</t>
  </si>
  <si>
    <t>T.2</t>
  </si>
  <si>
    <t>Přesun hmot pro výrobky a specifikace</t>
  </si>
  <si>
    <t>2) Technologie</t>
  </si>
  <si>
    <t>3) Vedlejší rozpočtové náklady - pro oba objekty dohromady</t>
  </si>
  <si>
    <t>sada</t>
  </si>
  <si>
    <t>1.3</t>
  </si>
  <si>
    <t>1.4</t>
  </si>
  <si>
    <t>1.5</t>
  </si>
  <si>
    <t>1.6</t>
  </si>
  <si>
    <t>1.7</t>
  </si>
  <si>
    <t>1.8</t>
  </si>
  <si>
    <t>3.3</t>
  </si>
  <si>
    <t>3.4</t>
  </si>
  <si>
    <t>3.5</t>
  </si>
  <si>
    <t>3.6</t>
  </si>
  <si>
    <t>3.7</t>
  </si>
  <si>
    <t>3.8</t>
  </si>
  <si>
    <t>a revize,včetně pomocných konstrukcí - táhel,konzol a závěsů.</t>
  </si>
  <si>
    <t>Likvidace odpadů je součástí celkové likvidace v rámci bourání a VRN.</t>
  </si>
  <si>
    <t>ostatní drobné bourací práce</t>
  </si>
  <si>
    <t>odborný odhad</t>
  </si>
  <si>
    <t>HZS1292</t>
  </si>
  <si>
    <t>Hodinová zúčtovací sazba stavební dělník</t>
  </si>
  <si>
    <t>Kladení dlažby z kostek drobných z kamene do lože z kameniva těženého tl 50 mm</t>
  </si>
  <si>
    <t>Vytrhání obrub silničních ležatých</t>
  </si>
  <si>
    <t>2.2</t>
  </si>
  <si>
    <t>U zařízení, kde není uvedeno množství, určí potenciální dodavatel cenu odborným odhadem.</t>
  </si>
  <si>
    <t>Revitalizace veřejného prostoru v proluce mezi ZUŠ a domem čp. 23 vč. přilehlých prostor ul. Radniční</t>
  </si>
  <si>
    <t>projektové dokumentace ve stupni DPS z 12/2024</t>
  </si>
  <si>
    <t>SO.01 bourání a demolice</t>
  </si>
  <si>
    <t>Radniční ul. Bílina
p.č. 107, 120/1, 122, 125/1, 125/2, 125/3, 126, k.ú. Bílina [604208]</t>
  </si>
  <si>
    <t>pro SO.02</t>
  </si>
  <si>
    <t>plocha proluka</t>
  </si>
  <si>
    <t>oplocení nízké</t>
  </si>
  <si>
    <t>oplocení vysoké</t>
  </si>
  <si>
    <t>Rozebrání oplocení s příčníky a betonovými sloupky z prken a latí</t>
  </si>
  <si>
    <t>Rozebrání oplocení s příčníky a ocelovými sloupky z prken a latí</t>
  </si>
  <si>
    <t>Rozebrání vrat a vrátek k oplocení pl do 2 m2</t>
  </si>
  <si>
    <t>branka oplocení hřiště</t>
  </si>
  <si>
    <t>Rozebrání vrat a vrátek k oplocení pl přes 2 do 6 m2</t>
  </si>
  <si>
    <t>branka oplocení ZUŠ</t>
  </si>
  <si>
    <t>Bourání zdiva z tvárnic ztraceného bednění včetně výztuže a výplně z betonu C25/30 přes 1 m3</t>
  </si>
  <si>
    <t>podezdívka v 0,5m, sloupky á 2,5m, výška 1,5m, tl. zdiva 0,3m</t>
  </si>
  <si>
    <t>oplocení u ZUŠ</t>
  </si>
  <si>
    <t>pro SO.03</t>
  </si>
  <si>
    <t>zámková dlažba</t>
  </si>
  <si>
    <t>ul. Seifertova</t>
  </si>
  <si>
    <t>kostky</t>
  </si>
  <si>
    <t>ul. Komenského</t>
  </si>
  <si>
    <t>Odstranění podkladu z betonu prostého tl přes 100 do 150 mm ručně</t>
  </si>
  <si>
    <t>Odstranění podkladu živičného tl přes 50 do 100 mm strojně pl přes 200 m2</t>
  </si>
  <si>
    <t>Rozebrání dlažeb vozovek z drobných kostek s ložem z kameniva ručně</t>
  </si>
  <si>
    <t>Rozebrání dlažeb vozovek ze zámkové dlažby s ložem z kameniva ručně</t>
  </si>
  <si>
    <t>kamenivo</t>
  </si>
  <si>
    <t>hřiště</t>
  </si>
  <si>
    <t>Odstranění podkladu z kameniva těženého tl do 100 mm ručně</t>
  </si>
  <si>
    <t>obruby vjezdy</t>
  </si>
  <si>
    <t>Odstranění podkladu z kameniva drceného tl přes 100 do 200 mm strojně pl přes 200 m2</t>
  </si>
  <si>
    <t>Odstranění podkladu z kameniva drceného tl přes 100 do 200 mm ručně</t>
  </si>
  <si>
    <t>Odstranění značek dopravních nebo orientačních se sloupky s betonovými patkami</t>
  </si>
  <si>
    <t>Odstranění svislých dopravních značek ze sloupů, sloupků nebo konzol</t>
  </si>
  <si>
    <t>proluka značka na lampě VO</t>
  </si>
  <si>
    <t>Odstranění zábrany parkovací zabetonovaného sloupku v do 800 mm</t>
  </si>
  <si>
    <t>vjezd ul. Seifertova</t>
  </si>
  <si>
    <t>966001.901</t>
  </si>
  <si>
    <t>Odstranění městského mobiliáře</t>
  </si>
  <si>
    <t>966001.902</t>
  </si>
  <si>
    <t>Odstranění stávajících uličních vpustí a šachet se zaslepením potrubí zabetonováním</t>
  </si>
  <si>
    <t>oplocení kovové</t>
  </si>
  <si>
    <t>vjezd ul. Komenského - ocelové s podezdívkou</t>
  </si>
  <si>
    <t>dětské hřiště proluka - dřevěné</t>
  </si>
  <si>
    <t>ZUŠ - dřevěné, část s podezdívkou</t>
  </si>
  <si>
    <t>podezdívka v 0,5m, tl. zdiva 0,25m</t>
  </si>
  <si>
    <t>Rozebrání rámového oplocení na ocelové sloupky v přes 1 do 2 m</t>
  </si>
  <si>
    <t>pro SO.04</t>
  </si>
  <si>
    <t>zídka záhon</t>
  </si>
  <si>
    <t>zídka schodiště</t>
  </si>
  <si>
    <t>atika okolo</t>
  </si>
  <si>
    <t>výška zídek</t>
  </si>
  <si>
    <t>výška atiky</t>
  </si>
  <si>
    <t>Bourání zdiva z tvárnic ztraceného bednění včetně výztuže a výplně z betonu C25/30 do 1 m3</t>
  </si>
  <si>
    <t>schodiště záhon</t>
  </si>
  <si>
    <t>schodiště chodník</t>
  </si>
  <si>
    <t>Ostatní práce při bourání a demolicích</t>
  </si>
  <si>
    <t>Ochrana kmene průměru přes 500 do 700 mm bedněním výšky přes 2 do 3 m</t>
  </si>
  <si>
    <t>strom plocha</t>
  </si>
  <si>
    <t>strom záhon</t>
  </si>
  <si>
    <t>pro SO.07</t>
  </si>
  <si>
    <t>966001.903</t>
  </si>
  <si>
    <t>Odstranění stávající vodoměrné šachty s ochranou vodovodního potrubí pro další využití</t>
  </si>
  <si>
    <t>suť asfalt</t>
  </si>
  <si>
    <t>SO02</t>
  </si>
  <si>
    <t>SO03</t>
  </si>
  <si>
    <t>SO04</t>
  </si>
  <si>
    <t>SO05</t>
  </si>
  <si>
    <t>SO06</t>
  </si>
  <si>
    <t>SO07</t>
  </si>
  <si>
    <t>SO08</t>
  </si>
  <si>
    <t>SO09</t>
  </si>
  <si>
    <t>SO.03 dětské hřiště</t>
  </si>
  <si>
    <t>cihelná zeď</t>
  </si>
  <si>
    <t>suť cihla</t>
  </si>
  <si>
    <t>Bourání zdiva z cihel pálených nebo vápenopískových na MC přes 1 m3</t>
  </si>
  <si>
    <t>výška 3,0m, tl. zdiva 0,3m</t>
  </si>
  <si>
    <t xml:space="preserve">    1 - Plocha dětského hřiště</t>
  </si>
  <si>
    <t xml:space="preserve">    2 - Plocha dvora ZUŠ</t>
  </si>
  <si>
    <t>dopadová plocha</t>
  </si>
  <si>
    <t>mlat</t>
  </si>
  <si>
    <t>dlažba</t>
  </si>
  <si>
    <t>zeleň</t>
  </si>
  <si>
    <t>zemina tl. 300mm</t>
  </si>
  <si>
    <t>tl. 250mm viz skladba A</t>
  </si>
  <si>
    <t>tl. 300mm viz skladba C</t>
  </si>
  <si>
    <t>Úprava pláně v hornině třídy těžitelnosti I skupiny 1 až 3 se zhutněním strojně</t>
  </si>
  <si>
    <t>celková plocha</t>
  </si>
  <si>
    <t>skladba A - dlažba</t>
  </si>
  <si>
    <t>skladba C - mlat</t>
  </si>
  <si>
    <t>ostatní společné</t>
  </si>
  <si>
    <t>Podklad nebo lože pod dlažbu vodorovný nebo do sklonu 1:5 z prohozené zeminy tl přes 30 do 100 mm</t>
  </si>
  <si>
    <t>pod skladbu A</t>
  </si>
  <si>
    <t>Hloubení nezapažených jam v soudržných horninách třídy těžitelnosti I skupiny 3 ručně</t>
  </si>
  <si>
    <t>skladba E - dopadová plocha</t>
  </si>
  <si>
    <t>tl. 300mm viz skladba E</t>
  </si>
  <si>
    <t>Geotextilie pro ochranu, separaci a filtraci netkaná měrná hm přes 300 do 500 g/m2</t>
  </si>
  <si>
    <t>odkaz</t>
  </si>
  <si>
    <t>Bezpečnostní dopadová plocha venkovní na dětském hřišti tl 30 cm z písku</t>
  </si>
  <si>
    <t>jáma pro vsak</t>
  </si>
  <si>
    <t>Podklad ze štěrkodrtě ŠD plochy do 100 m2 tl 150 mm</t>
  </si>
  <si>
    <t>Výkopy, zásypy, přípravné práce, podloží a niveleta</t>
  </si>
  <si>
    <t>materiál kostka</t>
  </si>
  <si>
    <t>Podklad ze štěrkodrtě ŠD plochy do 100 m2 tl 200 mm</t>
  </si>
  <si>
    <t>Podklad nebo podsyp ze štěrkopísku ŠP plochy do 100 m2 tl 60 mm</t>
  </si>
  <si>
    <t>podkladní vrstva mlat</t>
  </si>
  <si>
    <t>finální vrstva mlat</t>
  </si>
  <si>
    <t>Podklad nebo podsyp ze štěrkopísku ŠP plochy do 100 m2 tl 40 mm</t>
  </si>
  <si>
    <t>583.901</t>
  </si>
  <si>
    <t>mlatový materiál podkladní frakce 0/16</t>
  </si>
  <si>
    <t>mlatový materiál finální frakce 0/5</t>
  </si>
  <si>
    <t>583.902</t>
  </si>
  <si>
    <t>Uložení a hrubé rozhrnutí výkopku bez zhutnění v rovině a ve svahu do 1:5</t>
  </si>
  <si>
    <t>doplnění zeminy podklad</t>
  </si>
  <si>
    <t xml:space="preserve"> = plocha x tloušťka</t>
  </si>
  <si>
    <t>Rozprostření ornice tl vrstvy do 200 mm v rovině nebo ve svahu do 1:5 ručně</t>
  </si>
  <si>
    <t>doplnění ornice</t>
  </si>
  <si>
    <t xml:space="preserve"> = plocha</t>
  </si>
  <si>
    <t>nákup a dovoz zeminy</t>
  </si>
  <si>
    <t>zemina pro terénní úpravy - ornice</t>
  </si>
  <si>
    <t xml:space="preserve"> = plocha x tloušťka x koeficient</t>
  </si>
  <si>
    <t>Založení parterového trávníku výsevem pl do 1000 m2 v rovině a ve svahu do 1:5</t>
  </si>
  <si>
    <t>osivo</t>
  </si>
  <si>
    <t xml:space="preserve"> = plocha x spotřeba</t>
  </si>
  <si>
    <t>00572420</t>
  </si>
  <si>
    <t>osivo směs travní parková okrasná</t>
  </si>
  <si>
    <t>Hnojení půdy umělým hnojivem na široko v rovině a svahu do 1:5</t>
  </si>
  <si>
    <t>25111113</t>
  </si>
  <si>
    <t>hnojivo NPK s vápencem</t>
  </si>
  <si>
    <t>hnojivo</t>
  </si>
  <si>
    <t>185804.901</t>
  </si>
  <si>
    <t xml:space="preserve">Zalití trávníku </t>
  </si>
  <si>
    <t>zálivka trávníku průběžná do první seče</t>
  </si>
  <si>
    <t>Ošetření trávníku shrabáním v rovině a svahu do 1:5</t>
  </si>
  <si>
    <t>první seč s uválcováním</t>
  </si>
  <si>
    <t>vsak</t>
  </si>
  <si>
    <t>Poplatek za uložení stavebního odpadu na recyklační skládce (skládkovné) cihelného kód odpadu 17 01 02</t>
  </si>
  <si>
    <t>Osazení obruby z velkých kostek s boční opěrou do lože z betonu prostého</t>
  </si>
  <si>
    <t xml:space="preserve"> = odkaz</t>
  </si>
  <si>
    <t>kostka štípaná dlažební žula drobná 8/10</t>
  </si>
  <si>
    <t xml:space="preserve"> = celková plocha - nový materiál</t>
  </si>
  <si>
    <t xml:space="preserve"> = celková délka x šířka 0,08m x koeficient</t>
  </si>
  <si>
    <t>Výplň odvodňovacích žeber nebo trativodů kamenivem hrubým drceným frakce 16 až 63 mm</t>
  </si>
  <si>
    <t>vsak výplň</t>
  </si>
  <si>
    <t>Zřízení opláštění žeber nebo trativodů geotextilií v rýze nebo zářezu přes 1:2 š přes 2,5 m</t>
  </si>
  <si>
    <t>vsak opláštění</t>
  </si>
  <si>
    <t>materiál geotextilie</t>
  </si>
  <si>
    <t xml:space="preserve"> = celková plocha vsaku x koeficient</t>
  </si>
  <si>
    <t>geotextilie netkaná separační, ochranná, filtrační, drenážní PES 300g/m2</t>
  </si>
  <si>
    <t>tl. 290mm viz skladba D</t>
  </si>
  <si>
    <t>dilatace</t>
  </si>
  <si>
    <t>pod skladbu D</t>
  </si>
  <si>
    <t>skladba D - beton</t>
  </si>
  <si>
    <t>Podklad ze štěrkodrtě ŠD plochy do 100 m2 tl 40 mm</t>
  </si>
  <si>
    <t>mazanina</t>
  </si>
  <si>
    <t>Mazanina tl přes 80 do 120 mm z betonu prostého se zvýšenými nároky na prostředí tř. C 30/37</t>
  </si>
  <si>
    <t>Příplatek k mazanině tl přes 80 do 120 mm za přehlazení s poprášením cementem</t>
  </si>
  <si>
    <t>okapový chodníček</t>
  </si>
  <si>
    <t>šířka 50mm</t>
  </si>
  <si>
    <t>výztuž KARI 150/6</t>
  </si>
  <si>
    <t xml:space="preserve"> = plocha x hmotnost x koeficient</t>
  </si>
  <si>
    <t>Zřízení bednění rýh a hran v podlahách</t>
  </si>
  <si>
    <t>bednění obvodové</t>
  </si>
  <si>
    <t>corten vložka do dilatace</t>
  </si>
  <si>
    <t xml:space="preserve"> = výpočet z obvodu x výška</t>
  </si>
  <si>
    <t>Odstranění bednění rýh a hran v podlahách</t>
  </si>
  <si>
    <t>631351.901</t>
  </si>
  <si>
    <t>Osazení corten pásoviny před betonáží s vyrovnáním horní hrany do nivelety finálního povrchu mazaniny</t>
  </si>
  <si>
    <t>Okapový chodník ze štěrkopísku tl 100 mm s udusáním</t>
  </si>
  <si>
    <t>okapový chodníček u ZUŠ</t>
  </si>
  <si>
    <t>ostatní</t>
  </si>
  <si>
    <t>vsak u oplocení</t>
  </si>
  <si>
    <t>opláštění</t>
  </si>
  <si>
    <t>žlab u branky</t>
  </si>
  <si>
    <t xml:space="preserve"> =1,2</t>
  </si>
  <si>
    <t xml:space="preserve"> = 33,1 x šířka</t>
  </si>
  <si>
    <t xml:space="preserve">    3 - Ostatní společné práce a dodávky</t>
  </si>
  <si>
    <t>Soupis neobsahuje položky, které náleží do samostatných kapitol v rámci jiných SO nebo listů (specifikace, sadové úpravy apod)</t>
  </si>
  <si>
    <t>Oplocení</t>
  </si>
  <si>
    <t>Hloubení jamek objem do 0,5 m3 v soudržných horninách třídy těžitelnosti I skupiny 3 ručně</t>
  </si>
  <si>
    <t xml:space="preserve"> =(0,2*0,2*3,14)*1*9</t>
  </si>
  <si>
    <t>Osazování sloupků a vzpěr plotových ocelových v přes 2 do 2,6 m ukotvením k pevnému podkladu</t>
  </si>
  <si>
    <t xml:space="preserve"> =9</t>
  </si>
  <si>
    <t>Základové patky z betonu tř. C 20/25</t>
  </si>
  <si>
    <t>patky sloupky</t>
  </si>
  <si>
    <t>275352.901</t>
  </si>
  <si>
    <t>Bednění patek z potrubí KG</t>
  </si>
  <si>
    <t>Montáž rámového oplocení v přes 2 m</t>
  </si>
  <si>
    <t>osazení plotového dílce ocelového</t>
  </si>
  <si>
    <t>kotvení plotových sloupků</t>
  </si>
  <si>
    <t>Montáž dřevěného oplocení z dílců v přes 2,0 do 2,5 m</t>
  </si>
  <si>
    <t>osazení plotového panelu dřevěného</t>
  </si>
  <si>
    <t>145.901</t>
  </si>
  <si>
    <t>145.902</t>
  </si>
  <si>
    <t>rámová konstrukce oplocení, jekl 100/80/3, rozměr cca 1800x2440mm - kompletní výrobek včetně kotevních ploten a povrchové úpravy - přesná specifikace viz PD a ARCH</t>
  </si>
  <si>
    <t>rámová konstrukce oplocení, jekl 100/80/3, rozměr cca 570x2440mm - kompletní výrobek včetně kotevních ploten a povrchové úpravy- přesná specifikace viz PD a ARCH</t>
  </si>
  <si>
    <t>611.901</t>
  </si>
  <si>
    <t>611.902</t>
  </si>
  <si>
    <t>Treláž</t>
  </si>
  <si>
    <t>Montáž obložení stěn pl do 5 m2 panely z modřínu a tvrdého dřeva přes 1,50 m2</t>
  </si>
  <si>
    <t>treláž na zdivo</t>
  </si>
  <si>
    <t>treláž na oplocení</t>
  </si>
  <si>
    <t xml:space="preserve"> =1,8*2,23*8+0,57*2,23</t>
  </si>
  <si>
    <t xml:space="preserve"> =(6,8+2,9+5,2)*2,23-(1,55*1,5+1,45*1,5)</t>
  </si>
  <si>
    <t>611.903</t>
  </si>
  <si>
    <t>konstrukce treláže z latí modřín 50x30mm, včetně podkladních latí modřín 30x30mm - kompletní výrobek včetně kotevního materiálu a povrchové úpravy čirou lazurou  - přesná specifikace viz PD a ARCH</t>
  </si>
  <si>
    <t>plotový výplňový panel, konstrukce KVH + palubky (smrk s nátěrem RAL) , rozměr cca 1800x2230mm - kompletní výrobek včetně kotevního materiálu  - přesná specifikace viz PD a ARCH</t>
  </si>
  <si>
    <t>plotový výplňový panel, konstrukce KVH + palubky (smrk s nátěrem RAL) , rozměr cca 570x2230mm - kompletní výrobek včetně kotevního materiálu  - přesná specifikace viz PD a ARCH</t>
  </si>
  <si>
    <t>sloupky plot ZUŠ</t>
  </si>
  <si>
    <t>sloupky plot hřiště</t>
  </si>
  <si>
    <t>Přesun hmot pro objekt SO.03</t>
  </si>
  <si>
    <t>SO.04 revitaizace vyvýšeného sezení</t>
  </si>
  <si>
    <t>V rámci této kapitoly i veškerá suť a bilance výkopku z ostatních listů</t>
  </si>
  <si>
    <t>odtěžení zeminy u nového zdiva</t>
  </si>
  <si>
    <t>výkop základ</t>
  </si>
  <si>
    <t>Odkopávky a prokopávky v hornině třídy těžitelnosti I, skupiny 3 ručně</t>
  </si>
  <si>
    <t xml:space="preserve"> =(2,2+8,8+5)*plocha řezu</t>
  </si>
  <si>
    <t xml:space="preserve"> =(3,3*0,4+(2,2+5,9+5,1)*0,5+(0,5*4+1,5)*0,7)*0,95</t>
  </si>
  <si>
    <t>Základové pasy z betonu tř. C 20/25</t>
  </si>
  <si>
    <t>zákldové pasy</t>
  </si>
  <si>
    <t xml:space="preserve">    1 - Stavební práce a dodávky</t>
  </si>
  <si>
    <t>Zemní práce a základy</t>
  </si>
  <si>
    <t>podkopání základů</t>
  </si>
  <si>
    <t>Postupné podbetonování základového zdiva prostým betonem bez zvláštních nároků na prostředí tř. C 20/25</t>
  </si>
  <si>
    <t>podbetonování základů</t>
  </si>
  <si>
    <t>Vykopávky v uzavřených prostorech v hornině třídy těžitelnosti I skupiny 1 až 3 ručně</t>
  </si>
  <si>
    <t xml:space="preserve"> =(1*0,6*(0,4+0,8))</t>
  </si>
  <si>
    <t>Ochrana kmene průměru přes 500 do 700 mm bedněním výšky do 2 m</t>
  </si>
  <si>
    <t>Zdivo</t>
  </si>
  <si>
    <t>Ostatní práce a dodávky</t>
  </si>
  <si>
    <t>Zdivo a schodiště</t>
  </si>
  <si>
    <t xml:space="preserve">    2 - Povrchové úpravy dle skladeb</t>
  </si>
  <si>
    <t>odtěžení zeminy u objektu č.p. 25/3</t>
  </si>
  <si>
    <t xml:space="preserve"> =9,7*1,2*0,1</t>
  </si>
  <si>
    <t>odtěžení zeminy z plochy zvýšeného záhonu</t>
  </si>
  <si>
    <t xml:space="preserve"> =76*0,2</t>
  </si>
  <si>
    <t>Zásyp jam, šachet rýh nebo kolem objektů sypaninou se zhutněním ručně</t>
  </si>
  <si>
    <t>zpětný zásyp u zdiva</t>
  </si>
  <si>
    <t>zpětný zásyp u rampy</t>
  </si>
  <si>
    <t xml:space="preserve"> =(1,5)*plocha řezu</t>
  </si>
  <si>
    <t>Očištění dlažebních kostek drobných s původním spárováním kamenivem těženým</t>
  </si>
  <si>
    <t>částečné využití stávajících kostek</t>
  </si>
  <si>
    <t xml:space="preserve"> =6,4*1,5</t>
  </si>
  <si>
    <t>odtěžení zeminy u stávajícího zdiva</t>
  </si>
  <si>
    <t xml:space="preserve"> =(7,8+9,3+4,4)*1,2*0,1</t>
  </si>
  <si>
    <t>kamenné stupně</t>
  </si>
  <si>
    <t xml:space="preserve"> =(7,8+9,3+4,4)*průměrná výška</t>
  </si>
  <si>
    <t>Otlučení (osekání) vnější vápenné nebo vápenocementové omítky stupně členitosti 1 a 2 v rozsahu přes 80 do 100 %</t>
  </si>
  <si>
    <t>Příplatek k očištění ploch za plochu do 10 m2 jednotlivě</t>
  </si>
  <si>
    <t>Nadzákladová zeď tl přes 150 do 200 mm z hladkých tvárnic ztraceného bednění včetně výplně z betonu tř. 20/25</t>
  </si>
  <si>
    <t>nadzemní základy schodiště</t>
  </si>
  <si>
    <t>Nadzákladová zeď tl přes 250 do 300 mm z hladkých tvárnic ztraceného bednění včetně výplně z betonu tř. C 20/25</t>
  </si>
  <si>
    <t xml:space="preserve"> =(2,2+5,9+5,1)*1,5</t>
  </si>
  <si>
    <t>nové zdivo záhonu</t>
  </si>
  <si>
    <t xml:space="preserve"> =2,1*2</t>
  </si>
  <si>
    <t>Ztužující pásy a věnce ze ŽB tř. C 25/30</t>
  </si>
  <si>
    <t>věnec</t>
  </si>
  <si>
    <t xml:space="preserve"> =(10,45+9,25+9,65+9,84)*0,3*0,28</t>
  </si>
  <si>
    <t xml:space="preserve"> = objem betonu x koeficient</t>
  </si>
  <si>
    <t>Zřízení bednění ztužujících věnců</t>
  </si>
  <si>
    <t>Odstranění bednění ztužujících věnců</t>
  </si>
  <si>
    <t>Výztuž ztužujících pásů a věnců betonářskou ocelí 10 505</t>
  </si>
  <si>
    <t>odhad 150kg/m3</t>
  </si>
  <si>
    <t>dilatace u objektu 25/3</t>
  </si>
  <si>
    <t xml:space="preserve"> =2,1</t>
  </si>
  <si>
    <t>Izolace dvojitých příček proti šíření zvuku deskami z extrudovaného polystyrénu tl 10 mm</t>
  </si>
  <si>
    <t>zdivo objektu č.p. 25/3</t>
  </si>
  <si>
    <t>omítka zdivo záhon</t>
  </si>
  <si>
    <t>omítka objekt 25/3</t>
  </si>
  <si>
    <t xml:space="preserve"> =8,9</t>
  </si>
  <si>
    <t>skladba SE.3</t>
  </si>
  <si>
    <t>zdivo záhon stávající zvenku - hydroizolace</t>
  </si>
  <si>
    <t>zdivo záhon stávající zvenku - omítka</t>
  </si>
  <si>
    <t>skladba SE.4</t>
  </si>
  <si>
    <t>nové zdivo omítka</t>
  </si>
  <si>
    <t>skladba SE.5</t>
  </si>
  <si>
    <t>Schodiště</t>
  </si>
  <si>
    <t>Polštáře zhutněné pod základy ze štěrkodrti netříděné</t>
  </si>
  <si>
    <t>podsyp pod desku</t>
  </si>
  <si>
    <t xml:space="preserve"> =1,9*1,5</t>
  </si>
  <si>
    <t>podkladní betonové stupně</t>
  </si>
  <si>
    <t>Osazení schodišťových stupňů kamenných pemrlovaných na desku</t>
  </si>
  <si>
    <t xml:space="preserve"> =1,5*11</t>
  </si>
  <si>
    <t>kamenný schodišťový stupeň 150x300x1500mm</t>
  </si>
  <si>
    <t>Vyškrabání spár zdiva cihelného mimo komínového</t>
  </si>
  <si>
    <t>Lože pro trativody z betonu prostého</t>
  </si>
  <si>
    <t>spádový beton</t>
  </si>
  <si>
    <t xml:space="preserve"> =9,6*0,6*(0,1+0,075)/2</t>
  </si>
  <si>
    <t>vodorovná</t>
  </si>
  <si>
    <t xml:space="preserve"> =9,6*0,6</t>
  </si>
  <si>
    <t xml:space="preserve"> = svislá plocha x šířka 0,5</t>
  </si>
  <si>
    <t>998.R004</t>
  </si>
  <si>
    <t>Přesun hmot pro objekt SO.04</t>
  </si>
  <si>
    <t>plocha</t>
  </si>
  <si>
    <t xml:space="preserve"> = délka x výška</t>
  </si>
  <si>
    <t xml:space="preserve"> =21,5*0,6*(0,1+0,075)/2</t>
  </si>
  <si>
    <t xml:space="preserve"> =21,5*0,6</t>
  </si>
  <si>
    <t>Provedení izolace proti zemní vlhkosti vodorovné za studena 2x nátěr krystalickou hydroizolací</t>
  </si>
  <si>
    <t>Provedení izolace proti zemní vlhkosti svislé za studena 2x nátěr krystalickou hydroizolací</t>
  </si>
  <si>
    <t>hydroizolační silikátová stěrka</t>
  </si>
  <si>
    <t xml:space="preserve">ostatní </t>
  </si>
  <si>
    <t>pohledový věnec</t>
  </si>
  <si>
    <t xml:space="preserve"> =(10,45+9,25+9,65+9,84)*0,28</t>
  </si>
  <si>
    <t xml:space="preserve"> =(10,45+9,25+9,65+9,84)*2*0,28</t>
  </si>
  <si>
    <t>631351.902</t>
  </si>
  <si>
    <t>corten obruba</t>
  </si>
  <si>
    <t>Osazení corten pásoviny do betonového lože - obruba</t>
  </si>
  <si>
    <t xml:space="preserve"> =16,2</t>
  </si>
  <si>
    <t>631351.903</t>
  </si>
  <si>
    <t>corten lem</t>
  </si>
  <si>
    <t>Osazení corten pásoviny na ŽB věnec, včetně pomocného L profilu</t>
  </si>
  <si>
    <t xml:space="preserve"> =4,2+9,6+9,2+7,8+2,7+2,6</t>
  </si>
  <si>
    <t xml:space="preserve"> =(4,2+9,6+9,2+7,8+2,7+2,6)*0,4</t>
  </si>
  <si>
    <t>svislá</t>
  </si>
  <si>
    <t xml:space="preserve"> =(4,2+9,6+9,2+7,8+2,7+2,6)*0,5</t>
  </si>
  <si>
    <t>kačírek</t>
  </si>
  <si>
    <t xml:space="preserve"> =(4,2+9,6+9,2+7,8+2,7+2,6)*0,35</t>
  </si>
  <si>
    <t>Okapový chodník z kačírku tl 100 mm s udusáním</t>
  </si>
  <si>
    <t>SO.05 oprava ohradní zdi</t>
  </si>
  <si>
    <t>Zemní práce</t>
  </si>
  <si>
    <t>omítka zdivo</t>
  </si>
  <si>
    <t xml:space="preserve"> =(5,5+0,6+2,6)*0,6*0,1</t>
  </si>
  <si>
    <t xml:space="preserve"> =(5,5+0,6+2,6)*2,5</t>
  </si>
  <si>
    <t>oprava atika</t>
  </si>
  <si>
    <t xml:space="preserve"> =plocha atiky x koeficient</t>
  </si>
  <si>
    <t>Reprofilace rubu kleneb a podlah cementovou sanační maltou tl 10 mm</t>
  </si>
  <si>
    <t>treláž</t>
  </si>
  <si>
    <t xml:space="preserve"> =(2,62)*2,3</t>
  </si>
  <si>
    <t>atika</t>
  </si>
  <si>
    <t>zdivo stávající zvenku - hydroizolace</t>
  </si>
  <si>
    <t xml:space="preserve"> =8,7*0,6*(0,1+0,075)/2</t>
  </si>
  <si>
    <t xml:space="preserve"> =8,7*0,6</t>
  </si>
  <si>
    <t xml:space="preserve"> =(5,5+0,6+2,6)*0,5</t>
  </si>
  <si>
    <t>998.R005</t>
  </si>
  <si>
    <t>Přesun hmot pro objekt SO.05</t>
  </si>
  <si>
    <t>Položky kompletně převzaty z projektu Sanace základového zdiva ZUŠ</t>
  </si>
  <si>
    <t xml:space="preserve"> =  vodorovná plocha x tloušťka</t>
  </si>
  <si>
    <t>998.R006</t>
  </si>
  <si>
    <t>Přesun hmot pro objekt SO.06</t>
  </si>
  <si>
    <t>SO.06 sanace základového zdiva ZUŠ</t>
  </si>
  <si>
    <t>1.   Šachty</t>
  </si>
  <si>
    <t>Šachta vodoměrná prefa 1200x900x1500mm s litinovým poklopem 600x600mm B125</t>
  </si>
  <si>
    <t>Šachta uzavírací prefa 1200x900x1500mm s litinovým poklopem 600x600mm A15</t>
  </si>
  <si>
    <t>2.   Potrubí v zemi</t>
  </si>
  <si>
    <t>potrubí PE-HD 100 d40 - vodovodní přípojka</t>
  </si>
  <si>
    <t>potrubí PE-HD 100 d40 - sezónní vodovod</t>
  </si>
  <si>
    <t>3.   Armatury</t>
  </si>
  <si>
    <t>napojovací armatura na vodoměrnou sestavu</t>
  </si>
  <si>
    <t>uzavírací a vypouštěcí armatura v uzavírací šachtě</t>
  </si>
  <si>
    <t>napojovací armatura pro vodní prvek</t>
  </si>
  <si>
    <t>4.   Ostatní práce a dodávky</t>
  </si>
  <si>
    <t>Zemní práce pro potrubí - výkop + podsyp + obsyp + zásyp</t>
  </si>
  <si>
    <t>Zemní práce pro šachty - výkop + zásyp</t>
  </si>
  <si>
    <t>Stavební přípomoce - podkladní beton pro šachty</t>
  </si>
  <si>
    <t>SO.07 přípojka vodovodu pro dětské hřiště</t>
  </si>
  <si>
    <t>SO.08 dešťová kanalizace</t>
  </si>
  <si>
    <t>1.   Šachty a vpusti</t>
  </si>
  <si>
    <t>Úprava výškové pozice poklopů stávajících šachet</t>
  </si>
  <si>
    <t>Nový litinový poklop stávajících šachet D400</t>
  </si>
  <si>
    <t>,</t>
  </si>
  <si>
    <t>Nový litinový poklop stávajících šachet A15</t>
  </si>
  <si>
    <t>3.   Ostatní práce a dodávky</t>
  </si>
  <si>
    <t>Kamerové zkoušky a pročištění stávajících rozvodů v lokalitě</t>
  </si>
  <si>
    <t>SO.09 sadové úpravy</t>
  </si>
  <si>
    <t>Jamky pro výsadbu s výměnou 50 % půdy zeminy skupiny 1 až 4 obj přes 0,005 do 0,01 m3 v rovině a svahu do 1:5</t>
  </si>
  <si>
    <t>jamky křoviny</t>
  </si>
  <si>
    <t>Jamky pro výsadbu s výměnou 50 % půdy zeminy skupiny 1 až 4 obj přes 0,125 do 0,4 m3 v rovině a svahu do 1:5</t>
  </si>
  <si>
    <t>jamky stromy</t>
  </si>
  <si>
    <t>zahradní substrát pro výsadbu VL</t>
  </si>
  <si>
    <t>substrát pro křoviny</t>
  </si>
  <si>
    <t>substrát pro stromy</t>
  </si>
  <si>
    <t>Výsadba dřeviny s balem D přes 0,1 do 0,2 m do jamky se zalitím v rovině a svahu do 1:5</t>
  </si>
  <si>
    <t>Výsadba dřeviny s balem D přes 0,8 do 1 m do jamky se zalitím v rovině a svahu do 1:5</t>
  </si>
  <si>
    <t>Carpinus betulus</t>
  </si>
  <si>
    <t>živý plot V4</t>
  </si>
  <si>
    <t>živý plot V5</t>
  </si>
  <si>
    <t>Acer campestre</t>
  </si>
  <si>
    <t>stromy náves</t>
  </si>
  <si>
    <t>026.901</t>
  </si>
  <si>
    <t>026.902</t>
  </si>
  <si>
    <t>sazenice Acer campestre s balem, obvod kmene 14/16</t>
  </si>
  <si>
    <t>sazenice Carpinus betulus s balem, výška 60cm</t>
  </si>
  <si>
    <t>Ošetřování vysazených dřevin solitérních v rovině a svahu do 1:5</t>
  </si>
  <si>
    <t>Zhotovení závlahové mísy dřevin D přes 1,0 m v rovině nebo na svahu do 1:5</t>
  </si>
  <si>
    <t>Mulčování rostlin kůrou tl do 0,1 m v rovině a svahu do 1:5</t>
  </si>
  <si>
    <t>mulč stromy</t>
  </si>
  <si>
    <t xml:space="preserve"> =7*5</t>
  </si>
  <si>
    <t>kůra mulčovací VL</t>
  </si>
  <si>
    <t>Lonicera Henryi ´Copper Beauty´</t>
  </si>
  <si>
    <t>výsadba V1</t>
  </si>
  <si>
    <t>výsadba V2</t>
  </si>
  <si>
    <t>Lonicera pileata</t>
  </si>
  <si>
    <t>výsadba V6</t>
  </si>
  <si>
    <t>Amelanchier lamarckii</t>
  </si>
  <si>
    <t>026.903</t>
  </si>
  <si>
    <t>026.904</t>
  </si>
  <si>
    <t>026.905</t>
  </si>
  <si>
    <t>sazenice Lonicera Henryi  s balem, velikost RK2</t>
  </si>
  <si>
    <t>sazenice Lonicera pileata  s balem, velikost 2,5l</t>
  </si>
  <si>
    <t>sazenice Amelanchier lamarckii  s balem, velikost 1,5m</t>
  </si>
  <si>
    <t>jamky křoviny malé</t>
  </si>
  <si>
    <t>Jamky pro výsadbu s výměnou 50 % půdy zeminy skupiny 1 až 4 obj do 0,002 m3 v rovině a svahu do 1:5</t>
  </si>
  <si>
    <t>substrát pro křoviny malé</t>
  </si>
  <si>
    <t>Výsadba dřeviny s balem D do 0,1 m do jamky se zalitím v rovině a svahu do 1:5</t>
  </si>
  <si>
    <t>Vinca minor</t>
  </si>
  <si>
    <t>výsadba V7</t>
  </si>
  <si>
    <t>výsadba V8</t>
  </si>
  <si>
    <t>sazenice Vinca minor s balem, velikost K9</t>
  </si>
  <si>
    <t>Hedera helix</t>
  </si>
  <si>
    <t>výsadba V3</t>
  </si>
  <si>
    <t>sazenice Hedera helix s balem, výška 30cm</t>
  </si>
  <si>
    <t>Anemone hupehensis ´Honorine Jobert´</t>
  </si>
  <si>
    <t>sazenice Anemone hupehensis s balem, velikost K9</t>
  </si>
  <si>
    <t>Výsadba rostlin</t>
  </si>
  <si>
    <t>mulč výsadba V1</t>
  </si>
  <si>
    <t>mulč výsadba V2</t>
  </si>
  <si>
    <t>mulč výsadba V3</t>
  </si>
  <si>
    <t>mulč výsadba V4</t>
  </si>
  <si>
    <t>mulč výsadba V5</t>
  </si>
  <si>
    <t>mulč výsadba V6</t>
  </si>
  <si>
    <t>mulč výsadba V7</t>
  </si>
  <si>
    <t>mulč výsadba V8</t>
  </si>
  <si>
    <t xml:space="preserve"> =5,5</t>
  </si>
  <si>
    <t xml:space="preserve"> =26</t>
  </si>
  <si>
    <t xml:space="preserve"> =6</t>
  </si>
  <si>
    <t xml:space="preserve"> =18</t>
  </si>
  <si>
    <t xml:space="preserve"> =16</t>
  </si>
  <si>
    <t xml:space="preserve"> =37</t>
  </si>
  <si>
    <t xml:space="preserve"> =22</t>
  </si>
  <si>
    <t xml:space="preserve"> =1,5</t>
  </si>
  <si>
    <t>Zalití rostlin vodou plocha do 20 m2</t>
  </si>
  <si>
    <t>zálivka rostlin po dobu výstavby</t>
  </si>
  <si>
    <t xml:space="preserve"> =plocha mulče x spotřeba vody/m2</t>
  </si>
  <si>
    <t xml:space="preserve">    1 - Sadové úpravy</t>
  </si>
  <si>
    <t>998.R009</t>
  </si>
  <si>
    <t>Přesun hmot pro objekt SO.09</t>
  </si>
  <si>
    <t>Specifikace</t>
  </si>
  <si>
    <t>SO.02 revitalizace veřejné komunikace, chodníku a parkoviště</t>
  </si>
  <si>
    <t xml:space="preserve">    1 - Zpevněné a nezpevněné plochy</t>
  </si>
  <si>
    <t>skladba A</t>
  </si>
  <si>
    <t>skladba B</t>
  </si>
  <si>
    <t>vějířové kladení, drobná kostka</t>
  </si>
  <si>
    <t>rovné kladení, kostka</t>
  </si>
  <si>
    <t>vějířové kladení, kostka</t>
  </si>
  <si>
    <t>sorpce</t>
  </si>
  <si>
    <t>tl. celkem 250mm</t>
  </si>
  <si>
    <t>tl. celkem 450mm</t>
  </si>
  <si>
    <t>pod skladbou B</t>
  </si>
  <si>
    <t xml:space="preserve"> = plocha x tloušťka nad 300mm</t>
  </si>
  <si>
    <t>Odkopávky a prokopávky nezapažené v hornině třídy těžitelnosti I skupiny 3 objem do 500 m3 strojně</t>
  </si>
  <si>
    <t>žulový obrubník</t>
  </si>
  <si>
    <t>obruba kostka</t>
  </si>
  <si>
    <t>žulový obrubník nájezd</t>
  </si>
  <si>
    <t>100x25x20cm</t>
  </si>
  <si>
    <t>100x25x30cm</t>
  </si>
  <si>
    <t>skladba B - dlažba</t>
  </si>
  <si>
    <t>celá plocha dvě vrstvy</t>
  </si>
  <si>
    <t xml:space="preserve"> = plocha x 2</t>
  </si>
  <si>
    <t>kostka štípaná dlažební mozaika žula 4/6 šedá</t>
  </si>
  <si>
    <t>Kladení dlažby z mozaiky jednobarevné komunikací pro pěší lože z kameniva</t>
  </si>
  <si>
    <t>Osazení obrubníku kamenného stojatého s boční opěrou do lože z betonu prostého</t>
  </si>
  <si>
    <t>58380.901</t>
  </si>
  <si>
    <t>58380.902</t>
  </si>
  <si>
    <t>obruba žulová 100x25x20cm, včetně oblouků, přechodů apod</t>
  </si>
  <si>
    <t>obruba žulová 100x25x30cm, včetně oblouků, přechodů apod</t>
  </si>
  <si>
    <t>Přesun hmot pro objekt SO.02</t>
  </si>
  <si>
    <t>ostatní práce a dodávky</t>
  </si>
  <si>
    <t>Montáž zábrany parkovací sloupku v do 800 mm přichycené šrouby</t>
  </si>
  <si>
    <t xml:space="preserve"> = zpětná montáž původního sloupku</t>
  </si>
  <si>
    <t>sloupek zahrazovací</t>
  </si>
  <si>
    <t>Montáž dopravního knoflíku lepeného</t>
  </si>
  <si>
    <t>parkovací knoflík</t>
  </si>
  <si>
    <t>562.901</t>
  </si>
  <si>
    <t>litinový parkovací terčík</t>
  </si>
  <si>
    <t>Montáž sloupku dopravních značek délky do 3,5 m s betonovým základem a patkou D 60 mm</t>
  </si>
  <si>
    <t xml:space="preserve"> =7</t>
  </si>
  <si>
    <t>dopravní značka</t>
  </si>
  <si>
    <t>sloupek pro dopravní značku Al D 60mm v 3,5m</t>
  </si>
  <si>
    <t>Montáž svislé dopravní značky do velikosti 1 m2 objímkami na sloupek nebo konzolu</t>
  </si>
  <si>
    <t>stávající SDZ</t>
  </si>
  <si>
    <t>nová SDZ</t>
  </si>
  <si>
    <t xml:space="preserve"> =1</t>
  </si>
  <si>
    <t xml:space="preserve"> =8</t>
  </si>
  <si>
    <t>značky upravující přednost P6 700mm</t>
  </si>
  <si>
    <t>zákazové, příkazové dopravní značky B1-B34, C1-15 700mm</t>
  </si>
  <si>
    <t>informativní značky provozní IP1-IP3, IP4b-IP7, IP10a, b 500x500mm</t>
  </si>
  <si>
    <t>informativní značky provozní IP8, IP9, IP11-IP13 500x700mm</t>
  </si>
  <si>
    <t>informativní značky směrové IS 22, IS24 1000x200mm</t>
  </si>
  <si>
    <t>dodatkové tabulky E2c,d , E11 500x700mm</t>
  </si>
  <si>
    <t>Vodorovné dopravní značení dělící čáry souvislé š 125 mm retroreflexní bílý plast</t>
  </si>
  <si>
    <t>Dopravní značení</t>
  </si>
  <si>
    <t>rovné parkování</t>
  </si>
  <si>
    <t>šikmé parkování</t>
  </si>
  <si>
    <t>Vodorovné dopravní značení přechody pro chodce, šipky, symboly retroreflexní bílý plast</t>
  </si>
  <si>
    <t>invalida</t>
  </si>
  <si>
    <t xml:space="preserve"> = plocha parkingu</t>
  </si>
  <si>
    <t xml:space="preserve">    2 - Dopravní značení a ostatní</t>
  </si>
  <si>
    <t>460791.901</t>
  </si>
  <si>
    <t>Dodatečné osazení chráničky na stávající kabelové rozvody</t>
  </si>
  <si>
    <t>viz situace</t>
  </si>
  <si>
    <t xml:space="preserve"> =12*4+61</t>
  </si>
  <si>
    <t>OPLOCENÍ
 - svařované pletivo 100x50x2,5mm, výška 1,0m, pozink + plast
 - sloupky 40mm, výška 1,5m, pozink + kovářský nátěr
Sloupky zabetonovány do patek (viz stavební část)
Přesná specifikace a provedení viz PD a ARCH</t>
  </si>
  <si>
    <t>T.3</t>
  </si>
  <si>
    <t>T.4</t>
  </si>
  <si>
    <t>T.5</t>
  </si>
  <si>
    <t>LAVIČKA S OPĚRADLEM
 - kostra slitina hliník, povrch RAL9007
 - sedák a opěradlo masiv Jatoba
Včetně kotvení a základových patek
Přesná specifikace a provedení viz PD a ARCH</t>
  </si>
  <si>
    <t>SEZENÍ - 2x LAVIČKA BEZ OPĚRADLA + STŮL
 - kostra slitina hliník, povrch RAL9007
 - sedák a stolní deska masiv Jatoba
Včetně kotvení a základových patek
Přesná specifikace a provedení viz PD a ARCH</t>
  </si>
  <si>
    <t>KOŠ NA ODPADKY
 - kostra ocelový plech pozink + RAL9007
 - obklad masiv latě
Včetně kotvení a základových patek
Přesná specifikace a provedení viz PD a ARCH</t>
  </si>
  <si>
    <t>T.6</t>
  </si>
  <si>
    <t>STOJAN NA KOLA
 - kostra ocelový plech pozink + RAL9007
Včetně kotvení a základových patek
Přesná specifikace a provedení viz PD a ARCH</t>
  </si>
  <si>
    <t>MŘÍŽ KE STROMU
 - kostra z pozink jeklu
 - krycí mříž výpalek z corten plechu 10mm
Včetně lože pro osazení
Přesná specifikace a provedení viz PD a ARCH</t>
  </si>
  <si>
    <t>A.1</t>
  </si>
  <si>
    <t>A.2</t>
  </si>
  <si>
    <t>A.3</t>
  </si>
  <si>
    <t>BRANKA V OPLOCENÍ U ZUŠ
 - ocelový jeklový rám + dřevěná výplň
 - provedení a barevnost dle oplocení
Včetně veškerého vybavení, kotvení a ostatních prvků a prací
Přesná specifikace a provedení viz PD a ARCH</t>
  </si>
  <si>
    <t>OPLOCENÍ DĚTSKÉ HŘIŠTĚ
 - ocelový jeklový rám + trubková výplň
Včetně veškerého vybavení, kotvení a ostatních prvků a prací
Přesná specifikace a provedení viz PD a ARCH</t>
  </si>
  <si>
    <t>MADLO NA SCHODIŠTI EXTERIER
 - svařenec z plných kruhových profilů
 - pozink + kovářský nátěr
Včetně kotvení a ostatních prvků a prací
Přesná specifikace a provedení viz PD a ARCH</t>
  </si>
  <si>
    <t>998.R099</t>
  </si>
  <si>
    <t xml:space="preserve"> =21,5*0,5</t>
  </si>
  <si>
    <t>3.9</t>
  </si>
  <si>
    <t>Geodetické zaměření před, po a v průběhu realizace</t>
  </si>
  <si>
    <t>3.10</t>
  </si>
  <si>
    <t>Vytýčení inženýrských sítí s ověřením polohy kopanými sondami</t>
  </si>
  <si>
    <t>3.11</t>
  </si>
  <si>
    <t>Hutnící zkoušky pro ověření požadované únosnosti podloží</t>
  </si>
  <si>
    <t>Úklid stavby - průběžný a finální úklid staveniště a přilehlého okolí, včetně likvidace odpadů</t>
  </si>
  <si>
    <t>Soupis neobsahuje položky, které náleží do samostatných kapitol v rámci jiných SO nebo listů (specifikace, sadové úpravy apod). Položky neobsahují následnou péči.</t>
  </si>
  <si>
    <t>Zábory, místní poplatky, dopravní a místní omezení, včetně zpracování a projednání DIO</t>
  </si>
  <si>
    <t>3.12</t>
  </si>
  <si>
    <t>Koordinace se související stavební akcí "ZUŠ"</t>
  </si>
  <si>
    <t>Koordinace se související stavební akcí "HERNÍ PRVKY"</t>
  </si>
  <si>
    <t xml:space="preserve">beton </t>
  </si>
  <si>
    <t xml:space="preserve">plocha u vyvýšeného záhonu </t>
  </si>
  <si>
    <t>plocha u ZUŠ</t>
  </si>
  <si>
    <t>zvýšený záhon</t>
  </si>
  <si>
    <t>podklad pro sadovnické úpravy</t>
  </si>
  <si>
    <t>zemina tl. 200mm</t>
  </si>
  <si>
    <t>Vykázány i základové patky pro oplocení dle specifikace T.1. Oplocení samostatně v rámci specifikací - prvek T.1.</t>
  </si>
  <si>
    <t>veškerý výkopek z vykopávek na místě</t>
  </si>
  <si>
    <t>Související práce a dodávky</t>
  </si>
  <si>
    <t>FeZn pr.10mm</t>
  </si>
  <si>
    <t>ks</t>
  </si>
  <si>
    <t>svorka zemnící pásek</t>
  </si>
  <si>
    <t>zinkový sprej + gumoasfalt pro zatření spojů</t>
  </si>
  <si>
    <t>set</t>
  </si>
  <si>
    <t>hydroizolační ošetření trubních prostupů</t>
  </si>
  <si>
    <t>hydroizolační ošetření elektro prostupů</t>
  </si>
  <si>
    <t>napojení na svislé svody dešťové kanalizace</t>
  </si>
  <si>
    <t>999.901</t>
  </si>
  <si>
    <t>999.902</t>
  </si>
  <si>
    <t>999.903</t>
  </si>
  <si>
    <t>999.904</t>
  </si>
  <si>
    <t>999.905</t>
  </si>
  <si>
    <t>999.906</t>
  </si>
  <si>
    <t>Šachta ventilová plastová, včetně propojení a armatur</t>
  </si>
  <si>
    <t>Zemní práce pro potrubí - výkop + podsyp + obsyp + zásyp + vytyčovací kabel + folie - přesné souvrství viz PD</t>
  </si>
  <si>
    <t>2.   Potrubí v zemi PP KG SN8</t>
  </si>
  <si>
    <t>potrubí KG DN200 - napojení UV, včetně tvarovek</t>
  </si>
  <si>
    <t>potrubí KG DN150 - napojení žlabu, včetně tvarovek</t>
  </si>
  <si>
    <t>Manipulace a doprava s veškerým materiálem</t>
  </si>
  <si>
    <t>Pažení výkopů hloubky nad 1,5m</t>
  </si>
  <si>
    <t>napojení na stávající kanalizaci</t>
  </si>
  <si>
    <t>Koordinace se správcem sítí</t>
  </si>
  <si>
    <t>Podklad z betonového recyklátu plochy přes 100 m2 tl 150 mm</t>
  </si>
  <si>
    <t>pod zpevněnými plochami</t>
  </si>
  <si>
    <t>ruční obkopávky kolem stromů</t>
  </si>
  <si>
    <t xml:space="preserve"> =40</t>
  </si>
  <si>
    <t>183205.901</t>
  </si>
  <si>
    <t>Dočasné ohrazení záhonů dřevěnými kolíky dl. 50cm  s hrotem a lanem</t>
  </si>
  <si>
    <t>ochrana záhonů</t>
  </si>
  <si>
    <t xml:space="preserve"> =počet kolíků celkem 52 kusů, délka lana 82m</t>
  </si>
  <si>
    <t>Veškeré materiály a výrobky je možné nahradit jinými za dodržení podmínky stejných či lepších technických vlastností. Výpis položekvždy jako materiál + montážní a instalační práce dohromady, není-li ve specifikaci přímo uvedeno jinak.</t>
  </si>
  <si>
    <t>Zřízení vpusti kanalizační uliční z betonových dílců typ UVB-50</t>
  </si>
  <si>
    <t xml:space="preserve">vpusť betonová uliční  /dno/ 62,6 x 49,5 x 5 cm </t>
  </si>
  <si>
    <t>skruž betonová pro uliční vpusťs výtokovým otvorem a ZÁPACHOVÝM UZÁVĚREM PVC  45x35x5 cm</t>
  </si>
  <si>
    <t>skruž betonová pro uliční vpusť horní  45x19,5x5 cm</t>
  </si>
  <si>
    <t>skruž betonová pro uliční vpusť středová  45x19,5x5 cm</t>
  </si>
  <si>
    <t>prstenec betonový pro uliční vpusť vyrovnávací  39x6x6 cm</t>
  </si>
  <si>
    <t>Demontáž poklopů litinových a ocelových včetně rámů, hmotnosti jednotlivě do 50 kg</t>
  </si>
  <si>
    <t>Osazení betonových dílců prstenců nebo rámů pod poklopy a mříže, výšky do 100 mm</t>
  </si>
  <si>
    <t>prstenec šachtový vyrovnávací betonový 625x90x60mm</t>
  </si>
  <si>
    <t>poklop šachtový litinový DN 600 pro třídu zatížení D400</t>
  </si>
  <si>
    <t>Osazení poklopů šachtových litinových, ocelových nebo železobetonových včetně rámů pro třídu zatížení D400, E600</t>
  </si>
  <si>
    <t>rám zabetonovaný DIN 19583-9 500/500 mm</t>
  </si>
  <si>
    <t>Osazení litinových mříží s rámem na šachtách tunelové stoky hmotnosti jednotlivě do 50 kg</t>
  </si>
  <si>
    <t>koš pozink.  nízký, pro rám 500/300</t>
  </si>
  <si>
    <t>rám pro uložení roštů a poklopů kompozitní L60x82/10mm, nerez. pracny, těsnění, C250, D400</t>
  </si>
  <si>
    <t>potrubí KG DN110 - napojení žlabu, včetně tvarovek</t>
  </si>
  <si>
    <t>Odvodňovací plastový žlab pro zatížení C250 vnitřní š 100 mm s roštem můstkovým z litiny</t>
  </si>
  <si>
    <t>žlab větev D4</t>
  </si>
  <si>
    <t xml:space="preserve"> =1,3</t>
  </si>
  <si>
    <t>Výpis materiálu obsahuje dodávku a montáž základního materiálu pro danou akci. Dodávka akce se předpokládá včetně souvisejícího doplňkového, podružného a montážního materiálu tak, aby celé dílo bylo bezvadné a funkční a splňovalo všechny předpisy, které se na ně vztahují.</t>
  </si>
  <si>
    <t>D.10.a - SPECIFIKACE TYPOVÝCH PRVKŮ - veškeré položky brány jako dodávka a montáž dohromady</t>
  </si>
  <si>
    <t>D.10.b - SPECIFIKACE ATYPICKÝCH PRVKŮ - veškeré položky brány jako dodávka a montáž dohromady</t>
  </si>
  <si>
    <t>sorpční geotextilie s životností min. 20 let</t>
  </si>
  <si>
    <t>919726.901</t>
  </si>
  <si>
    <t>Geotextilie sorpční, životnost sorpční funkce min. 20let, dle požadavku povodí Ohře</t>
  </si>
  <si>
    <t xml:space="preserve"> = plocha x tloušťka x 2 vrstvy x koeficient</t>
  </si>
  <si>
    <t>Zkouška vybouraných asfaltových vrstev na celkový obsah polycyklických aromatických uhlovodíků</t>
  </si>
  <si>
    <t>Poplatek za uložení na skládce (skládkovné) odpadu asfaltového bez dehtu kód odpadu 17 03 02</t>
  </si>
  <si>
    <t>tl. 300mm viz skladba G</t>
  </si>
  <si>
    <t>příležitostný vjezd - zatravňovací dlažba</t>
  </si>
  <si>
    <t>doplnění zeminy mezi sousedním dvorem a hřištěm se svahováním</t>
  </si>
  <si>
    <t>Uložení sypaniny z hornin soudržných do násypů zhutněných strojně</t>
  </si>
  <si>
    <t>Hutnění boků násypů pro jakýkoliv sklon a míru zhutnění svahu</t>
  </si>
  <si>
    <t>přehutnění svahu</t>
  </si>
  <si>
    <t xml:space="preserve"> =plocha</t>
  </si>
  <si>
    <t>skladba G - zatravňovací dlažba</t>
  </si>
  <si>
    <t>Kladení dlažby z plastových vegetačních dlaždic pozemních komunikací se zámkem tl 60 mm pl do 50 m2</t>
  </si>
  <si>
    <t>Podklad nebo podsyp ze štěrkopísku ŠP plochy do 100 m2 tl 50 mm</t>
  </si>
  <si>
    <t>593532.901</t>
  </si>
  <si>
    <t>Výplň vegetačních tvárnic ze zeminy s udusáním</t>
  </si>
  <si>
    <t>dlažba zatravňovací recyklovaný PE 50mm</t>
  </si>
  <si>
    <t>materiál vegetační plastová tvárnice</t>
  </si>
  <si>
    <t>vsakovací těleso</t>
  </si>
  <si>
    <t xml:space="preserve"> =5*3,5*0,5</t>
  </si>
  <si>
    <t>Akumulační boxy z PP pro vsakování dešťových vod pod pochozí plochy a plochy zatížené osobními automobily objemu do 10 m3</t>
  </si>
  <si>
    <t>boxy se štěrkem</t>
  </si>
  <si>
    <t xml:space="preserve"> =(0,15*0,15*3,14)*0,7*(40)</t>
  </si>
  <si>
    <t>A.4</t>
  </si>
  <si>
    <t>A.5</t>
  </si>
  <si>
    <t>BRANKA V OPLOCENÍ
 - ocelový jeklový rám + jeklová výplň
Včetně veškerého vybavení, kotvení a ostatních prvků a prací
Přesná specifikace a provedení viz PD a ARCH</t>
  </si>
  <si>
    <t>VJEZDOVÉ POLE V OPLOCENÍ
 - ocelový jeklový rám + jeklová výplň
Včetně veškerého vybavení, kotvení a ostatních prvků a prací
Přesná specifikace a provedení viz PD a ARCH</t>
  </si>
  <si>
    <t xml:space="preserve"> = 1/3 plochy hřiště x 0,4m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</si>
</sst>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#,##0.00%"/>
    <numFmt numFmtId="166" formatCode="dd\.mm\.yyyy"/>
    <numFmt numFmtId="167" formatCode="#,##0.000"/>
    <numFmt numFmtId="168" formatCode="_-* #,##0_-;\-* #,##0_-;_-* &quot;-&quot;??_-;_-@_-"/>
    <numFmt numFmtId="169" formatCode="_-* #,##0.0000\ _K_č_-;\-* #,##0.0000\ _K_č_-;_-* &quot;-&quot;????\ _K_č_-;_-@_-"/>
    <numFmt numFmtId="172" formatCode="_-* #,##0.00\ &quot;Kč&quot;_-;\-* #,##0.00\ &quot;Kč&quot;_-;_-* &quot;-&quot;??\ &quot;Kč&quot;_-;_-@_-"/>
    <numFmt numFmtId="173" formatCode="_-* #,##0.00_-;\-* #,##0.00_-;_-* &quot;-&quot;??_-;_-@_-"/>
  </numFmts>
  <fonts count="81">
    <font>
      <sz val="8"/>
      <name val="Trebuchet MS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Trebuchet MS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Univers (WN)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6"/>
      <name val="Arial CE"/>
      <family val="2"/>
      <charset val="238"/>
    </font>
    <font>
      <sz val="9"/>
      <color rgb="FF000000"/>
      <name val="Arial CE"/>
      <family val="2"/>
      <charset val="238"/>
    </font>
    <font>
      <sz val="9"/>
      <color rgb="FF969696"/>
      <name val="Arial CE"/>
      <family val="2"/>
      <charset val="238"/>
    </font>
    <font>
      <sz val="8"/>
      <color theme="0" tint="-0.34998626667073579"/>
      <name val="Arial CE"/>
      <family val="2"/>
      <charset val="238"/>
    </font>
    <font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0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b/>
      <sz val="10"/>
      <color rgb="FF003366"/>
      <name val="Arial CE"/>
      <family val="2"/>
      <charset val="238"/>
    </font>
    <font>
      <i/>
      <sz val="8"/>
      <color rgb="FF0000FF"/>
      <name val="Arial CE"/>
      <family val="2"/>
      <charset val="238"/>
    </font>
    <font>
      <sz val="10"/>
      <color theme="10"/>
      <name val="Arial CE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b/>
      <sz val="11"/>
      <color theme="1"/>
      <name val="Arial CE"/>
      <family val="2"/>
      <charset val="238"/>
    </font>
    <font>
      <b/>
      <u/>
      <sz val="11"/>
      <name val="Arial CE"/>
      <family val="2"/>
      <charset val="238"/>
    </font>
    <font>
      <i/>
      <sz val="8"/>
      <color indexed="10"/>
      <name val="Arial CE"/>
      <family val="2"/>
      <charset val="238"/>
    </font>
    <font>
      <b/>
      <sz val="10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9"/>
      <color indexed="10"/>
      <name val="Arial CE"/>
      <family val="2"/>
      <charset val="238"/>
    </font>
    <font>
      <b/>
      <sz val="9"/>
      <color indexed="10"/>
      <name val="Times New Roman"/>
      <family val="1"/>
      <charset val="238"/>
    </font>
    <font>
      <b/>
      <sz val="8"/>
      <color indexed="10"/>
      <name val="Arial CE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name val="Arial CE"/>
      <family val="2"/>
      <charset val="238"/>
    </font>
    <font>
      <b/>
      <sz val="9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sz val="8"/>
      <name val="Arial"/>
      <family val="2"/>
      <charset val="238"/>
    </font>
    <font>
      <sz val="8"/>
      <color theme="0" tint="-0.499984740745262"/>
      <name val="Arial CE"/>
      <family val="2"/>
      <charset val="238"/>
    </font>
    <font>
      <sz val="12"/>
      <color theme="0" tint="-0.499984740745262"/>
      <name val="Arial CE"/>
      <family val="2"/>
      <charset val="238"/>
    </font>
    <font>
      <sz val="10"/>
      <color theme="0" tint="-0.499984740745262"/>
      <name val="Arial CE"/>
      <family val="2"/>
      <charset val="238"/>
    </font>
    <font>
      <sz val="9"/>
      <color theme="0" tint="-0.499984740745262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theme="0" tint="-0.499984740745262"/>
      <name val="Arial CE"/>
      <family val="2"/>
      <charset val="238"/>
    </font>
    <font>
      <sz val="9"/>
      <color theme="0" tint="-0.34998626667073579"/>
      <name val="Arial CE"/>
      <family val="2"/>
      <charset val="238"/>
    </font>
    <font>
      <sz val="8"/>
      <color rgb="FF0070C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theme="0" tint="-0.499984740745262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2"/>
      <color theme="0" tint="-0.499984740745262"/>
      <name val="Arial CE"/>
      <family val="2"/>
      <charset val="238"/>
    </font>
    <font>
      <b/>
      <sz val="8"/>
      <color rgb="FF0070C0"/>
      <name val="Arial CE"/>
      <family val="2"/>
      <charset val="238"/>
    </font>
    <font>
      <b/>
      <sz val="10"/>
      <color theme="0" tint="-0.499984740745262"/>
      <name val="Arial CE"/>
      <family val="2"/>
      <charset val="238"/>
    </font>
    <font>
      <b/>
      <sz val="8"/>
      <color rgb="FF003366"/>
      <name val="Arial CE"/>
      <family val="2"/>
      <charset val="238"/>
    </font>
    <font>
      <i/>
      <sz val="8"/>
      <color rgb="FF0070C0"/>
      <name val="Arial CE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1"/>
        <bgColor indexed="5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969696"/>
      </top>
      <bottom/>
      <diagonal/>
    </border>
    <border>
      <left/>
      <right/>
      <top/>
      <bottom style="hair">
        <color rgb="FF969696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840">
    <xf numFmtId="0" fontId="0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2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6" fillId="0" borderId="0"/>
    <xf numFmtId="0" fontId="17" fillId="5" borderId="0" applyNumberFormat="0" applyBorder="0" applyAlignment="0" applyProtection="0"/>
    <xf numFmtId="0" fontId="18" fillId="0" borderId="0">
      <alignment vertical="top"/>
    </xf>
    <xf numFmtId="164" fontId="13" fillId="0" borderId="0" applyFill="0" applyBorder="0" applyAlignment="0" applyProtection="0"/>
    <xf numFmtId="0" fontId="13" fillId="0" borderId="0"/>
    <xf numFmtId="0" fontId="19" fillId="0" borderId="0"/>
    <xf numFmtId="0" fontId="20" fillId="0" borderId="0" applyNumberFormat="0" applyFill="0" applyBorder="0" applyAlignment="0" applyProtection="0"/>
    <xf numFmtId="0" fontId="14" fillId="0" borderId="0"/>
    <xf numFmtId="0" fontId="16" fillId="0" borderId="0"/>
    <xf numFmtId="44" fontId="16" fillId="0" borderId="0" applyFont="0" applyFill="0" applyBorder="0" applyAlignment="0" applyProtection="0"/>
    <xf numFmtId="0" fontId="14" fillId="0" borderId="0"/>
    <xf numFmtId="0" fontId="18" fillId="0" borderId="0">
      <alignment vertical="top"/>
    </xf>
    <xf numFmtId="164" fontId="12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6" fillId="0" borderId="0"/>
    <xf numFmtId="44" fontId="13" fillId="0" borderId="0" applyFont="0" applyFill="0" applyBorder="0" applyAlignment="0" applyProtection="0"/>
    <xf numFmtId="0" fontId="15" fillId="0" borderId="0"/>
    <xf numFmtId="16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13" fillId="0" borderId="0" applyFill="0" applyBorder="0" applyAlignment="0" applyProtection="0"/>
    <xf numFmtId="44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3" fillId="0" borderId="0"/>
    <xf numFmtId="164" fontId="13" fillId="0" borderId="0" applyFill="0" applyBorder="0" applyAlignment="0" applyProtection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0" fontId="25" fillId="0" borderId="0"/>
    <xf numFmtId="44" fontId="14" fillId="0" borderId="0" applyFont="0" applyFill="0" applyBorder="0" applyAlignment="0" applyProtection="0"/>
    <xf numFmtId="0" fontId="14" fillId="0" borderId="0"/>
    <xf numFmtId="0" fontId="18" fillId="0" borderId="0">
      <alignment vertical="top"/>
    </xf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  <xf numFmtId="43" fontId="12" fillId="0" borderId="0" applyFont="0" applyFill="0" applyBorder="0" applyAlignment="0" applyProtection="0"/>
    <xf numFmtId="0" fontId="44" fillId="0" borderId="0"/>
    <xf numFmtId="44" fontId="14" fillId="0" borderId="0" applyFont="0" applyFill="0" applyBorder="0" applyAlignment="0" applyProtection="0"/>
    <xf numFmtId="0" fontId="14" fillId="0" borderId="0" applyProtection="0"/>
    <xf numFmtId="164" fontId="10" fillId="0" borderId="0" applyFont="0" applyFill="0" applyBorder="0" applyAlignment="0" applyProtection="0"/>
    <xf numFmtId="0" fontId="13" fillId="0" borderId="0" applyProtection="0"/>
    <xf numFmtId="0" fontId="13" fillId="0" borderId="0"/>
    <xf numFmtId="0" fontId="14" fillId="0" borderId="0"/>
    <xf numFmtId="0" fontId="45" fillId="0" borderId="0" applyProtection="0"/>
    <xf numFmtId="164" fontId="9" fillId="0" borderId="0" applyFont="0" applyFill="0" applyBorder="0" applyAlignment="0" applyProtection="0"/>
    <xf numFmtId="0" fontId="45" fillId="0" borderId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 applyProtection="0"/>
    <xf numFmtId="164" fontId="4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21">
    <xf numFmtId="0" fontId="0" fillId="0" borderId="0" xfId="0"/>
    <xf numFmtId="44" fontId="21" fillId="0" borderId="0" xfId="69" applyFont="1" applyAlignment="1" applyProtection="1">
      <alignment horizontal="right" vertical="center"/>
    </xf>
    <xf numFmtId="44" fontId="21" fillId="0" borderId="34" xfId="69" applyFont="1" applyBorder="1" applyAlignment="1" applyProtection="1">
      <alignment horizontal="right" vertical="center"/>
    </xf>
    <xf numFmtId="43" fontId="21" fillId="0" borderId="0" xfId="58" applyFont="1" applyAlignment="1" applyProtection="1">
      <alignment horizontal="center" vertical="center"/>
    </xf>
    <xf numFmtId="44" fontId="61" fillId="9" borderId="24" xfId="69" applyFont="1" applyFill="1" applyBorder="1" applyAlignment="1" applyProtection="1">
      <alignment horizontal="right" vertical="center"/>
    </xf>
    <xf numFmtId="44" fontId="60" fillId="9" borderId="24" xfId="69" applyFont="1" applyFill="1" applyBorder="1" applyAlignment="1" applyProtection="1">
      <alignment horizontal="right" vertical="center"/>
    </xf>
    <xf numFmtId="43" fontId="56" fillId="0" borderId="0" xfId="58" applyFont="1" applyAlignment="1" applyProtection="1">
      <alignment horizontal="center" vertical="center"/>
    </xf>
    <xf numFmtId="44" fontId="56" fillId="0" borderId="0" xfId="69" applyFont="1" applyAlignment="1" applyProtection="1">
      <alignment horizontal="center" vertical="center"/>
    </xf>
    <xf numFmtId="44" fontId="63" fillId="0" borderId="0" xfId="69" applyFont="1" applyAlignment="1" applyProtection="1">
      <alignment horizontal="center" vertical="center"/>
    </xf>
    <xf numFmtId="43" fontId="21" fillId="0" borderId="17" xfId="58" applyFont="1" applyBorder="1" applyAlignment="1" applyProtection="1">
      <alignment horizontal="center" vertical="center"/>
    </xf>
    <xf numFmtId="44" fontId="21" fillId="0" borderId="17" xfId="69" applyFont="1" applyBorder="1" applyAlignment="1" applyProtection="1">
      <alignment horizontal="right" vertical="center"/>
    </xf>
    <xf numFmtId="43" fontId="23" fillId="8" borderId="30" xfId="58" applyFont="1" applyFill="1" applyBorder="1" applyAlignment="1" applyProtection="1">
      <alignment horizontal="center" vertical="center" wrapText="1"/>
    </xf>
    <xf numFmtId="44" fontId="23" fillId="8" borderId="30" xfId="69" applyFont="1" applyFill="1" applyBorder="1" applyAlignment="1" applyProtection="1">
      <alignment horizontal="center" vertical="center" wrapText="1"/>
    </xf>
    <xf numFmtId="44" fontId="23" fillId="8" borderId="31" xfId="69" applyFont="1" applyFill="1" applyBorder="1" applyAlignment="1" applyProtection="1">
      <alignment horizontal="center" vertical="center" wrapText="1"/>
    </xf>
    <xf numFmtId="43" fontId="21" fillId="0" borderId="34" xfId="58" applyFont="1" applyBorder="1" applyAlignment="1" applyProtection="1">
      <alignment horizontal="center" vertical="center"/>
    </xf>
    <xf numFmtId="44" fontId="21" fillId="0" borderId="35" xfId="69" applyFont="1" applyBorder="1" applyAlignment="1" applyProtection="1">
      <alignment horizontal="right" vertical="center"/>
    </xf>
    <xf numFmtId="43" fontId="52" fillId="0" borderId="37" xfId="58" applyFont="1" applyBorder="1" applyAlignment="1" applyProtection="1">
      <alignment horizontal="center" vertical="center"/>
    </xf>
    <xf numFmtId="44" fontId="54" fillId="0" borderId="24" xfId="69" applyFont="1" applyBorder="1" applyAlignment="1" applyProtection="1">
      <alignment horizontal="right" vertical="center"/>
    </xf>
    <xf numFmtId="43" fontId="57" fillId="0" borderId="34" xfId="58" applyFont="1" applyBorder="1" applyAlignment="1" applyProtection="1">
      <alignment horizontal="center" vertical="center"/>
    </xf>
    <xf numFmtId="43" fontId="57" fillId="0" borderId="37" xfId="58" applyFont="1" applyBorder="1" applyAlignment="1" applyProtection="1">
      <alignment horizontal="right" vertical="center"/>
    </xf>
    <xf numFmtId="43" fontId="57" fillId="0" borderId="34" xfId="58" applyFont="1" applyBorder="1" applyAlignment="1" applyProtection="1">
      <alignment horizontal="right" vertical="center"/>
    </xf>
    <xf numFmtId="43" fontId="46" fillId="9" borderId="24" xfId="58" applyFont="1" applyFill="1" applyBorder="1" applyAlignment="1" applyProtection="1">
      <alignment horizontal="right" vertical="center"/>
    </xf>
    <xf numFmtId="43" fontId="65" fillId="0" borderId="0" xfId="58" applyFont="1" applyAlignment="1" applyProtection="1">
      <alignment vertical="center"/>
    </xf>
    <xf numFmtId="43" fontId="67" fillId="0" borderId="0" xfId="58" applyFont="1" applyAlignment="1" applyProtection="1">
      <alignment vertical="center"/>
    </xf>
    <xf numFmtId="43" fontId="65" fillId="0" borderId="0" xfId="58" applyFont="1" applyAlignment="1" applyProtection="1">
      <alignment horizontal="center" vertical="center" wrapText="1"/>
    </xf>
    <xf numFmtId="43" fontId="65" fillId="0" borderId="0" xfId="58" applyFont="1" applyFill="1" applyAlignment="1" applyProtection="1">
      <alignment vertical="center"/>
    </xf>
    <xf numFmtId="0" fontId="23" fillId="0" borderId="0" xfId="58" applyNumberFormat="1" applyFont="1" applyBorder="1" applyAlignment="1" applyProtection="1">
      <alignment vertical="center"/>
    </xf>
    <xf numFmtId="0" fontId="23" fillId="0" borderId="9" xfId="58" applyNumberFormat="1" applyFont="1" applyBorder="1" applyAlignment="1" applyProtection="1">
      <alignment vertical="center"/>
    </xf>
    <xf numFmtId="0" fontId="23" fillId="3" borderId="7" xfId="58" applyNumberFormat="1" applyFont="1" applyFill="1" applyBorder="1" applyAlignment="1" applyProtection="1">
      <alignment vertical="center"/>
    </xf>
    <xf numFmtId="0" fontId="23" fillId="0" borderId="11" xfId="58" applyNumberFormat="1" applyFont="1" applyBorder="1" applyAlignment="1" applyProtection="1">
      <alignment vertical="center"/>
    </xf>
    <xf numFmtId="0" fontId="23" fillId="3" borderId="0" xfId="58" applyNumberFormat="1" applyFont="1" applyFill="1" applyBorder="1" applyAlignment="1" applyProtection="1">
      <alignment vertical="center"/>
    </xf>
    <xf numFmtId="43" fontId="66" fillId="0" borderId="0" xfId="58" applyFont="1" applyAlignment="1" applyProtection="1">
      <alignment vertical="center"/>
    </xf>
    <xf numFmtId="0" fontId="38" fillId="0" borderId="0" xfId="58" applyNumberFormat="1" applyFont="1" applyBorder="1" applyAlignment="1" applyProtection="1">
      <alignment vertical="center"/>
    </xf>
    <xf numFmtId="0" fontId="39" fillId="0" borderId="0" xfId="58" applyNumberFormat="1" applyFont="1" applyBorder="1" applyAlignment="1" applyProtection="1">
      <alignment vertical="center"/>
    </xf>
    <xf numFmtId="0" fontId="21" fillId="3" borderId="13" xfId="58" applyNumberFormat="1" applyFont="1" applyFill="1" applyBorder="1" applyAlignment="1" applyProtection="1">
      <alignment horizontal="center" vertical="center" wrapText="1"/>
    </xf>
    <xf numFmtId="0" fontId="38" fillId="0" borderId="0" xfId="58" applyNumberFormat="1" applyFont="1" applyFill="1" applyBorder="1" applyAlignment="1" applyProtection="1">
      <alignment horizontal="left" vertical="center"/>
    </xf>
    <xf numFmtId="0" fontId="41" fillId="4" borderId="10" xfId="58" applyNumberFormat="1" applyFont="1" applyFill="1" applyBorder="1" applyAlignment="1" applyProtection="1">
      <alignment horizontal="left" vertical="center"/>
    </xf>
    <xf numFmtId="43" fontId="65" fillId="7" borderId="0" xfId="58" applyFont="1" applyFill="1" applyAlignment="1" applyProtection="1">
      <alignment vertical="center"/>
    </xf>
    <xf numFmtId="0" fontId="23" fillId="0" borderId="15" xfId="58" applyNumberFormat="1" applyFont="1" applyFill="1" applyBorder="1" applyAlignment="1" applyProtection="1">
      <alignment horizontal="center" vertical="center" wrapText="1"/>
    </xf>
    <xf numFmtId="0" fontId="42" fillId="0" borderId="15" xfId="58" applyNumberFormat="1" applyFont="1" applyFill="1" applyBorder="1" applyAlignment="1" applyProtection="1">
      <alignment horizontal="center" vertical="center" wrapText="1"/>
    </xf>
    <xf numFmtId="43" fontId="23" fillId="4" borderId="15" xfId="58" applyFont="1" applyFill="1" applyBorder="1" applyAlignment="1" applyProtection="1">
      <alignment vertical="center"/>
    </xf>
    <xf numFmtId="0" fontId="23" fillId="0" borderId="0" xfId="58" applyNumberFormat="1" applyFont="1" applyAlignment="1" applyProtection="1">
      <alignment vertical="center"/>
    </xf>
    <xf numFmtId="168" fontId="37" fillId="0" borderId="0" xfId="58" applyNumberFormat="1" applyFont="1" applyBorder="1" applyAlignment="1" applyProtection="1">
      <alignment horizontal="left" vertical="center"/>
    </xf>
    <xf numFmtId="168" fontId="38" fillId="0" borderId="0" xfId="58" applyNumberFormat="1" applyFont="1" applyBorder="1" applyAlignment="1" applyProtection="1">
      <alignment horizontal="left" vertical="center"/>
    </xf>
    <xf numFmtId="168" fontId="39" fillId="0" borderId="0" xfId="58" applyNumberFormat="1" applyFont="1" applyBorder="1" applyAlignment="1" applyProtection="1">
      <alignment horizontal="left" vertical="center"/>
    </xf>
    <xf numFmtId="168" fontId="36" fillId="3" borderId="0" xfId="58" applyNumberFormat="1" applyFont="1" applyFill="1" applyBorder="1" applyAlignment="1" applyProtection="1">
      <alignment horizontal="left" vertical="center"/>
    </xf>
    <xf numFmtId="43" fontId="57" fillId="0" borderId="45" xfId="58" applyFont="1" applyFill="1" applyBorder="1" applyAlignment="1" applyProtection="1">
      <alignment horizontal="center" vertical="center"/>
    </xf>
    <xf numFmtId="44" fontId="57" fillId="0" borderId="47" xfId="69" applyFont="1" applyBorder="1" applyAlignment="1" applyProtection="1">
      <alignment horizontal="left" vertical="center"/>
    </xf>
    <xf numFmtId="43" fontId="70" fillId="0" borderId="0" xfId="58" applyFont="1" applyFill="1" applyAlignment="1" applyProtection="1">
      <alignment vertical="center"/>
    </xf>
    <xf numFmtId="0" fontId="69" fillId="11" borderId="15" xfId="58" applyNumberFormat="1" applyFont="1" applyFill="1" applyBorder="1" applyAlignment="1" applyProtection="1">
      <alignment horizontal="center" vertical="center" wrapText="1"/>
    </xf>
    <xf numFmtId="0" fontId="72" fillId="0" borderId="13" xfId="58" applyNumberFormat="1" applyFont="1" applyFill="1" applyBorder="1" applyAlignment="1" applyProtection="1">
      <alignment vertical="center"/>
    </xf>
    <xf numFmtId="43" fontId="72" fillId="0" borderId="0" xfId="58" applyFont="1" applyFill="1" applyAlignment="1" applyProtection="1">
      <alignment vertical="center"/>
    </xf>
    <xf numFmtId="43" fontId="75" fillId="0" borderId="0" xfId="58" applyFont="1" applyFill="1" applyAlignment="1" applyProtection="1">
      <alignment vertical="center"/>
    </xf>
    <xf numFmtId="9" fontId="72" fillId="0" borderId="13" xfId="58" applyNumberFormat="1" applyFont="1" applyFill="1" applyBorder="1" applyAlignment="1" applyProtection="1">
      <alignment vertical="center"/>
    </xf>
    <xf numFmtId="168" fontId="72" fillId="0" borderId="13" xfId="58" applyNumberFormat="1" applyFont="1" applyFill="1" applyBorder="1" applyAlignment="1" applyProtection="1">
      <alignment vertical="center"/>
    </xf>
    <xf numFmtId="0" fontId="77" fillId="0" borderId="13" xfId="58" applyNumberFormat="1" applyFont="1" applyFill="1" applyBorder="1" applyAlignment="1" applyProtection="1">
      <alignment vertical="center"/>
    </xf>
    <xf numFmtId="43" fontId="77" fillId="0" borderId="0" xfId="58" applyFont="1" applyFill="1" applyAlignment="1" applyProtection="1">
      <alignment vertical="center"/>
    </xf>
    <xf numFmtId="0" fontId="73" fillId="11" borderId="15" xfId="58" applyNumberFormat="1" applyFont="1" applyFill="1" applyBorder="1" applyAlignment="1" applyProtection="1">
      <alignment horizontal="center" vertical="center" wrapText="1"/>
    </xf>
    <xf numFmtId="0" fontId="41" fillId="0" borderId="0" xfId="58" applyNumberFormat="1" applyFont="1" applyBorder="1" applyAlignment="1" applyProtection="1">
      <alignment vertical="center"/>
    </xf>
    <xf numFmtId="168" fontId="41" fillId="0" borderId="0" xfId="58" applyNumberFormat="1" applyFont="1" applyBorder="1" applyAlignment="1" applyProtection="1">
      <alignment horizontal="left" vertical="center"/>
    </xf>
    <xf numFmtId="43" fontId="78" fillId="0" borderId="0" xfId="58" applyFont="1" applyAlignment="1" applyProtection="1">
      <alignment vertical="center"/>
    </xf>
    <xf numFmtId="0" fontId="23" fillId="0" borderId="49" xfId="58" applyNumberFormat="1" applyFont="1" applyBorder="1" applyAlignment="1" applyProtection="1">
      <alignment vertical="center"/>
    </xf>
    <xf numFmtId="0" fontId="23" fillId="0" borderId="26" xfId="58" applyNumberFormat="1" applyFont="1" applyBorder="1" applyAlignment="1" applyProtection="1">
      <alignment vertical="center"/>
    </xf>
    <xf numFmtId="0" fontId="34" fillId="0" borderId="54" xfId="58" applyNumberFormat="1" applyFont="1" applyBorder="1" applyAlignment="1" applyProtection="1">
      <alignment horizontal="left" vertical="center"/>
    </xf>
    <xf numFmtId="0" fontId="23" fillId="0" borderId="33" xfId="58" applyNumberFormat="1" applyFont="1" applyBorder="1" applyAlignment="1" applyProtection="1">
      <alignment vertical="center"/>
    </xf>
    <xf numFmtId="0" fontId="35" fillId="0" borderId="56" xfId="58" applyNumberFormat="1" applyFont="1" applyBorder="1" applyAlignment="1" applyProtection="1">
      <alignment horizontal="left" vertical="center"/>
    </xf>
    <xf numFmtId="43" fontId="65" fillId="0" borderId="0" xfId="58" applyFont="1" applyAlignment="1" applyProtection="1">
      <alignment vertical="center" wrapText="1"/>
    </xf>
    <xf numFmtId="43" fontId="74" fillId="0" borderId="0" xfId="58" applyFont="1" applyAlignment="1" applyProtection="1">
      <alignment vertical="center" wrapText="1"/>
    </xf>
    <xf numFmtId="43" fontId="74" fillId="0" borderId="0" xfId="58" applyFont="1" applyAlignment="1" applyProtection="1">
      <alignment vertical="center"/>
    </xf>
    <xf numFmtId="43" fontId="70" fillId="0" borderId="0" xfId="58" applyFont="1" applyAlignment="1" applyProtection="1">
      <alignment vertical="center" wrapText="1"/>
    </xf>
    <xf numFmtId="43" fontId="70" fillId="0" borderId="0" xfId="58" applyFont="1" applyAlignment="1" applyProtection="1">
      <alignment vertical="center"/>
    </xf>
    <xf numFmtId="43" fontId="65" fillId="0" borderId="0" xfId="58" applyFont="1" applyAlignment="1" applyProtection="1">
      <alignment horizontal="center" vertical="center"/>
    </xf>
    <xf numFmtId="43" fontId="65" fillId="7" borderId="0" xfId="58" applyFont="1" applyFill="1" applyAlignment="1" applyProtection="1">
      <alignment vertical="center" wrapText="1"/>
    </xf>
    <xf numFmtId="0" fontId="72" fillId="6" borderId="13" xfId="58" applyNumberFormat="1" applyFont="1" applyFill="1" applyBorder="1" applyAlignment="1" applyProtection="1">
      <alignment vertical="center"/>
    </xf>
    <xf numFmtId="43" fontId="32" fillId="0" borderId="0" xfId="58" applyFont="1" applyAlignment="1" applyProtection="1">
      <alignment vertical="center"/>
    </xf>
    <xf numFmtId="44" fontId="57" fillId="10" borderId="45" xfId="69" applyFont="1" applyFill="1" applyBorder="1" applyAlignment="1" applyProtection="1">
      <alignment horizontal="left" vertical="center"/>
      <protection locked="0"/>
    </xf>
    <xf numFmtId="44" fontId="21" fillId="0" borderId="34" xfId="69" applyFont="1" applyBorder="1" applyAlignment="1" applyProtection="1">
      <alignment horizontal="right" vertical="center"/>
      <protection locked="0"/>
    </xf>
    <xf numFmtId="44" fontId="53" fillId="0" borderId="37" xfId="69" applyFont="1" applyBorder="1" applyAlignment="1" applyProtection="1">
      <alignment horizontal="right" vertical="center"/>
      <protection locked="0"/>
    </xf>
    <xf numFmtId="44" fontId="21" fillId="0" borderId="37" xfId="69" applyFont="1" applyBorder="1" applyAlignment="1" applyProtection="1">
      <alignment horizontal="right" vertical="center"/>
      <protection locked="0"/>
    </xf>
    <xf numFmtId="44" fontId="57" fillId="10" borderId="47" xfId="69" applyFont="1" applyFill="1" applyBorder="1" applyAlignment="1" applyProtection="1">
      <alignment horizontal="right" vertical="center"/>
      <protection locked="0"/>
    </xf>
    <xf numFmtId="43" fontId="57" fillId="0" borderId="34" xfId="58" applyFont="1" applyFill="1" applyBorder="1" applyAlignment="1" applyProtection="1">
      <alignment horizontal="center" vertical="center"/>
    </xf>
    <xf numFmtId="43" fontId="52" fillId="0" borderId="37" xfId="58" applyFont="1" applyFill="1" applyBorder="1" applyAlignment="1" applyProtection="1">
      <alignment horizontal="center" vertical="center"/>
    </xf>
    <xf numFmtId="43" fontId="39" fillId="0" borderId="17" xfId="58" applyFont="1" applyBorder="1" applyAlignment="1" applyProtection="1">
      <alignment horizontal="left" vertical="center" wrapText="1"/>
    </xf>
    <xf numFmtId="43" fontId="39" fillId="6" borderId="17" xfId="58" applyFont="1" applyFill="1" applyBorder="1" applyAlignment="1" applyProtection="1">
      <alignment horizontal="center" vertical="center" wrapText="1"/>
      <protection locked="0"/>
    </xf>
    <xf numFmtId="43" fontId="39" fillId="0" borderId="17" xfId="58" applyFont="1" applyBorder="1" applyAlignment="1" applyProtection="1">
      <alignment horizontal="right" vertical="center"/>
    </xf>
    <xf numFmtId="43" fontId="39" fillId="0" borderId="17" xfId="58" applyFont="1" applyFill="1" applyBorder="1" applyAlignment="1" applyProtection="1">
      <alignment horizontal="left" vertical="center" wrapText="1"/>
    </xf>
    <xf numFmtId="43" fontId="33" fillId="0" borderId="0" xfId="58" applyFont="1" applyAlignment="1" applyProtection="1">
      <alignment vertical="center"/>
    </xf>
    <xf numFmtId="43" fontId="32" fillId="0" borderId="0" xfId="58" applyFont="1" applyAlignment="1" applyProtection="1">
      <alignment vertical="center"/>
    </xf>
    <xf numFmtId="0" fontId="23" fillId="6" borderId="0" xfId="0" applyFont="1" applyFill="1" applyAlignment="1" applyProtection="1">
      <alignment horizontal="left" vertical="center"/>
      <protection locked="0"/>
    </xf>
    <xf numFmtId="10" fontId="39" fillId="6" borderId="17" xfId="2" applyNumberFormat="1" applyFont="1" applyFill="1" applyBorder="1" applyAlignment="1" applyProtection="1">
      <alignment horizontal="right" vertical="center" wrapText="1"/>
      <protection locked="0"/>
    </xf>
    <xf numFmtId="43" fontId="39" fillId="0" borderId="17" xfId="58" applyFont="1" applyBorder="1" applyAlignment="1" applyProtection="1">
      <alignment horizontal="center" vertical="center" wrapText="1"/>
    </xf>
    <xf numFmtId="4" fontId="23" fillId="6" borderId="15" xfId="0" applyNumberFormat="1" applyFont="1" applyFill="1" applyBorder="1" applyAlignment="1" applyProtection="1">
      <alignment vertical="center"/>
      <protection locked="0"/>
    </xf>
    <xf numFmtId="4" fontId="69" fillId="11" borderId="15" xfId="0" applyNumberFormat="1" applyFont="1" applyFill="1" applyBorder="1" applyAlignment="1" applyProtection="1">
      <alignment vertical="center"/>
      <protection locked="0"/>
    </xf>
    <xf numFmtId="43" fontId="32" fillId="0" borderId="0" xfId="58" applyFont="1" applyBorder="1" applyAlignment="1" applyProtection="1">
      <alignment vertical="center"/>
    </xf>
    <xf numFmtId="43" fontId="23" fillId="0" borderId="0" xfId="58" applyFont="1" applyBorder="1" applyAlignment="1" applyProtection="1">
      <alignment vertical="center"/>
    </xf>
    <xf numFmtId="10" fontId="23" fillId="6" borderId="15" xfId="2" applyNumberFormat="1" applyFont="1" applyFill="1" applyBorder="1" applyAlignment="1" applyProtection="1">
      <alignment vertical="center"/>
      <protection locked="0"/>
    </xf>
    <xf numFmtId="4" fontId="42" fillId="6" borderId="15" xfId="0" applyNumberFormat="1" applyFont="1" applyFill="1" applyBorder="1" applyAlignment="1" applyProtection="1">
      <alignment vertical="center"/>
      <protection locked="0"/>
    </xf>
    <xf numFmtId="4" fontId="23" fillId="6" borderId="12" xfId="0" applyNumberFormat="1" applyFont="1" applyFill="1" applyBorder="1" applyAlignment="1" applyProtection="1">
      <alignment vertical="center"/>
      <protection locked="0"/>
    </xf>
    <xf numFmtId="4" fontId="23" fillId="6" borderId="14" xfId="0" applyNumberFormat="1" applyFont="1" applyFill="1" applyBorder="1" applyAlignment="1" applyProtection="1">
      <alignment vertical="center"/>
      <protection locked="0"/>
    </xf>
    <xf numFmtId="4" fontId="42" fillId="6" borderId="12" xfId="0" applyNumberFormat="1" applyFont="1" applyFill="1" applyBorder="1" applyAlignment="1" applyProtection="1">
      <alignment vertical="center"/>
      <protection locked="0"/>
    </xf>
    <xf numFmtId="4" fontId="42" fillId="6" borderId="14" xfId="0" applyNumberFormat="1" applyFont="1" applyFill="1" applyBorder="1" applyAlignment="1" applyProtection="1">
      <alignment vertical="center"/>
      <protection locked="0"/>
    </xf>
    <xf numFmtId="43" fontId="46" fillId="0" borderId="24" xfId="58" applyFont="1" applyFill="1" applyBorder="1" applyAlignment="1" applyProtection="1">
      <alignment horizontal="center" vertical="center"/>
    </xf>
    <xf numFmtId="43" fontId="46" fillId="0" borderId="25" xfId="58" applyFont="1" applyFill="1" applyBorder="1" applyAlignment="1" applyProtection="1">
      <alignment horizontal="center" vertical="center"/>
    </xf>
    <xf numFmtId="4" fontId="26" fillId="2" borderId="7" xfId="0" applyNumberFormat="1" applyFont="1" applyFill="1" applyBorder="1" applyAlignment="1" applyProtection="1">
      <alignment vertical="center"/>
    </xf>
    <xf numFmtId="0" fontId="23" fillId="0" borderId="21" xfId="0" applyFont="1" applyBorder="1" applyAlignment="1" applyProtection="1">
      <alignment vertical="center"/>
    </xf>
    <xf numFmtId="4" fontId="33" fillId="0" borderId="0" xfId="0" applyNumberFormat="1" applyFont="1" applyAlignment="1" applyProtection="1">
      <alignment vertical="center"/>
    </xf>
    <xf numFmtId="0" fontId="23" fillId="0" borderId="39" xfId="0" applyFont="1" applyBorder="1" applyAlignment="1" applyProtection="1">
      <alignment vertical="center"/>
    </xf>
    <xf numFmtId="14" fontId="21" fillId="0" borderId="0" xfId="0" applyNumberFormat="1" applyFont="1" applyAlignment="1" applyProtection="1">
      <alignment horizontal="right" vertical="center" wrapText="1"/>
    </xf>
    <xf numFmtId="0" fontId="23" fillId="0" borderId="1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3" fillId="0" borderId="11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3" fillId="2" borderId="8" xfId="0" applyFont="1" applyFill="1" applyBorder="1" applyAlignment="1" applyProtection="1">
      <alignment vertical="center"/>
    </xf>
    <xf numFmtId="0" fontId="34" fillId="0" borderId="54" xfId="0" applyFont="1" applyBorder="1" applyAlignment="1" applyProtection="1">
      <alignment horizontal="left" vertical="center"/>
    </xf>
    <xf numFmtId="0" fontId="26" fillId="2" borderId="7" xfId="0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3" fillId="0" borderId="57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</xf>
    <xf numFmtId="0" fontId="23" fillId="0" borderId="5" xfId="0" applyFont="1" applyBorder="1" applyAlignment="1" applyProtection="1">
      <alignment vertical="center"/>
    </xf>
    <xf numFmtId="0" fontId="32" fillId="0" borderId="0" xfId="0" applyFont="1" applyAlignment="1" applyProtection="1">
      <alignment vertical="center"/>
    </xf>
    <xf numFmtId="4" fontId="14" fillId="0" borderId="0" xfId="0" applyNumberFormat="1" applyFont="1" applyAlignment="1" applyProtection="1">
      <alignment vertical="center"/>
    </xf>
    <xf numFmtId="0" fontId="23" fillId="2" borderId="7" xfId="0" applyFont="1" applyFill="1" applyBorder="1" applyAlignment="1" applyProtection="1">
      <alignment vertical="center"/>
    </xf>
    <xf numFmtId="0" fontId="23" fillId="0" borderId="33" xfId="0" applyFont="1" applyBorder="1" applyAlignment="1" applyProtection="1">
      <alignment vertical="center"/>
    </xf>
    <xf numFmtId="0" fontId="35" fillId="0" borderId="57" xfId="0" applyFont="1" applyBorder="1" applyAlignment="1" applyProtection="1">
      <alignment horizontal="left" vertical="center"/>
    </xf>
    <xf numFmtId="0" fontId="35" fillId="0" borderId="56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 wrapText="1"/>
    </xf>
    <xf numFmtId="0" fontId="23" fillId="0" borderId="58" xfId="0" applyFont="1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/>
    </xf>
    <xf numFmtId="4" fontId="22" fillId="0" borderId="5" xfId="0" applyNumberFormat="1" applyFont="1" applyBorder="1" applyAlignment="1" applyProtection="1">
      <alignment vertical="center"/>
    </xf>
    <xf numFmtId="0" fontId="23" fillId="2" borderId="0" xfId="0" applyFont="1" applyFill="1" applyAlignment="1" applyProtection="1">
      <alignment vertical="center"/>
    </xf>
    <xf numFmtId="0" fontId="22" fillId="0" borderId="5" xfId="0" applyFont="1" applyBorder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165" fontId="32" fillId="0" borderId="0" xfId="0" applyNumberFormat="1" applyFont="1" applyAlignment="1" applyProtection="1">
      <alignment vertical="center"/>
    </xf>
    <xf numFmtId="0" fontId="26" fillId="2" borderId="6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6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4" xfId="0" applyFont="1" applyBorder="1" applyAlignment="1" applyProtection="1">
      <alignment vertical="center"/>
    </xf>
    <xf numFmtId="0" fontId="23" fillId="0" borderId="55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horizontal="center" vertical="center"/>
    </xf>
    <xf numFmtId="0" fontId="23" fillId="2" borderId="7" xfId="0" applyFont="1" applyFill="1" applyBorder="1" applyAlignment="1" applyProtection="1">
      <alignment vertical="center"/>
    </xf>
    <xf numFmtId="0" fontId="26" fillId="2" borderId="7" xfId="0" applyFont="1" applyFill="1" applyBorder="1" applyAlignment="1" applyProtection="1">
      <alignment horizontal="left" vertical="center"/>
    </xf>
    <xf numFmtId="0" fontId="43" fillId="0" borderId="0" xfId="1" applyFont="1" applyAlignment="1" applyProtection="1">
      <alignment horizontal="center" vertical="center"/>
    </xf>
    <xf numFmtId="9" fontId="32" fillId="0" borderId="0" xfId="2" applyFont="1" applyBorder="1" applyAlignment="1" applyProtection="1">
      <alignment vertical="center"/>
    </xf>
    <xf numFmtId="9" fontId="72" fillId="0" borderId="13" xfId="2" applyFont="1" applyFill="1" applyBorder="1" applyAlignment="1" applyProtection="1">
      <alignment vertical="center"/>
    </xf>
    <xf numFmtId="10" fontId="72" fillId="0" borderId="13" xfId="2" applyNumberFormat="1" applyFont="1" applyFill="1" applyBorder="1" applyAlignment="1" applyProtection="1">
      <alignment vertical="center"/>
    </xf>
    <xf numFmtId="9" fontId="72" fillId="6" borderId="13" xfId="2" applyFont="1" applyFill="1" applyBorder="1" applyAlignment="1" applyProtection="1">
      <alignment vertical="center"/>
    </xf>
    <xf numFmtId="14" fontId="21" fillId="6" borderId="0" xfId="0" applyNumberFormat="1" applyFont="1" applyFill="1" applyAlignment="1" applyProtection="1">
      <alignment horizontal="left" vertical="center"/>
      <protection locked="0"/>
    </xf>
    <xf numFmtId="0" fontId="41" fillId="4" borderId="10" xfId="0" applyFont="1" applyFill="1" applyBorder="1" applyAlignment="1" applyProtection="1">
      <alignment horizontal="left" vertical="center"/>
      <protection locked="0"/>
    </xf>
    <xf numFmtId="0" fontId="75" fillId="0" borderId="0" xfId="0" applyFont="1" applyAlignment="1" applyProtection="1">
      <alignment vertical="center"/>
      <protection locked="0"/>
    </xf>
    <xf numFmtId="0" fontId="72" fillId="0" borderId="0" xfId="0" applyFont="1" applyAlignment="1" applyProtection="1">
      <alignment vertical="center"/>
      <protection locked="0"/>
    </xf>
    <xf numFmtId="0" fontId="77" fillId="0" borderId="0" xfId="0" applyFont="1" applyAlignment="1" applyProtection="1">
      <alignment vertical="center"/>
      <protection locked="0"/>
    </xf>
    <xf numFmtId="0" fontId="75" fillId="0" borderId="9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0" fontId="57" fillId="10" borderId="47" xfId="2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3" fillId="0" borderId="2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166" fontId="21" fillId="0" borderId="0" xfId="0" applyNumberFormat="1" applyFont="1" applyAlignment="1" applyProtection="1">
      <alignment horizontal="left" vertical="center"/>
    </xf>
    <xf numFmtId="0" fontId="23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3" borderId="6" xfId="0" applyFont="1" applyFill="1" applyBorder="1" applyAlignment="1" applyProtection="1">
      <alignment horizontal="center" vertical="center"/>
    </xf>
    <xf numFmtId="0" fontId="21" fillId="3" borderId="7" xfId="0" applyFont="1" applyFill="1" applyBorder="1" applyAlignment="1" applyProtection="1">
      <alignment horizontal="left" vertical="center"/>
    </xf>
    <xf numFmtId="0" fontId="23" fillId="3" borderId="7" xfId="0" applyFont="1" applyFill="1" applyBorder="1" applyAlignment="1" applyProtection="1">
      <alignment vertical="center"/>
    </xf>
    <xf numFmtId="0" fontId="21" fillId="3" borderId="7" xfId="0" applyFont="1" applyFill="1" applyBorder="1" applyAlignment="1" applyProtection="1">
      <alignment horizontal="center" vertical="center"/>
    </xf>
    <xf numFmtId="0" fontId="21" fillId="3" borderId="8" xfId="0" applyFont="1" applyFill="1" applyBorder="1" applyAlignment="1" applyProtection="1">
      <alignment horizontal="left" vertical="center"/>
    </xf>
    <xf numFmtId="0" fontId="68" fillId="3" borderId="46" xfId="0" applyFont="1" applyFill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/>
    </xf>
    <xf numFmtId="4" fontId="36" fillId="0" borderId="0" xfId="0" applyNumberFormat="1" applyFont="1" applyAlignment="1" applyProtection="1">
      <alignment horizontal="right" vertical="center"/>
    </xf>
    <xf numFmtId="4" fontId="36" fillId="0" borderId="0" xfId="0" applyNumberFormat="1" applyFont="1" applyAlignment="1" applyProtection="1">
      <alignment vertical="center"/>
    </xf>
    <xf numFmtId="0" fontId="26" fillId="0" borderId="3" xfId="0" applyFont="1" applyBorder="1" applyAlignment="1" applyProtection="1">
      <alignment vertical="center"/>
    </xf>
    <xf numFmtId="4" fontId="76" fillId="0" borderId="0" xfId="0" applyNumberFormat="1" applyFont="1" applyAlignment="1" applyProtection="1">
      <alignment vertical="center"/>
    </xf>
    <xf numFmtId="0" fontId="76" fillId="0" borderId="0" xfId="0" applyFont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49" fontId="41" fillId="0" borderId="0" xfId="0" applyNumberFormat="1" applyFont="1" applyAlignment="1" applyProtection="1">
      <alignment vertical="center"/>
    </xf>
    <xf numFmtId="4" fontId="39" fillId="0" borderId="16" xfId="0" applyNumberFormat="1" applyFont="1" applyBorder="1" applyAlignment="1" applyProtection="1">
      <alignment vertical="center"/>
    </xf>
    <xf numFmtId="0" fontId="39" fillId="0" borderId="16" xfId="0" applyFont="1" applyBorder="1" applyAlignment="1" applyProtection="1">
      <alignment vertical="center"/>
    </xf>
    <xf numFmtId="0" fontId="39" fillId="0" borderId="18" xfId="0" applyFont="1" applyBorder="1" applyAlignment="1" applyProtection="1">
      <alignment vertical="center"/>
    </xf>
    <xf numFmtId="0" fontId="14" fillId="0" borderId="3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4" fontId="67" fillId="0" borderId="0" xfId="0" applyNumberFormat="1" applyFont="1" applyAlignment="1" applyProtection="1">
      <alignment vertical="center"/>
    </xf>
    <xf numFmtId="4" fontId="67" fillId="0" borderId="16" xfId="0" applyNumberFormat="1" applyFont="1" applyBorder="1" applyAlignment="1" applyProtection="1">
      <alignment vertical="center"/>
    </xf>
    <xf numFmtId="0" fontId="67" fillId="0" borderId="0" xfId="0" applyFont="1" applyAlignment="1" applyProtection="1">
      <alignment vertical="center"/>
    </xf>
    <xf numFmtId="0" fontId="41" fillId="0" borderId="16" xfId="0" applyFont="1" applyBorder="1" applyAlignment="1" applyProtection="1">
      <alignment horizontal="left" vertical="center" wrapText="1"/>
    </xf>
    <xf numFmtId="0" fontId="41" fillId="0" borderId="18" xfId="0" applyFont="1" applyBorder="1" applyAlignment="1" applyProtection="1">
      <alignment horizontal="left" vertical="center" wrapText="1"/>
    </xf>
    <xf numFmtId="0" fontId="41" fillId="0" borderId="17" xfId="0" applyFont="1" applyBorder="1" applyAlignment="1" applyProtection="1">
      <alignment horizontal="left" vertical="center" wrapText="1"/>
    </xf>
    <xf numFmtId="0" fontId="39" fillId="0" borderId="17" xfId="0" applyFont="1" applyBorder="1" applyAlignment="1" applyProtection="1">
      <alignment horizontal="left" vertical="center" wrapText="1"/>
    </xf>
    <xf numFmtId="4" fontId="39" fillId="0" borderId="17" xfId="0" applyNumberFormat="1" applyFont="1" applyBorder="1" applyAlignment="1" applyProtection="1">
      <alignment vertical="center"/>
    </xf>
    <xf numFmtId="0" fontId="39" fillId="0" borderId="17" xfId="0" applyFont="1" applyBorder="1" applyAlignment="1" applyProtection="1">
      <alignment vertical="center"/>
    </xf>
    <xf numFmtId="0" fontId="39" fillId="0" borderId="19" xfId="0" applyFont="1" applyBorder="1" applyAlignment="1" applyProtection="1">
      <alignment vertical="center"/>
    </xf>
    <xf numFmtId="4" fontId="67" fillId="0" borderId="39" xfId="0" applyNumberFormat="1" applyFont="1" applyBorder="1" applyAlignment="1" applyProtection="1">
      <alignment vertical="center"/>
    </xf>
    <xf numFmtId="4" fontId="67" fillId="0" borderId="17" xfId="0" applyNumberFormat="1" applyFont="1" applyBorder="1" applyAlignment="1" applyProtection="1">
      <alignment vertical="center"/>
    </xf>
    <xf numFmtId="0" fontId="36" fillId="3" borderId="0" xfId="0" applyFont="1" applyFill="1" applyAlignment="1" applyProtection="1">
      <alignment horizontal="left" vertical="center"/>
    </xf>
    <xf numFmtId="0" fontId="23" fillId="3" borderId="0" xfId="0" applyFont="1" applyFill="1" applyAlignment="1" applyProtection="1">
      <alignment vertical="center"/>
    </xf>
    <xf numFmtId="4" fontId="36" fillId="3" borderId="0" xfId="0" applyNumberFormat="1" applyFont="1" applyFill="1" applyAlignment="1" applyProtection="1">
      <alignment vertical="center"/>
    </xf>
    <xf numFmtId="4" fontId="76" fillId="3" borderId="0" xfId="0" applyNumberFormat="1" applyFont="1" applyFill="1" applyAlignment="1" applyProtection="1">
      <alignment vertical="center"/>
    </xf>
    <xf numFmtId="0" fontId="23" fillId="0" borderId="48" xfId="0" applyFont="1" applyBorder="1" applyAlignment="1" applyProtection="1">
      <alignment vertical="center"/>
    </xf>
    <xf numFmtId="0" fontId="23" fillId="0" borderId="49" xfId="0" applyFont="1" applyBorder="1" applyAlignment="1" applyProtection="1">
      <alignment vertical="center"/>
    </xf>
    <xf numFmtId="0" fontId="23" fillId="0" borderId="50" xfId="0" applyFont="1" applyBorder="1" applyAlignment="1" applyProtection="1">
      <alignment vertical="center"/>
    </xf>
    <xf numFmtId="0" fontId="23" fillId="0" borderId="34" xfId="0" applyFont="1" applyBorder="1" applyAlignment="1" applyProtection="1">
      <alignment vertical="center"/>
    </xf>
    <xf numFmtId="0" fontId="23" fillId="0" borderId="51" xfId="0" applyFont="1" applyBorder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30" fillId="0" borderId="34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/>
    </xf>
    <xf numFmtId="14" fontId="71" fillId="0" borderId="0" xfId="0" applyNumberFormat="1" applyFont="1" applyAlignment="1" applyProtection="1">
      <alignment horizontal="center" vertical="center" wrapText="1"/>
    </xf>
    <xf numFmtId="0" fontId="71" fillId="0" borderId="0" xfId="0" applyFont="1" applyAlignment="1" applyProtection="1">
      <alignment horizontal="left" vertical="center" wrapText="1"/>
    </xf>
    <xf numFmtId="0" fontId="30" fillId="0" borderId="51" xfId="0" applyFont="1" applyBorder="1" applyAlignment="1" applyProtection="1">
      <alignment vertical="center"/>
    </xf>
    <xf numFmtId="14" fontId="21" fillId="0" borderId="0" xfId="0" applyNumberFormat="1" applyFont="1" applyAlignment="1" applyProtection="1">
      <alignment horizontal="center" vertical="center" wrapText="1"/>
    </xf>
    <xf numFmtId="0" fontId="23" fillId="0" borderId="9" xfId="0" applyFont="1" applyBorder="1" applyAlignment="1" applyProtection="1">
      <alignment vertical="center"/>
    </xf>
    <xf numFmtId="0" fontId="14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horizontal="left" vertical="center"/>
    </xf>
    <xf numFmtId="4" fontId="22" fillId="0" borderId="0" xfId="0" applyNumberFormat="1" applyFont="1" applyAlignment="1" applyProtection="1">
      <alignment vertical="center"/>
    </xf>
    <xf numFmtId="0" fontId="32" fillId="0" borderId="0" xfId="0" applyFont="1" applyAlignment="1" applyProtection="1">
      <alignment horizontal="right" vertical="center"/>
    </xf>
    <xf numFmtId="0" fontId="26" fillId="3" borderId="6" xfId="0" applyFont="1" applyFill="1" applyBorder="1" applyAlignment="1" applyProtection="1">
      <alignment horizontal="left" vertical="center"/>
    </xf>
    <xf numFmtId="0" fontId="26" fillId="3" borderId="7" xfId="0" applyFont="1" applyFill="1" applyBorder="1" applyAlignment="1" applyProtection="1">
      <alignment horizontal="right" vertical="center"/>
    </xf>
    <xf numFmtId="0" fontId="26" fillId="3" borderId="7" xfId="0" applyFont="1" applyFill="1" applyBorder="1" applyAlignment="1" applyProtection="1">
      <alignment horizontal="center" vertical="center"/>
    </xf>
    <xf numFmtId="4" fontId="26" fillId="3" borderId="7" xfId="0" applyNumberFormat="1" applyFont="1" applyFill="1" applyBorder="1" applyAlignment="1" applyProtection="1">
      <alignment vertical="center"/>
    </xf>
    <xf numFmtId="4" fontId="26" fillId="3" borderId="8" xfId="0" applyNumberFormat="1" applyFont="1" applyFill="1" applyBorder="1" applyAlignment="1" applyProtection="1">
      <alignment vertical="center"/>
    </xf>
    <xf numFmtId="0" fontId="23" fillId="0" borderId="52" xfId="0" applyFont="1" applyBorder="1" applyAlignment="1" applyProtection="1">
      <alignment vertical="center"/>
    </xf>
    <xf numFmtId="0" fontId="23" fillId="0" borderId="26" xfId="0" applyFont="1" applyBorder="1" applyAlignment="1" applyProtection="1">
      <alignment vertical="center"/>
    </xf>
    <xf numFmtId="0" fontId="23" fillId="0" borderId="53" xfId="0" applyFont="1" applyBorder="1" applyAlignment="1" applyProtection="1">
      <alignment vertical="center"/>
    </xf>
    <xf numFmtId="0" fontId="21" fillId="3" borderId="0" xfId="0" applyFont="1" applyFill="1" applyAlignment="1" applyProtection="1">
      <alignment horizontal="center" vertical="center"/>
    </xf>
    <xf numFmtId="0" fontId="23" fillId="3" borderId="0" xfId="0" applyFont="1" applyFill="1" applyAlignment="1" applyProtection="1">
      <alignment vertical="center"/>
    </xf>
    <xf numFmtId="4" fontId="23" fillId="3" borderId="0" xfId="0" applyNumberFormat="1" applyFont="1" applyFill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/>
    </xf>
    <xf numFmtId="4" fontId="37" fillId="0" borderId="0" xfId="0" applyNumberFormat="1" applyFont="1" applyAlignment="1" applyProtection="1">
      <alignment vertical="center"/>
    </xf>
    <xf numFmtId="0" fontId="41" fillId="0" borderId="34" xfId="0" applyFont="1" applyBorder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1" fillId="0" borderId="0" xfId="0" applyFont="1" applyAlignment="1" applyProtection="1">
      <alignment horizontal="left" vertical="center"/>
    </xf>
    <xf numFmtId="4" fontId="41" fillId="0" borderId="0" xfId="0" applyNumberFormat="1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1" fillId="0" borderId="51" xfId="0" applyFont="1" applyBorder="1" applyAlignment="1" applyProtection="1">
      <alignment vertical="center"/>
    </xf>
    <xf numFmtId="0" fontId="39" fillId="0" borderId="34" xfId="0" applyFont="1" applyBorder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4" fontId="39" fillId="0" borderId="0" xfId="0" applyNumberFormat="1" applyFont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51" xfId="0" applyFont="1" applyBorder="1" applyAlignment="1" applyProtection="1">
      <alignment vertical="center"/>
    </xf>
    <xf numFmtId="0" fontId="23" fillId="0" borderId="34" xfId="0" applyFont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0" fontId="21" fillId="3" borderId="13" xfId="0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</xf>
    <xf numFmtId="0" fontId="21" fillId="3" borderId="14" xfId="0" applyFont="1" applyFill="1" applyBorder="1" applyAlignment="1" applyProtection="1">
      <alignment horizontal="center" vertical="center" wrapText="1"/>
    </xf>
    <xf numFmtId="0" fontId="23" fillId="0" borderId="51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 wrapText="1"/>
    </xf>
    <xf numFmtId="0" fontId="65" fillId="0" borderId="0" xfId="0" applyFont="1" applyAlignment="1" applyProtection="1">
      <alignment horizontal="center" vertical="center" wrapText="1"/>
    </xf>
    <xf numFmtId="4" fontId="36" fillId="0" borderId="9" xfId="0" applyNumberFormat="1" applyFont="1" applyBorder="1" applyAlignment="1" applyProtection="1">
      <alignment vertical="center"/>
    </xf>
    <xf numFmtId="4" fontId="26" fillId="0" borderId="9" xfId="0" applyNumberFormat="1" applyFont="1" applyBorder="1" applyAlignment="1" applyProtection="1">
      <alignment vertical="center"/>
    </xf>
    <xf numFmtId="0" fontId="40" fillId="0" borderId="34" xfId="0" applyFont="1" applyBorder="1" applyAlignment="1" applyProtection="1">
      <alignment vertical="center"/>
    </xf>
    <xf numFmtId="0" fontId="41" fillId="4" borderId="10" xfId="0" applyFont="1" applyFill="1" applyBorder="1" applyAlignment="1" applyProtection="1">
      <alignment horizontal="left" vertical="center"/>
    </xf>
    <xf numFmtId="4" fontId="41" fillId="4" borderId="10" xfId="0" applyNumberFormat="1" applyFont="1" applyFill="1" applyBorder="1" applyAlignment="1" applyProtection="1">
      <alignment vertical="center"/>
    </xf>
    <xf numFmtId="0" fontId="40" fillId="0" borderId="51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69" fillId="0" borderId="34" xfId="0" applyFont="1" applyBorder="1" applyAlignment="1" applyProtection="1">
      <alignment vertical="center"/>
    </xf>
    <xf numFmtId="0" fontId="69" fillId="11" borderId="15" xfId="0" applyFont="1" applyFill="1" applyBorder="1" applyAlignment="1" applyProtection="1">
      <alignment horizontal="center" vertical="center"/>
    </xf>
    <xf numFmtId="0" fontId="69" fillId="11" borderId="12" xfId="0" applyFont="1" applyFill="1" applyBorder="1" applyAlignment="1" applyProtection="1">
      <alignment horizontal="left" vertical="center" wrapText="1"/>
    </xf>
    <xf numFmtId="0" fontId="69" fillId="11" borderId="13" xfId="0" applyFont="1" applyFill="1" applyBorder="1" applyAlignment="1" applyProtection="1">
      <alignment horizontal="left" vertical="center" wrapText="1"/>
    </xf>
    <xf numFmtId="0" fontId="69" fillId="11" borderId="14" xfId="0" applyFont="1" applyFill="1" applyBorder="1" applyAlignment="1" applyProtection="1">
      <alignment horizontal="left" vertical="center" wrapText="1"/>
    </xf>
    <xf numFmtId="167" fontId="69" fillId="11" borderId="15" xfId="0" applyNumberFormat="1" applyFont="1" applyFill="1" applyBorder="1" applyAlignment="1" applyProtection="1">
      <alignment vertical="center"/>
    </xf>
    <xf numFmtId="4" fontId="69" fillId="11" borderId="15" xfId="0" applyNumberFormat="1" applyFont="1" applyFill="1" applyBorder="1" applyAlignment="1" applyProtection="1">
      <alignment vertical="center"/>
    </xf>
    <xf numFmtId="0" fontId="69" fillId="0" borderId="51" xfId="0" applyFont="1" applyBorder="1" applyAlignment="1" applyProtection="1">
      <alignment vertical="center"/>
    </xf>
    <xf numFmtId="0" fontId="69" fillId="0" borderId="0" xfId="0" applyFont="1" applyAlignment="1" applyProtection="1">
      <alignment vertical="center"/>
    </xf>
    <xf numFmtId="0" fontId="74" fillId="0" borderId="0" xfId="0" applyFont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0" fontId="23" fillId="0" borderId="15" xfId="0" applyFont="1" applyBorder="1" applyAlignment="1" applyProtection="1">
      <alignment horizontal="left" vertical="center" wrapText="1"/>
    </xf>
    <xf numFmtId="0" fontId="23" fillId="0" borderId="15" xfId="0" applyFont="1" applyBorder="1" applyAlignment="1" applyProtection="1">
      <alignment horizontal="left" vertical="center" wrapText="1"/>
    </xf>
    <xf numFmtId="4" fontId="23" fillId="0" borderId="15" xfId="0" applyNumberFormat="1" applyFont="1" applyBorder="1" applyAlignment="1" applyProtection="1">
      <alignment vertical="center"/>
    </xf>
    <xf numFmtId="167" fontId="23" fillId="0" borderId="15" xfId="0" applyNumberFormat="1" applyFont="1" applyBorder="1" applyAlignment="1" applyProtection="1">
      <alignment vertical="center"/>
    </xf>
    <xf numFmtId="0" fontId="65" fillId="0" borderId="34" xfId="0" applyFont="1" applyBorder="1" applyAlignment="1" applyProtection="1">
      <alignment vertical="center"/>
    </xf>
    <xf numFmtId="0" fontId="46" fillId="0" borderId="0" xfId="68" applyFont="1" applyAlignment="1" applyProtection="1">
      <alignment vertical="center"/>
    </xf>
    <xf numFmtId="0" fontId="46" fillId="0" borderId="40" xfId="68" applyFont="1" applyBorder="1" applyAlignment="1" applyProtection="1">
      <alignment vertical="center" wrapText="1"/>
    </xf>
    <xf numFmtId="0" fontId="46" fillId="0" borderId="41" xfId="68" applyFont="1" applyBorder="1" applyAlignment="1" applyProtection="1">
      <alignment horizontal="left" vertical="center" wrapText="1"/>
    </xf>
    <xf numFmtId="0" fontId="46" fillId="0" borderId="42" xfId="68" applyFont="1" applyBorder="1" applyAlignment="1" applyProtection="1">
      <alignment horizontal="left" vertical="center" wrapText="1"/>
    </xf>
    <xf numFmtId="0" fontId="21" fillId="0" borderId="0" xfId="68" applyFont="1" applyAlignment="1" applyProtection="1">
      <alignment vertical="center"/>
    </xf>
    <xf numFmtId="0" fontId="21" fillId="0" borderId="43" xfId="68" applyFont="1" applyBorder="1" applyAlignment="1" applyProtection="1">
      <alignment horizontal="left" vertical="center"/>
    </xf>
    <xf numFmtId="0" fontId="21" fillId="0" borderId="17" xfId="68" applyFont="1" applyBorder="1" applyAlignment="1" applyProtection="1">
      <alignment horizontal="left" vertical="center"/>
    </xf>
    <xf numFmtId="0" fontId="21" fillId="0" borderId="44" xfId="68" applyFont="1" applyBorder="1" applyAlignment="1" applyProtection="1">
      <alignment horizontal="left" vertical="center"/>
    </xf>
    <xf numFmtId="0" fontId="24" fillId="0" borderId="43" xfId="68" applyFont="1" applyBorder="1" applyAlignment="1" applyProtection="1">
      <alignment horizontal="left" vertical="center"/>
    </xf>
    <xf numFmtId="0" fontId="24" fillId="0" borderId="17" xfId="68" applyFont="1" applyBorder="1" applyAlignment="1" applyProtection="1">
      <alignment horizontal="left" vertical="center"/>
    </xf>
    <xf numFmtId="0" fontId="24" fillId="0" borderId="44" xfId="68" applyFont="1" applyBorder="1" applyAlignment="1" applyProtection="1">
      <alignment horizontal="left" vertical="center"/>
    </xf>
    <xf numFmtId="0" fontId="47" fillId="0" borderId="20" xfId="68" applyFont="1" applyBorder="1" applyAlignment="1" applyProtection="1">
      <alignment horizontal="left" vertical="center"/>
    </xf>
    <xf numFmtId="0" fontId="47" fillId="0" borderId="21" xfId="68" applyFont="1" applyBorder="1" applyAlignment="1" applyProtection="1">
      <alignment horizontal="left" vertical="center"/>
    </xf>
    <xf numFmtId="0" fontId="47" fillId="0" borderId="22" xfId="68" applyFont="1" applyBorder="1" applyAlignment="1" applyProtection="1">
      <alignment horizontal="left" vertical="center"/>
    </xf>
    <xf numFmtId="0" fontId="48" fillId="0" borderId="23" xfId="68" applyFont="1" applyBorder="1" applyAlignment="1" applyProtection="1">
      <alignment horizontal="left" vertical="center" wrapText="1"/>
    </xf>
    <xf numFmtId="0" fontId="46" fillId="0" borderId="26" xfId="68" applyFont="1" applyBorder="1" applyAlignment="1" applyProtection="1">
      <alignment horizontal="left" vertical="center"/>
    </xf>
    <xf numFmtId="0" fontId="49" fillId="0" borderId="0" xfId="68" applyFont="1" applyAlignment="1" applyProtection="1">
      <alignment vertical="center"/>
    </xf>
    <xf numFmtId="0" fontId="14" fillId="0" borderId="27" xfId="68" applyFont="1" applyBorder="1" applyAlignment="1" applyProtection="1">
      <alignment horizontal="left" vertical="center" wrapText="1"/>
    </xf>
    <xf numFmtId="0" fontId="14" fillId="0" borderId="28" xfId="68" applyFont="1" applyBorder="1" applyAlignment="1" applyProtection="1">
      <alignment vertical="center" wrapText="1"/>
    </xf>
    <xf numFmtId="0" fontId="14" fillId="0" borderId="29" xfId="68" applyFont="1" applyBorder="1" applyAlignment="1" applyProtection="1">
      <alignment vertical="center" wrapText="1"/>
    </xf>
    <xf numFmtId="0" fontId="21" fillId="0" borderId="26" xfId="68" applyFont="1" applyBorder="1" applyAlignment="1" applyProtection="1">
      <alignment horizontal="left" vertical="center"/>
    </xf>
    <xf numFmtId="0" fontId="23" fillId="8" borderId="30" xfId="68" applyFont="1" applyFill="1" applyBorder="1" applyAlignment="1" applyProtection="1">
      <alignment horizontal="center" vertical="center" wrapText="1"/>
    </xf>
    <xf numFmtId="0" fontId="23" fillId="8" borderId="32" xfId="68" applyFont="1" applyFill="1" applyBorder="1" applyAlignment="1" applyProtection="1">
      <alignment horizontal="center" vertical="center" wrapText="1"/>
    </xf>
    <xf numFmtId="0" fontId="23" fillId="0" borderId="0" xfId="68" applyFont="1" applyAlignment="1" applyProtection="1">
      <alignment horizontal="center" vertical="center" wrapText="1"/>
    </xf>
    <xf numFmtId="0" fontId="21" fillId="0" borderId="34" xfId="68" applyFont="1" applyBorder="1" applyAlignment="1" applyProtection="1">
      <alignment horizontal="right" vertical="center"/>
    </xf>
    <xf numFmtId="0" fontId="21" fillId="0" borderId="33" xfId="68" applyFont="1" applyBorder="1" applyAlignment="1" applyProtection="1">
      <alignment vertical="center" wrapText="1"/>
    </xf>
    <xf numFmtId="0" fontId="23" fillId="0" borderId="36" xfId="68" applyFont="1" applyBorder="1" applyAlignment="1" applyProtection="1">
      <alignment horizontal="left" vertical="center"/>
    </xf>
    <xf numFmtId="0" fontId="50" fillId="10" borderId="23" xfId="68" applyFont="1" applyFill="1" applyBorder="1" applyAlignment="1" applyProtection="1">
      <alignment horizontal="left" vertical="center" wrapText="1"/>
    </xf>
    <xf numFmtId="0" fontId="50" fillId="10" borderId="24" xfId="68" applyFont="1" applyFill="1" applyBorder="1" applyAlignment="1" applyProtection="1">
      <alignment horizontal="left" vertical="center" wrapText="1"/>
    </xf>
    <xf numFmtId="0" fontId="50" fillId="10" borderId="25" xfId="68" applyFont="1" applyFill="1" applyBorder="1" applyAlignment="1" applyProtection="1">
      <alignment horizontal="left" vertical="center" wrapText="1"/>
    </xf>
    <xf numFmtId="0" fontId="52" fillId="0" borderId="37" xfId="68" applyFont="1" applyBorder="1" applyAlignment="1" applyProtection="1">
      <alignment horizontal="center" vertical="center"/>
    </xf>
    <xf numFmtId="0" fontId="51" fillId="0" borderId="23" xfId="68" applyFont="1" applyBorder="1" applyAlignment="1" applyProtection="1">
      <alignment vertical="center" wrapText="1"/>
    </xf>
    <xf numFmtId="0" fontId="55" fillId="0" borderId="38" xfId="68" applyFont="1" applyBorder="1" applyAlignment="1" applyProtection="1">
      <alignment horizontal="right" vertical="center"/>
    </xf>
    <xf numFmtId="0" fontId="57" fillId="0" borderId="45" xfId="68" applyFont="1" applyBorder="1" applyAlignment="1" applyProtection="1">
      <alignment horizontal="center" vertical="center"/>
    </xf>
    <xf numFmtId="0" fontId="56" fillId="0" borderId="16" xfId="68" applyFont="1" applyBorder="1" applyAlignment="1" applyProtection="1">
      <alignment horizontal="left" vertical="center" wrapText="1"/>
    </xf>
    <xf numFmtId="0" fontId="58" fillId="0" borderId="34" xfId="68" applyFont="1" applyBorder="1" applyAlignment="1" applyProtection="1">
      <alignment horizontal="left" vertical="center"/>
    </xf>
    <xf numFmtId="0" fontId="57" fillId="0" borderId="34" xfId="68" applyFont="1" applyBorder="1" applyAlignment="1" applyProtection="1">
      <alignment horizontal="center" vertical="center"/>
    </xf>
    <xf numFmtId="0" fontId="59" fillId="0" borderId="0" xfId="68" applyFont="1" applyAlignment="1" applyProtection="1">
      <alignment vertical="center" wrapText="1"/>
    </xf>
    <xf numFmtId="0" fontId="23" fillId="0" borderId="34" xfId="68" applyFont="1" applyBorder="1" applyAlignment="1" applyProtection="1">
      <alignment horizontal="left" vertical="center"/>
    </xf>
    <xf numFmtId="0" fontId="57" fillId="0" borderId="37" xfId="68" applyFont="1" applyBorder="1" applyAlignment="1" applyProtection="1">
      <alignment horizontal="right" vertical="center"/>
    </xf>
    <xf numFmtId="0" fontId="56" fillId="0" borderId="16" xfId="68" applyFont="1" applyBorder="1" applyAlignment="1" applyProtection="1">
      <alignment vertical="center" wrapText="1"/>
    </xf>
    <xf numFmtId="0" fontId="21" fillId="0" borderId="34" xfId="68" applyFont="1" applyBorder="1" applyAlignment="1" applyProtection="1">
      <alignment horizontal="left" vertical="center"/>
    </xf>
    <xf numFmtId="0" fontId="57" fillId="0" borderId="34" xfId="68" applyFont="1" applyBorder="1" applyAlignment="1" applyProtection="1">
      <alignment horizontal="right" vertical="center"/>
    </xf>
    <xf numFmtId="0" fontId="57" fillId="0" borderId="0" xfId="68" applyFont="1" applyAlignment="1" applyProtection="1">
      <alignment vertical="center" wrapText="1"/>
    </xf>
    <xf numFmtId="0" fontId="61" fillId="9" borderId="24" xfId="68" applyFont="1" applyFill="1" applyBorder="1" applyAlignment="1" applyProtection="1">
      <alignment horizontal="right" vertical="center"/>
    </xf>
    <xf numFmtId="0" fontId="60" fillId="9" borderId="23" xfId="68" applyFont="1" applyFill="1" applyBorder="1" applyAlignment="1" applyProtection="1">
      <alignment vertical="center" wrapText="1"/>
    </xf>
    <xf numFmtId="0" fontId="55" fillId="9" borderId="38" xfId="68" applyFont="1" applyFill="1" applyBorder="1" applyAlignment="1" applyProtection="1">
      <alignment horizontal="right" vertical="center"/>
    </xf>
    <xf numFmtId="44" fontId="68" fillId="0" borderId="0" xfId="68" applyNumberFormat="1" applyFont="1" applyAlignment="1" applyProtection="1">
      <alignment vertical="center"/>
    </xf>
    <xf numFmtId="0" fontId="21" fillId="0" borderId="0" xfId="68" applyFont="1" applyAlignment="1" applyProtection="1">
      <alignment horizontal="right" vertical="center"/>
    </xf>
    <xf numFmtId="0" fontId="21" fillId="0" borderId="0" xfId="68" applyFont="1" applyAlignment="1" applyProtection="1">
      <alignment vertical="center" wrapText="1"/>
    </xf>
    <xf numFmtId="0" fontId="23" fillId="0" borderId="0" xfId="68" applyFont="1" applyAlignment="1" applyProtection="1">
      <alignment horizontal="left" vertical="center"/>
    </xf>
    <xf numFmtId="0" fontId="62" fillId="0" borderId="0" xfId="68" applyFont="1" applyAlignment="1" applyProtection="1">
      <alignment horizontal="left" vertical="center" wrapText="1"/>
    </xf>
    <xf numFmtId="0" fontId="56" fillId="0" borderId="0" xfId="68" applyFont="1" applyAlignment="1" applyProtection="1">
      <alignment vertical="center"/>
    </xf>
    <xf numFmtId="0" fontId="56" fillId="0" borderId="0" xfId="68" applyFont="1" applyAlignment="1" applyProtection="1">
      <alignment horizontal="center" vertical="center"/>
    </xf>
    <xf numFmtId="0" fontId="56" fillId="0" borderId="0" xfId="68" applyFont="1" applyAlignment="1" applyProtection="1">
      <alignment horizontal="left" vertical="center" wrapText="1"/>
    </xf>
    <xf numFmtId="0" fontId="64" fillId="0" borderId="0" xfId="68" applyFont="1" applyAlignment="1" applyProtection="1">
      <alignment horizontal="left" vertical="center" wrapText="1"/>
    </xf>
    <xf numFmtId="0" fontId="56" fillId="0" borderId="0" xfId="68" applyFont="1" applyAlignment="1" applyProtection="1">
      <alignment horizontal="left" vertical="center" wrapText="1"/>
    </xf>
    <xf numFmtId="0" fontId="56" fillId="0" borderId="0" xfId="68" applyFont="1" applyAlignment="1" applyProtection="1">
      <alignment vertical="center" wrapText="1"/>
    </xf>
    <xf numFmtId="49" fontId="64" fillId="0" borderId="0" xfId="68" applyNumberFormat="1" applyFont="1" applyAlignment="1" applyProtection="1">
      <alignment horizontal="left" vertical="center" wrapText="1"/>
    </xf>
    <xf numFmtId="49" fontId="56" fillId="0" borderId="0" xfId="68" applyNumberFormat="1" applyFont="1" applyAlignment="1" applyProtection="1">
      <alignment vertical="center" wrapText="1"/>
    </xf>
    <xf numFmtId="49" fontId="56" fillId="0" borderId="0" xfId="68" applyNumberFormat="1" applyFont="1" applyAlignment="1" applyProtection="1">
      <alignment horizontal="left" vertical="center" wrapText="1"/>
    </xf>
    <xf numFmtId="0" fontId="21" fillId="0" borderId="17" xfId="68" applyFont="1" applyBorder="1" applyAlignment="1" applyProtection="1">
      <alignment horizontal="right" vertical="center"/>
    </xf>
    <xf numFmtId="0" fontId="21" fillId="0" borderId="17" xfId="68" applyFont="1" applyBorder="1" applyAlignment="1" applyProtection="1">
      <alignment vertical="center" wrapText="1"/>
    </xf>
    <xf numFmtId="0" fontId="23" fillId="0" borderId="17" xfId="68" applyFont="1" applyBorder="1" applyAlignment="1" applyProtection="1">
      <alignment horizontal="left" vertical="center"/>
    </xf>
    <xf numFmtId="0" fontId="38" fillId="0" borderId="34" xfId="0" applyFont="1" applyBorder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4" fontId="38" fillId="0" borderId="0" xfId="0" applyNumberFormat="1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38" fillId="0" borderId="51" xfId="0" applyFont="1" applyBorder="1" applyAlignment="1" applyProtection="1">
      <alignment vertical="center"/>
    </xf>
    <xf numFmtId="0" fontId="75" fillId="0" borderId="34" xfId="0" applyFont="1" applyBorder="1" applyAlignment="1" applyProtection="1">
      <alignment vertical="center"/>
    </xf>
    <xf numFmtId="0" fontId="75" fillId="0" borderId="0" xfId="0" applyFont="1" applyAlignment="1" applyProtection="1">
      <alignment vertical="center"/>
    </xf>
    <xf numFmtId="0" fontId="75" fillId="0" borderId="0" xfId="0" applyFont="1" applyAlignment="1" applyProtection="1">
      <alignment horizontal="left" vertical="center" wrapText="1"/>
    </xf>
    <xf numFmtId="0" fontId="75" fillId="0" borderId="51" xfId="0" applyFont="1" applyBorder="1" applyAlignment="1" applyProtection="1">
      <alignment vertical="center"/>
    </xf>
    <xf numFmtId="167" fontId="79" fillId="4" borderId="10" xfId="0" applyNumberFormat="1" applyFont="1" applyFill="1" applyBorder="1" applyAlignment="1" applyProtection="1">
      <alignment horizontal="right" vertical="center"/>
    </xf>
    <xf numFmtId="0" fontId="75" fillId="0" borderId="13" xfId="0" applyFont="1" applyBorder="1" applyAlignment="1" applyProtection="1">
      <alignment vertical="center" wrapText="1"/>
    </xf>
    <xf numFmtId="0" fontId="72" fillId="0" borderId="34" xfId="0" applyFont="1" applyBorder="1" applyAlignment="1" applyProtection="1">
      <alignment vertical="center"/>
    </xf>
    <xf numFmtId="0" fontId="72" fillId="0" borderId="0" xfId="0" applyFont="1" applyAlignment="1" applyProtection="1">
      <alignment vertical="center"/>
    </xf>
    <xf numFmtId="0" fontId="72" fillId="0" borderId="13" xfId="0" applyFont="1" applyBorder="1" applyAlignment="1" applyProtection="1">
      <alignment horizontal="left" vertical="center" wrapText="1"/>
    </xf>
    <xf numFmtId="0" fontId="72" fillId="0" borderId="13" xfId="0" applyFont="1" applyBorder="1" applyAlignment="1" applyProtection="1">
      <alignment horizontal="left" vertical="center" wrapText="1"/>
    </xf>
    <xf numFmtId="0" fontId="72" fillId="0" borderId="13" xfId="0" applyFont="1" applyBorder="1" applyAlignment="1" applyProtection="1">
      <alignment vertical="center"/>
    </xf>
    <xf numFmtId="167" fontId="72" fillId="0" borderId="13" xfId="0" applyNumberFormat="1" applyFont="1" applyBorder="1" applyAlignment="1" applyProtection="1">
      <alignment vertical="center"/>
    </xf>
    <xf numFmtId="0" fontId="72" fillId="0" borderId="51" xfId="0" applyFont="1" applyBorder="1" applyAlignment="1" applyProtection="1">
      <alignment vertical="center"/>
    </xf>
    <xf numFmtId="0" fontId="65" fillId="0" borderId="0" xfId="0" applyFont="1" applyAlignment="1" applyProtection="1">
      <alignment vertical="center" wrapText="1"/>
    </xf>
    <xf numFmtId="0" fontId="42" fillId="0" borderId="15" xfId="0" applyFont="1" applyBorder="1" applyAlignment="1" applyProtection="1">
      <alignment horizontal="center" vertical="center"/>
    </xf>
    <xf numFmtId="0" fontId="42" fillId="0" borderId="15" xfId="0" applyFont="1" applyBorder="1" applyAlignment="1" applyProtection="1">
      <alignment horizontal="left" vertical="center" wrapText="1"/>
    </xf>
    <xf numFmtId="0" fontId="42" fillId="0" borderId="15" xfId="0" applyFont="1" applyBorder="1" applyAlignment="1" applyProtection="1">
      <alignment horizontal="left" vertical="center" wrapText="1"/>
    </xf>
    <xf numFmtId="167" fontId="42" fillId="0" borderId="15" xfId="0" applyNumberFormat="1" applyFont="1" applyBorder="1" applyAlignment="1" applyProtection="1">
      <alignment vertical="center"/>
    </xf>
    <xf numFmtId="4" fontId="42" fillId="0" borderId="15" xfId="0" applyNumberFormat="1" applyFont="1" applyBorder="1" applyAlignment="1" applyProtection="1">
      <alignment vertical="center"/>
    </xf>
    <xf numFmtId="0" fontId="75" fillId="0" borderId="9" xfId="0" applyFont="1" applyBorder="1" applyAlignment="1" applyProtection="1">
      <alignment vertical="center"/>
    </xf>
    <xf numFmtId="0" fontId="75" fillId="0" borderId="9" xfId="0" applyFont="1" applyBorder="1" applyAlignment="1" applyProtection="1">
      <alignment vertical="center" wrapText="1"/>
    </xf>
    <xf numFmtId="0" fontId="73" fillId="11" borderId="12" xfId="0" applyFont="1" applyFill="1" applyBorder="1" applyAlignment="1" applyProtection="1">
      <alignment horizontal="left" vertical="center" wrapText="1"/>
    </xf>
    <xf numFmtId="0" fontId="70" fillId="0" borderId="0" xfId="0" applyFont="1" applyAlignment="1" applyProtection="1">
      <alignment vertical="center"/>
    </xf>
    <xf numFmtId="0" fontId="75" fillId="0" borderId="13" xfId="0" applyFont="1" applyBorder="1" applyAlignment="1" applyProtection="1">
      <alignment horizontal="left" vertical="center" wrapText="1"/>
    </xf>
    <xf numFmtId="0" fontId="42" fillId="0" borderId="12" xfId="0" applyFont="1" applyBorder="1" applyAlignment="1" applyProtection="1">
      <alignment horizontal="left" vertical="center" wrapText="1"/>
    </xf>
    <xf numFmtId="0" fontId="42" fillId="0" borderId="13" xfId="0" applyFont="1" applyBorder="1" applyAlignment="1" applyProtection="1">
      <alignment horizontal="left" vertical="center" wrapText="1"/>
    </xf>
    <xf numFmtId="0" fontId="42" fillId="0" borderId="14" xfId="0" applyFont="1" applyBorder="1" applyAlignment="1" applyProtection="1">
      <alignment horizontal="left" vertical="center" wrapText="1"/>
    </xf>
    <xf numFmtId="4" fontId="42" fillId="0" borderId="12" xfId="0" applyNumberFormat="1" applyFont="1" applyBorder="1" applyAlignment="1" applyProtection="1">
      <alignment vertical="center"/>
    </xf>
    <xf numFmtId="4" fontId="42" fillId="0" borderId="13" xfId="0" applyNumberFormat="1" applyFont="1" applyBorder="1" applyAlignment="1" applyProtection="1">
      <alignment vertical="center"/>
    </xf>
    <xf numFmtId="4" fontId="42" fillId="0" borderId="14" xfId="0" applyNumberFormat="1" applyFont="1" applyBorder="1" applyAlignment="1" applyProtection="1">
      <alignment vertical="center"/>
    </xf>
    <xf numFmtId="0" fontId="66" fillId="0" borderId="0" xfId="0" applyFont="1" applyAlignment="1" applyProtection="1">
      <alignment vertical="center"/>
    </xf>
    <xf numFmtId="0" fontId="65" fillId="7" borderId="0" xfId="0" applyFont="1" applyFill="1" applyAlignment="1" applyProtection="1">
      <alignment vertical="center"/>
    </xf>
    <xf numFmtId="0" fontId="65" fillId="7" borderId="0" xfId="0" applyFont="1" applyFill="1" applyAlignment="1" applyProtection="1">
      <alignment horizontal="center" vertical="center"/>
    </xf>
    <xf numFmtId="43" fontId="70" fillId="0" borderId="0" xfId="0" applyNumberFormat="1" applyFont="1" applyAlignment="1" applyProtection="1">
      <alignment vertical="center"/>
    </xf>
    <xf numFmtId="0" fontId="80" fillId="0" borderId="13" xfId="0" applyFont="1" applyBorder="1" applyAlignment="1" applyProtection="1">
      <alignment horizontal="left" vertical="center" wrapText="1"/>
    </xf>
    <xf numFmtId="0" fontId="23" fillId="0" borderId="12" xfId="0" applyFont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left" vertical="center" wrapText="1"/>
    </xf>
    <xf numFmtId="0" fontId="23" fillId="0" borderId="14" xfId="0" applyFont="1" applyBorder="1" applyAlignment="1" applyProtection="1">
      <alignment horizontal="left" vertical="center" wrapText="1"/>
    </xf>
    <xf numFmtId="169" fontId="65" fillId="0" borderId="0" xfId="0" applyNumberFormat="1" applyFont="1" applyAlignment="1" applyProtection="1">
      <alignment horizontal="center" vertical="center"/>
    </xf>
    <xf numFmtId="49" fontId="42" fillId="0" borderId="15" xfId="0" applyNumberFormat="1" applyFont="1" applyBorder="1" applyAlignment="1" applyProtection="1">
      <alignment horizontal="left" vertical="center" wrapText="1"/>
    </xf>
    <xf numFmtId="4" fontId="23" fillId="0" borderId="12" xfId="0" applyNumberFormat="1" applyFont="1" applyBorder="1" applyAlignment="1" applyProtection="1">
      <alignment vertical="center"/>
    </xf>
    <xf numFmtId="4" fontId="23" fillId="0" borderId="13" xfId="0" applyNumberFormat="1" applyFont="1" applyBorder="1" applyAlignment="1" applyProtection="1">
      <alignment vertical="center"/>
    </xf>
    <xf numFmtId="4" fontId="23" fillId="0" borderId="14" xfId="0" applyNumberFormat="1" applyFont="1" applyBorder="1" applyAlignment="1" applyProtection="1">
      <alignment vertical="center"/>
    </xf>
    <xf numFmtId="0" fontId="65" fillId="0" borderId="0" xfId="0" applyFont="1" applyAlignment="1" applyProtection="1">
      <alignment horizontal="center" vertical="center"/>
    </xf>
    <xf numFmtId="0" fontId="77" fillId="0" borderId="34" xfId="0" applyFont="1" applyBorder="1" applyAlignment="1" applyProtection="1">
      <alignment vertical="center"/>
    </xf>
    <xf numFmtId="0" fontId="77" fillId="0" borderId="0" xfId="0" applyFont="1" applyAlignment="1" applyProtection="1">
      <alignment vertical="center"/>
    </xf>
    <xf numFmtId="0" fontId="77" fillId="0" borderId="13" xfId="0" applyFont="1" applyBorder="1" applyAlignment="1" applyProtection="1">
      <alignment horizontal="left" vertical="center" wrapText="1"/>
    </xf>
    <xf numFmtId="0" fontId="77" fillId="0" borderId="13" xfId="0" applyFont="1" applyBorder="1" applyAlignment="1" applyProtection="1">
      <alignment horizontal="left" vertical="center" wrapText="1"/>
    </xf>
    <xf numFmtId="0" fontId="77" fillId="0" borderId="13" xfId="0" applyFont="1" applyBorder="1" applyAlignment="1" applyProtection="1">
      <alignment vertical="center"/>
    </xf>
    <xf numFmtId="167" fontId="77" fillId="0" borderId="13" xfId="0" applyNumberFormat="1" applyFont="1" applyBorder="1" applyAlignment="1" applyProtection="1">
      <alignment vertical="center"/>
    </xf>
    <xf numFmtId="0" fontId="77" fillId="0" borderId="51" xfId="0" applyFont="1" applyBorder="1" applyAlignment="1" applyProtection="1">
      <alignment vertical="center"/>
    </xf>
    <xf numFmtId="0" fontId="41" fillId="0" borderId="16" xfId="0" applyFont="1" applyFill="1" applyBorder="1" applyAlignment="1" applyProtection="1">
      <alignment horizontal="left" vertical="center" wrapText="1"/>
    </xf>
    <xf numFmtId="0" fontId="41" fillId="0" borderId="18" xfId="0" applyFont="1" applyFill="1" applyBorder="1" applyAlignment="1" applyProtection="1">
      <alignment horizontal="left" vertical="center" wrapText="1"/>
    </xf>
    <xf numFmtId="0" fontId="72" fillId="0" borderId="13" xfId="0" applyFont="1" applyFill="1" applyBorder="1" applyAlignment="1" applyProtection="1">
      <alignment horizontal="left" vertical="center" wrapText="1"/>
    </xf>
    <xf numFmtId="0" fontId="72" fillId="0" borderId="13" xfId="0" applyFont="1" applyFill="1" applyBorder="1" applyAlignment="1" applyProtection="1">
      <alignment horizontal="left" vertical="center" wrapText="1"/>
    </xf>
    <xf numFmtId="0" fontId="72" fillId="0" borderId="13" xfId="0" applyFont="1" applyFill="1" applyBorder="1" applyAlignment="1" applyProtection="1">
      <alignment vertical="center"/>
    </xf>
    <xf numFmtId="167" fontId="72" fillId="0" borderId="13" xfId="0" applyNumberFormat="1" applyFont="1" applyFill="1" applyBorder="1" applyAlignment="1" applyProtection="1">
      <alignment vertical="center"/>
    </xf>
    <xf numFmtId="167" fontId="23" fillId="0" borderId="15" xfId="0" applyNumberFormat="1" applyFont="1" applyFill="1" applyBorder="1" applyAlignment="1" applyProtection="1">
      <alignment vertical="center"/>
    </xf>
    <xf numFmtId="0" fontId="75" fillId="0" borderId="0" xfId="0" applyFont="1" applyFill="1" applyAlignment="1" applyProtection="1">
      <alignment vertical="center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left" vertical="center" wrapText="1"/>
    </xf>
    <xf numFmtId="0" fontId="23" fillId="0" borderId="15" xfId="0" applyFont="1" applyFill="1" applyBorder="1" applyAlignment="1" applyProtection="1">
      <alignment horizontal="left" vertical="center" wrapText="1"/>
    </xf>
    <xf numFmtId="0" fontId="72" fillId="0" borderId="0" xfId="0" applyFont="1" applyFill="1" applyAlignment="1" applyProtection="1">
      <alignment vertical="center"/>
    </xf>
    <xf numFmtId="0" fontId="42" fillId="0" borderId="15" xfId="0" applyFont="1" applyFill="1" applyBorder="1" applyAlignment="1" applyProtection="1">
      <alignment horizontal="center" vertical="center"/>
    </xf>
    <xf numFmtId="0" fontId="42" fillId="0" borderId="15" xfId="0" applyFont="1" applyFill="1" applyBorder="1" applyAlignment="1" applyProtection="1">
      <alignment horizontal="left" vertical="center" wrapText="1"/>
    </xf>
    <xf numFmtId="0" fontId="42" fillId="0" borderId="15" xfId="0" applyFont="1" applyFill="1" applyBorder="1" applyAlignment="1" applyProtection="1">
      <alignment horizontal="left" vertical="center" wrapText="1"/>
    </xf>
    <xf numFmtId="167" fontId="42" fillId="0" borderId="15" xfId="0" applyNumberFormat="1" applyFont="1" applyFill="1" applyBorder="1" applyAlignment="1" applyProtection="1">
      <alignment vertical="center"/>
    </xf>
    <xf numFmtId="0" fontId="80" fillId="0" borderId="13" xfId="0" applyFont="1" applyFill="1" applyBorder="1" applyAlignment="1" applyProtection="1">
      <alignment horizontal="left" vertical="center" wrapText="1"/>
    </xf>
  </cellXfs>
  <cellStyles count="1840">
    <cellStyle name="40 % – Zvýraznění6 3" xfId="8" xr:uid="{767C7BB5-9677-4D73-9A59-8AF5E24B574E}"/>
    <cellStyle name="Čárka" xfId="58" builtinId="3"/>
    <cellStyle name="Čárka 10" xfId="316" xr:uid="{B518BE5F-A120-4DC3-A575-E7327D05E808}"/>
    <cellStyle name="Čárka 10 2" xfId="763" xr:uid="{4249C1C2-BB20-4968-8FF2-37EE5BE4335F}"/>
    <cellStyle name="Čárka 10 2 2" xfId="1658" xr:uid="{D333E1D2-743A-4225-A576-43E9D2CDB52C}"/>
    <cellStyle name="Čárka 10 3" xfId="1211" xr:uid="{DC605895-92EA-4191-A247-748BBC09720D}"/>
    <cellStyle name="Čárka 11" xfId="515" xr:uid="{A5AB7CBF-70DE-42ED-9D23-1F396543BC96}"/>
    <cellStyle name="Čárka 11 2" xfId="1410" xr:uid="{CDDCA650-765F-46DB-9B88-11E8A411A87B}"/>
    <cellStyle name="Čárka 12" xfId="962" xr:uid="{EB429225-D0BC-4FE8-8CCF-C2FAC2C48D17}"/>
    <cellStyle name="Čárka 2" xfId="10" xr:uid="{FEB65EFD-8A6C-4D76-B494-8F2C88FB395B}"/>
    <cellStyle name="Čárka 2 2" xfId="35" xr:uid="{FEB65EFD-8A6C-4D76-B494-8F2C88FB395B}"/>
    <cellStyle name="Čárka 2 3" xfId="28" xr:uid="{FEB65EFD-8A6C-4D76-B494-8F2C88FB395B}"/>
    <cellStyle name="Čárka 2 4" xfId="62" xr:uid="{8C77607C-1E6F-4A28-BF5E-7B300F30B614}"/>
    <cellStyle name="Čárka 2 4 2" xfId="92" xr:uid="{A82CDBF3-1ADF-404C-885D-0039BE7793C1}"/>
    <cellStyle name="Čárka 2 4 2 2" xfId="142" xr:uid="{0987062A-C455-4EB3-953A-FF6EFB9D1B81}"/>
    <cellStyle name="Čárka 2 4 2 2 2" xfId="242" xr:uid="{578F0101-7C83-4663-91FE-1C0316168DE0}"/>
    <cellStyle name="Čárka 2 4 2 2 2 2" xfId="492" xr:uid="{F18E7E8B-9520-4DA9-B41D-923579FD457D}"/>
    <cellStyle name="Čárka 2 4 2 2 2 2 2" xfId="939" xr:uid="{872A70AA-093B-4F40-94D6-4CCBEAFD4F41}"/>
    <cellStyle name="Čárka 2 4 2 2 2 2 2 2" xfId="1834" xr:uid="{95E5B5B7-D4A0-4692-9F4A-5C6FA3DAC99C}"/>
    <cellStyle name="Čárka 2 4 2 2 2 2 3" xfId="1387" xr:uid="{3507B6D0-06FA-41D6-929F-ECD22002245D}"/>
    <cellStyle name="Čárka 2 4 2 2 2 3" xfId="691" xr:uid="{3AE44C8B-43F7-4CFB-A2DB-2D8D36CA0DFD}"/>
    <cellStyle name="Čárka 2 4 2 2 2 3 2" xfId="1586" xr:uid="{112847BD-824A-4D88-A70D-FC6FD28EDB5A}"/>
    <cellStyle name="Čárka 2 4 2 2 2 4" xfId="1139" xr:uid="{35F28B5D-2D2E-4E2C-9357-D042A6604366}"/>
    <cellStyle name="Čárka 2 4 2 2 3" xfId="392" xr:uid="{67DB20BC-DACE-4E7C-92EC-39357F661617}"/>
    <cellStyle name="Čárka 2 4 2 2 3 2" xfId="839" xr:uid="{F19E615A-1AE7-4124-9E8F-DA0EFFBB3336}"/>
    <cellStyle name="Čárka 2 4 2 2 3 2 2" xfId="1734" xr:uid="{A940D3D2-0CEE-4727-B88B-C756C39573AF}"/>
    <cellStyle name="Čárka 2 4 2 2 3 3" xfId="1287" xr:uid="{3BE9AEBF-EFE1-4002-B976-5E7E121B02D0}"/>
    <cellStyle name="Čárka 2 4 2 2 4" xfId="591" xr:uid="{42991CA7-DF5F-45F3-8FF7-70F42BEE99C2}"/>
    <cellStyle name="Čárka 2 4 2 2 4 2" xfId="1486" xr:uid="{6F8D6916-8848-4829-A6C9-10CE5B2FB1E8}"/>
    <cellStyle name="Čárka 2 4 2 2 5" xfId="1039" xr:uid="{7DBBD72C-0C08-4B5E-9A95-2EBDBAFD4794}"/>
    <cellStyle name="Čárka 2 4 2 3" xfId="192" xr:uid="{E37C671B-5613-49E1-A57B-9B51488DB7B4}"/>
    <cellStyle name="Čárka 2 4 2 3 2" xfId="442" xr:uid="{BA165CC7-C60C-4207-9B2F-CE2FCD6DB2DB}"/>
    <cellStyle name="Čárka 2 4 2 3 2 2" xfId="889" xr:uid="{86C7A20F-C1AD-4789-BED2-FC48567024FD}"/>
    <cellStyle name="Čárka 2 4 2 3 2 2 2" xfId="1784" xr:uid="{BC9AEA3E-B248-440D-8FBD-91D46AEF1ACC}"/>
    <cellStyle name="Čárka 2 4 2 3 2 3" xfId="1337" xr:uid="{E45060DD-E0A9-4B6B-874E-491C2A25286A}"/>
    <cellStyle name="Čárka 2 4 2 3 3" xfId="641" xr:uid="{9341152D-FF93-41C7-830D-D11A11127959}"/>
    <cellStyle name="Čárka 2 4 2 3 3 2" xfId="1536" xr:uid="{1AA277E6-ECDB-4759-BC52-E765E98EBF03}"/>
    <cellStyle name="Čárka 2 4 2 3 4" xfId="1089" xr:uid="{59C44329-302F-42C0-B4AD-AE3F4B489227}"/>
    <cellStyle name="Čárka 2 4 2 4" xfId="293" xr:uid="{FA9A5DDD-E624-40C6-816E-1EEA0A6DD190}"/>
    <cellStyle name="Čárka 2 4 2 4 2" xfId="740" xr:uid="{C427B967-66E2-4E38-A79D-0288179AAE07}"/>
    <cellStyle name="Čárka 2 4 2 4 2 2" xfId="1635" xr:uid="{FE79B6AE-1D44-4BDB-AC4C-ADFD781A4B60}"/>
    <cellStyle name="Čárka 2 4 2 4 3" xfId="1188" xr:uid="{981AD8F1-C29A-4797-89E8-7F0E461F274C}"/>
    <cellStyle name="Čárka 2 4 2 5" xfId="342" xr:uid="{099BBE70-1429-4C6C-AF88-FEEBD20002EF}"/>
    <cellStyle name="Čárka 2 4 2 5 2" xfId="789" xr:uid="{3306D092-7CB0-4476-80E8-0FA789ED2437}"/>
    <cellStyle name="Čárka 2 4 2 5 2 2" xfId="1684" xr:uid="{4DEE2E22-7849-433F-8EBD-488E5D4B1F1F}"/>
    <cellStyle name="Čárka 2 4 2 5 3" xfId="1237" xr:uid="{883A795C-9EF6-44BF-820E-96FDFF20A2C8}"/>
    <cellStyle name="Čárka 2 4 2 6" xfId="541" xr:uid="{B246E17B-9FC7-434E-AACC-22452B629B73}"/>
    <cellStyle name="Čárka 2 4 2 6 2" xfId="1436" xr:uid="{370A1ECF-AF32-477B-B92C-80920B5695DF}"/>
    <cellStyle name="Čárka 2 4 2 7" xfId="989" xr:uid="{21BEDE9B-0F27-40B0-8EA4-99E49473CFBD}"/>
    <cellStyle name="Čárka 2 4 3" xfId="117" xr:uid="{36BA6FF4-0E3E-4F6A-AC23-C8F5E9661302}"/>
    <cellStyle name="Čárka 2 4 3 2" xfId="217" xr:uid="{E1D53FE0-04FE-4062-890C-49A96D1B26F0}"/>
    <cellStyle name="Čárka 2 4 3 2 2" xfId="467" xr:uid="{1BEDBB49-DB15-4F29-9DF2-D916FF7BC648}"/>
    <cellStyle name="Čárka 2 4 3 2 2 2" xfId="914" xr:uid="{06AE7081-90D2-4E00-890E-7D5D45BD76F7}"/>
    <cellStyle name="Čárka 2 4 3 2 2 2 2" xfId="1809" xr:uid="{5EA31A1C-9337-4A6E-BDA6-7EC00E5F2AB4}"/>
    <cellStyle name="Čárka 2 4 3 2 2 3" xfId="1362" xr:uid="{DB0B54C0-8F6B-4123-8DF1-F4B1001A30A4}"/>
    <cellStyle name="Čárka 2 4 3 2 3" xfId="666" xr:uid="{9AB34523-2328-4A00-B73F-56E30F5C29C4}"/>
    <cellStyle name="Čárka 2 4 3 2 3 2" xfId="1561" xr:uid="{C2134A4A-41BE-4020-97CC-31398BDB3BC4}"/>
    <cellStyle name="Čárka 2 4 3 2 4" xfId="1114" xr:uid="{8286D271-5162-481F-963F-7E97B81368D8}"/>
    <cellStyle name="Čárka 2 4 3 3" xfId="367" xr:uid="{665CBD00-881E-4F3F-B376-029B88E46841}"/>
    <cellStyle name="Čárka 2 4 3 3 2" xfId="814" xr:uid="{337E7CC9-8AE7-4867-8F1A-E819C3CCAB3D}"/>
    <cellStyle name="Čárka 2 4 3 3 2 2" xfId="1709" xr:uid="{2B770C34-921C-4662-8580-A1480D01DDB4}"/>
    <cellStyle name="Čárka 2 4 3 3 3" xfId="1262" xr:uid="{0A2C0DE9-EB94-4DFC-9053-ED2A742B9C14}"/>
    <cellStyle name="Čárka 2 4 3 4" xfId="566" xr:uid="{AACE38BC-DEAC-4A09-8677-615F42182462}"/>
    <cellStyle name="Čárka 2 4 3 4 2" xfId="1461" xr:uid="{A01DFE18-053F-44BB-9011-96AAD2C11290}"/>
    <cellStyle name="Čárka 2 4 3 5" xfId="1014" xr:uid="{E568332B-DAFF-45E3-9EA8-51EED8E3155D}"/>
    <cellStyle name="Čárka 2 4 4" xfId="167" xr:uid="{C8FF7155-1087-44FA-BB41-9F9D20F6F898}"/>
    <cellStyle name="Čárka 2 4 4 2" xfId="417" xr:uid="{6CD386F3-E13B-4442-8965-C3BECF7EDDD4}"/>
    <cellStyle name="Čárka 2 4 4 2 2" xfId="864" xr:uid="{F66AB0B6-8703-4D30-876A-D75663A75769}"/>
    <cellStyle name="Čárka 2 4 4 2 2 2" xfId="1759" xr:uid="{A7676F07-1270-41B6-854D-054E35266AD4}"/>
    <cellStyle name="Čárka 2 4 4 2 3" xfId="1312" xr:uid="{A0A007AA-A48B-4570-A95F-0A302E6A789B}"/>
    <cellStyle name="Čárka 2 4 4 3" xfId="616" xr:uid="{F65EC54F-922D-4227-BB0C-8CEB9BE88751}"/>
    <cellStyle name="Čárka 2 4 4 3 2" xfId="1511" xr:uid="{86E573AF-8C3C-459F-9DDA-75323BB741E0}"/>
    <cellStyle name="Čárka 2 4 4 4" xfId="1064" xr:uid="{B900DC19-68AA-4D66-93A1-B0F7BACFD5F4}"/>
    <cellStyle name="Čárka 2 4 5" xfId="267" xr:uid="{93B83575-AA55-4D0A-8BB1-A471FA6CEEE5}"/>
    <cellStyle name="Čárka 2 4 5 2" xfId="716" xr:uid="{7F77339F-EF55-452B-A2B1-B785735DD224}"/>
    <cellStyle name="Čárka 2 4 5 2 2" xfId="1611" xr:uid="{9741716F-A8D3-447D-953A-2D89A44FEA70}"/>
    <cellStyle name="Čárka 2 4 5 3" xfId="1164" xr:uid="{B73A195E-CE35-41FB-9AA1-F23125A10AF5}"/>
    <cellStyle name="Čárka 2 4 6" xfId="318" xr:uid="{FBFEA79B-9969-4933-B3AE-5BDC22FB7944}"/>
    <cellStyle name="Čárka 2 4 6 2" xfId="765" xr:uid="{DF73053B-70A3-42CC-AAC4-23970D0035D3}"/>
    <cellStyle name="Čárka 2 4 6 2 2" xfId="1660" xr:uid="{BDD05584-879F-4658-B2E6-CE5E46410B6F}"/>
    <cellStyle name="Čárka 2 4 6 3" xfId="1213" xr:uid="{3F1768CC-3A64-403C-96ED-16CEFC7C2D68}"/>
    <cellStyle name="Čárka 2 4 7" xfId="517" xr:uid="{C811C9AB-D1F4-4759-9197-BABB3B4F678F}"/>
    <cellStyle name="Čárka 2 4 7 2" xfId="1412" xr:uid="{A94F457D-E179-449A-80AA-C74A6AABD4EF}"/>
    <cellStyle name="Čárka 2 4 8" xfId="964" xr:uid="{EBF1AC7E-EDAE-44A4-8F4D-E14F4D2C9F28}"/>
    <cellStyle name="Čárka 2 5" xfId="67" xr:uid="{16B7F69E-D56A-42C9-9FC3-A3F94D37CF9F}"/>
    <cellStyle name="Čárka 2 5 2" xfId="93" xr:uid="{AD348668-9A43-4CD7-A3C3-C3CCA87529BE}"/>
    <cellStyle name="Čárka 2 5 2 2" xfId="143" xr:uid="{D56F620B-110E-4BA1-8BAC-7C711ECB6548}"/>
    <cellStyle name="Čárka 2 5 2 2 2" xfId="243" xr:uid="{10CA970A-E91D-4F52-9D48-614920FDD52A}"/>
    <cellStyle name="Čárka 2 5 2 2 2 2" xfId="493" xr:uid="{66AA7BA3-91B3-42BA-9806-BDB789CC8EE7}"/>
    <cellStyle name="Čárka 2 5 2 2 2 2 2" xfId="940" xr:uid="{539B9CE4-5459-42B2-92EA-8242F61E1EB0}"/>
    <cellStyle name="Čárka 2 5 2 2 2 2 2 2" xfId="1835" xr:uid="{FEAEAB57-6CCB-49B5-B475-6068AD5423ED}"/>
    <cellStyle name="Čárka 2 5 2 2 2 2 3" xfId="1388" xr:uid="{9914C54F-3F90-4F6D-ACE5-7685C11650B8}"/>
    <cellStyle name="Čárka 2 5 2 2 2 3" xfId="692" xr:uid="{3D8D30E3-B5B8-4EDB-AF8B-970D519A0346}"/>
    <cellStyle name="Čárka 2 5 2 2 2 3 2" xfId="1587" xr:uid="{31A69260-1FEB-428B-856D-D7B1F7071398}"/>
    <cellStyle name="Čárka 2 5 2 2 2 4" xfId="1140" xr:uid="{867418F9-216C-495B-BFA2-B7C54AE468B9}"/>
    <cellStyle name="Čárka 2 5 2 2 3" xfId="393" xr:uid="{41048DAE-98D2-4199-90FE-6BC0A800B2F2}"/>
    <cellStyle name="Čárka 2 5 2 2 3 2" xfId="840" xr:uid="{3833E65A-570B-4EA7-9270-30851B6AB1E9}"/>
    <cellStyle name="Čárka 2 5 2 2 3 2 2" xfId="1735" xr:uid="{6E5B280D-39FF-4C3C-8C20-4ADDFB412D4E}"/>
    <cellStyle name="Čárka 2 5 2 2 3 3" xfId="1288" xr:uid="{21BBCCBC-0735-4847-8173-5EDD1A84FCE1}"/>
    <cellStyle name="Čárka 2 5 2 2 4" xfId="592" xr:uid="{A08D8B0F-D564-4344-939E-6D87FB9A1F06}"/>
    <cellStyle name="Čárka 2 5 2 2 4 2" xfId="1487" xr:uid="{0ED3E727-8DC8-4D24-BF42-DF3BB9348877}"/>
    <cellStyle name="Čárka 2 5 2 2 5" xfId="1040" xr:uid="{74C2516A-1B21-4F61-9EA8-4B50C8F406F9}"/>
    <cellStyle name="Čárka 2 5 2 3" xfId="193" xr:uid="{8580CF8E-BE31-4055-83B7-22A734CCEE91}"/>
    <cellStyle name="Čárka 2 5 2 3 2" xfId="443" xr:uid="{22ED1705-FD47-4286-A37D-54BE61CAC3C6}"/>
    <cellStyle name="Čárka 2 5 2 3 2 2" xfId="890" xr:uid="{C286E3A7-F712-4E5B-ABA8-2A4DA1075082}"/>
    <cellStyle name="Čárka 2 5 2 3 2 2 2" xfId="1785" xr:uid="{F43C8E28-1128-467C-A5BA-2E508640DCB8}"/>
    <cellStyle name="Čárka 2 5 2 3 2 3" xfId="1338" xr:uid="{3553C30B-0ECD-4A3B-86A8-9D53195E53D9}"/>
    <cellStyle name="Čárka 2 5 2 3 3" xfId="642" xr:uid="{FB326CA5-AF94-4413-948E-22EE0F72AECF}"/>
    <cellStyle name="Čárka 2 5 2 3 3 2" xfId="1537" xr:uid="{5D2AA27F-832F-49FC-958E-A8863B98B3B2}"/>
    <cellStyle name="Čárka 2 5 2 3 4" xfId="1090" xr:uid="{083F69B8-9E0E-4893-862F-25C308D7B120}"/>
    <cellStyle name="Čárka 2 5 2 4" xfId="294" xr:uid="{318F5D97-B122-42AB-88C4-7B8FE59958A3}"/>
    <cellStyle name="Čárka 2 5 2 4 2" xfId="741" xr:uid="{201B49D4-DD0E-4C2F-8BB5-AF7948989B15}"/>
    <cellStyle name="Čárka 2 5 2 4 2 2" xfId="1636" xr:uid="{BB9D2F97-617F-4E1D-A085-B2789C0FB7B7}"/>
    <cellStyle name="Čárka 2 5 2 4 3" xfId="1189" xr:uid="{AF7021F9-4D72-45EC-852F-F2A6FDA07F58}"/>
    <cellStyle name="Čárka 2 5 2 5" xfId="343" xr:uid="{9ED36AEA-70EF-428E-BBDF-555C1E34FB4F}"/>
    <cellStyle name="Čárka 2 5 2 5 2" xfId="790" xr:uid="{9B07EEAE-6667-428E-8B9F-739710C17C2F}"/>
    <cellStyle name="Čárka 2 5 2 5 2 2" xfId="1685" xr:uid="{4A39662B-FF33-46B5-BFDF-FFD8198AF30D}"/>
    <cellStyle name="Čárka 2 5 2 5 3" xfId="1238" xr:uid="{B6F9C6B1-A0B0-44F4-8B9C-7759D0E4107C}"/>
    <cellStyle name="Čárka 2 5 2 6" xfId="542" xr:uid="{2280BC6C-1B27-471C-9B78-91805AD84F6B}"/>
    <cellStyle name="Čárka 2 5 2 6 2" xfId="1437" xr:uid="{C47BA781-19B8-4769-B795-A50765EC1B26}"/>
    <cellStyle name="Čárka 2 5 2 7" xfId="990" xr:uid="{C75D048D-B5BE-469D-AC86-5CDC12F7EA7A}"/>
    <cellStyle name="Čárka 2 5 3" xfId="118" xr:uid="{78DBC43B-A414-4DF7-8DDE-BFA3370DAA71}"/>
    <cellStyle name="Čárka 2 5 3 2" xfId="218" xr:uid="{8B7C6ECC-653C-445E-84D5-F7D39DFAD221}"/>
    <cellStyle name="Čárka 2 5 3 2 2" xfId="468" xr:uid="{5ABEFEE5-68CF-4F8A-BB8A-4267DA37CF1A}"/>
    <cellStyle name="Čárka 2 5 3 2 2 2" xfId="915" xr:uid="{53669B6C-1DC2-43A3-838A-5D76087E25EA}"/>
    <cellStyle name="Čárka 2 5 3 2 2 2 2" xfId="1810" xr:uid="{D43B4E00-AD4F-42EB-B9A8-3CC6AE90FE98}"/>
    <cellStyle name="Čárka 2 5 3 2 2 3" xfId="1363" xr:uid="{EBDEE67D-6614-43E9-9488-2B74B580190E}"/>
    <cellStyle name="Čárka 2 5 3 2 3" xfId="667" xr:uid="{17BDECDC-0CF4-4C8B-B703-AF20E5D56688}"/>
    <cellStyle name="Čárka 2 5 3 2 3 2" xfId="1562" xr:uid="{37DC2850-6B1A-4495-B874-6A45E1B75633}"/>
    <cellStyle name="Čárka 2 5 3 2 4" xfId="1115" xr:uid="{7FD8D344-6F03-41D6-8D2C-E2F52A870A34}"/>
    <cellStyle name="Čárka 2 5 3 3" xfId="368" xr:uid="{24D3ED9B-E107-4374-941C-EEDB7DD6E8E9}"/>
    <cellStyle name="Čárka 2 5 3 3 2" xfId="815" xr:uid="{DA48114E-5BF6-4DCB-AA4C-87DCC740141E}"/>
    <cellStyle name="Čárka 2 5 3 3 2 2" xfId="1710" xr:uid="{4EC1B535-835C-4293-928C-F8BFA636F3FE}"/>
    <cellStyle name="Čárka 2 5 3 3 3" xfId="1263" xr:uid="{17F2680A-A770-494F-BC6F-BEB7154A2820}"/>
    <cellStyle name="Čárka 2 5 3 4" xfId="567" xr:uid="{9E59B54C-C762-4B2D-9FAE-A53788E40B47}"/>
    <cellStyle name="Čárka 2 5 3 4 2" xfId="1462" xr:uid="{0FF63865-8D69-4E4B-889A-09A52A1B178A}"/>
    <cellStyle name="Čárka 2 5 3 5" xfId="1015" xr:uid="{E3D09D99-D560-4E21-AD59-19192F8C5DDF}"/>
    <cellStyle name="Čárka 2 5 4" xfId="168" xr:uid="{032F871B-1FD4-4B42-B2BD-8731438EB07C}"/>
    <cellStyle name="Čárka 2 5 4 2" xfId="418" xr:uid="{3A3022F7-B7A6-4922-A5E2-63DB46643959}"/>
    <cellStyle name="Čárka 2 5 4 2 2" xfId="865" xr:uid="{F16C1600-3B26-4FB3-83C5-97FEF182FFF5}"/>
    <cellStyle name="Čárka 2 5 4 2 2 2" xfId="1760" xr:uid="{9ECF5F68-25A2-453A-AE99-D38050347F81}"/>
    <cellStyle name="Čárka 2 5 4 2 3" xfId="1313" xr:uid="{FCB618FF-0E93-4B95-9F97-E99CBEB02E3B}"/>
    <cellStyle name="Čárka 2 5 4 3" xfId="617" xr:uid="{C5DCE2B1-422B-4B7F-9B04-C0931D8AA337}"/>
    <cellStyle name="Čárka 2 5 4 3 2" xfId="1512" xr:uid="{83276BA8-5DE7-46B1-8135-CEEA348C9A8F}"/>
    <cellStyle name="Čárka 2 5 4 4" xfId="1065" xr:uid="{761C67D0-B9EC-46EF-98A0-6B4F8E68D30F}"/>
    <cellStyle name="Čárka 2 5 5" xfId="269" xr:uid="{1DB5AF82-6492-42C2-B074-DCC097107220}"/>
    <cellStyle name="Čárka 2 5 5 2" xfId="717" xr:uid="{27B385C3-7476-45CF-AE9C-5AA7628472E0}"/>
    <cellStyle name="Čárka 2 5 5 2 2" xfId="1612" xr:uid="{C570E648-95EE-4E8B-99E6-ECA1930329E8}"/>
    <cellStyle name="Čárka 2 5 5 3" xfId="1165" xr:uid="{D7A90FD9-D27A-4EF0-952D-82116BF9D55D}"/>
    <cellStyle name="Čárka 2 5 6" xfId="319" xr:uid="{D66163DD-F6D9-4E5F-926A-F4E71D3B8702}"/>
    <cellStyle name="Čárka 2 5 6 2" xfId="766" xr:uid="{4C7AE18E-C21B-435B-ACB7-A47F1FD96A34}"/>
    <cellStyle name="Čárka 2 5 6 2 2" xfId="1661" xr:uid="{A7DDBAC0-4700-4EBB-8E9E-AB9737A0DC1D}"/>
    <cellStyle name="Čárka 2 5 6 3" xfId="1214" xr:uid="{CBF820EF-BB4E-42EE-B745-77EDC5B7BB59}"/>
    <cellStyle name="Čárka 2 5 7" xfId="518" xr:uid="{CB364267-93D2-4D75-BC0E-38552E0F2DFD}"/>
    <cellStyle name="Čárka 2 5 7 2" xfId="1413" xr:uid="{2BBB3A4C-4BBC-4FE8-B88F-5F484A6E9B5C}"/>
    <cellStyle name="Čárka 2 5 8" xfId="965" xr:uid="{522983A0-7F54-4602-8445-009BB6606AF8}"/>
    <cellStyle name="Čárka 2 6" xfId="71" xr:uid="{1D5743E7-6932-4895-A50A-239DF7747256}"/>
    <cellStyle name="Čárka 2 6 2" xfId="96" xr:uid="{57CD15B8-884D-47FD-8930-7133BAF70D43}"/>
    <cellStyle name="Čárka 2 6 2 2" xfId="146" xr:uid="{8C3CFD22-2283-4655-A984-2A823250FC83}"/>
    <cellStyle name="Čárka 2 6 2 2 2" xfId="246" xr:uid="{23D9E13C-8B92-41FE-9E2F-E0A1EAA66115}"/>
    <cellStyle name="Čárka 2 6 2 2 2 2" xfId="496" xr:uid="{5CD73D5D-6A21-4B83-A186-5524747C5029}"/>
    <cellStyle name="Čárka 2 6 2 2 2 2 2" xfId="943" xr:uid="{507620D2-82ED-487A-8F50-60505BE9D834}"/>
    <cellStyle name="Čárka 2 6 2 2 2 2 2 2" xfId="1838" xr:uid="{EF1DD360-021B-43BC-9C5E-F72960000514}"/>
    <cellStyle name="Čárka 2 6 2 2 2 2 3" xfId="1391" xr:uid="{3825EAD4-DB00-4B09-8D74-C5017FF6B760}"/>
    <cellStyle name="Čárka 2 6 2 2 2 3" xfId="695" xr:uid="{929EE8D7-CC38-471E-8614-3C2AB520CB6E}"/>
    <cellStyle name="Čárka 2 6 2 2 2 3 2" xfId="1590" xr:uid="{040CF171-4283-4ECC-8343-63DC2226C594}"/>
    <cellStyle name="Čárka 2 6 2 2 2 4" xfId="1143" xr:uid="{E5846098-9232-48F8-8289-06119B7FE345}"/>
    <cellStyle name="Čárka 2 6 2 2 3" xfId="396" xr:uid="{47C8B05E-06E4-42D3-8473-3A5A70BDBAE5}"/>
    <cellStyle name="Čárka 2 6 2 2 3 2" xfId="843" xr:uid="{14AC3543-340D-4774-BDEA-A48FCA5DC4B7}"/>
    <cellStyle name="Čárka 2 6 2 2 3 2 2" xfId="1738" xr:uid="{92160EE3-23EF-42AC-8F1C-27889AC1D74B}"/>
    <cellStyle name="Čárka 2 6 2 2 3 3" xfId="1291" xr:uid="{03FF4BC0-BC01-445E-85D6-7EA326A41713}"/>
    <cellStyle name="Čárka 2 6 2 2 4" xfId="595" xr:uid="{39364863-0C06-4621-A517-C33EA18242BA}"/>
    <cellStyle name="Čárka 2 6 2 2 4 2" xfId="1490" xr:uid="{9D13AC66-F5A4-4B47-9522-9CF55C877842}"/>
    <cellStyle name="Čárka 2 6 2 2 5" xfId="1043" xr:uid="{25CC8024-B91C-45AA-99E1-B0F0EF6C5B4B}"/>
    <cellStyle name="Čárka 2 6 2 3" xfId="196" xr:uid="{DED7850B-191C-4C49-857C-1EDD8A724ED3}"/>
    <cellStyle name="Čárka 2 6 2 3 2" xfId="446" xr:uid="{E23F9DD8-8DE3-4AEA-89A4-834B3745B2F4}"/>
    <cellStyle name="Čárka 2 6 2 3 2 2" xfId="893" xr:uid="{240A896C-20A9-493D-8166-EDB894795700}"/>
    <cellStyle name="Čárka 2 6 2 3 2 2 2" xfId="1788" xr:uid="{E2124DF6-393D-47C2-93B5-35FA5D83D4DB}"/>
    <cellStyle name="Čárka 2 6 2 3 2 3" xfId="1341" xr:uid="{1EA74FDA-FDAF-4D56-B9A1-711A29B0DC77}"/>
    <cellStyle name="Čárka 2 6 2 3 3" xfId="645" xr:uid="{3EC592B3-296F-49BA-A39E-8CE377704272}"/>
    <cellStyle name="Čárka 2 6 2 3 3 2" xfId="1540" xr:uid="{3797E6C2-C2CF-4E03-9E1E-8D4E8DD73E84}"/>
    <cellStyle name="Čárka 2 6 2 3 4" xfId="1093" xr:uid="{82E56777-F657-40F7-995B-09EA0F1B404C}"/>
    <cellStyle name="Čárka 2 6 2 4" xfId="297" xr:uid="{D73220A8-9E0B-4707-8C1E-16A596F210AC}"/>
    <cellStyle name="Čárka 2 6 2 4 2" xfId="744" xr:uid="{35D7897A-3A53-468C-84BE-2C292FC942AB}"/>
    <cellStyle name="Čárka 2 6 2 4 2 2" xfId="1639" xr:uid="{89B980D3-DCE5-4A4F-8B07-CDA6F56915DA}"/>
    <cellStyle name="Čárka 2 6 2 4 3" xfId="1192" xr:uid="{4EB25898-7017-433B-8D71-2BE99B3621F0}"/>
    <cellStyle name="Čárka 2 6 2 5" xfId="346" xr:uid="{BFC7BEFF-EE36-4C48-A1AB-150F2B965B63}"/>
    <cellStyle name="Čárka 2 6 2 5 2" xfId="793" xr:uid="{32A4C273-D3B1-471C-B173-46AA514ED1E5}"/>
    <cellStyle name="Čárka 2 6 2 5 2 2" xfId="1688" xr:uid="{63D8F92F-4684-4C19-B7B1-60E0C27D0691}"/>
    <cellStyle name="Čárka 2 6 2 5 3" xfId="1241" xr:uid="{EA0959B6-93C3-43FC-9411-C191D171E80E}"/>
    <cellStyle name="Čárka 2 6 2 6" xfId="545" xr:uid="{25E11957-0AE8-4704-B228-57358724EE99}"/>
    <cellStyle name="Čárka 2 6 2 6 2" xfId="1440" xr:uid="{A54C1893-F6D9-428E-9A0E-5C60ADABBC91}"/>
    <cellStyle name="Čárka 2 6 2 7" xfId="993" xr:uid="{704C89A9-CC19-44B4-BDC0-E667C5C657E8}"/>
    <cellStyle name="Čárka 2 6 3" xfId="121" xr:uid="{1ED31EBB-43F9-43FF-B0DA-8AD32A344658}"/>
    <cellStyle name="Čárka 2 6 3 2" xfId="221" xr:uid="{9BE1EC71-F212-4D93-920A-2A2A22C40785}"/>
    <cellStyle name="Čárka 2 6 3 2 2" xfId="471" xr:uid="{83689851-B76D-4130-875A-24EC275F792A}"/>
    <cellStyle name="Čárka 2 6 3 2 2 2" xfId="918" xr:uid="{7C76FD1C-F064-428A-9B3B-893657EEEFD1}"/>
    <cellStyle name="Čárka 2 6 3 2 2 2 2" xfId="1813" xr:uid="{C31EEE65-A895-4A10-963C-947E30BDA79B}"/>
    <cellStyle name="Čárka 2 6 3 2 2 3" xfId="1366" xr:uid="{3A16D377-F342-4D4E-BDDA-538655990233}"/>
    <cellStyle name="Čárka 2 6 3 2 3" xfId="670" xr:uid="{2DC46FA0-7951-4F5E-848A-FE9EA7F43D68}"/>
    <cellStyle name="Čárka 2 6 3 2 3 2" xfId="1565" xr:uid="{5A56DF52-04E4-4112-A305-1147184AC454}"/>
    <cellStyle name="Čárka 2 6 3 2 4" xfId="1118" xr:uid="{EE092018-629B-449A-BDA4-EB9D44231A26}"/>
    <cellStyle name="Čárka 2 6 3 3" xfId="371" xr:uid="{BE564AE1-4915-4E91-8006-4783AF81DB76}"/>
    <cellStyle name="Čárka 2 6 3 3 2" xfId="818" xr:uid="{E08188B8-D5A0-4B8A-99FD-6AC7D1564D75}"/>
    <cellStyle name="Čárka 2 6 3 3 2 2" xfId="1713" xr:uid="{EC09FB39-A2B0-428E-9006-98ED4F71B0B7}"/>
    <cellStyle name="Čárka 2 6 3 3 3" xfId="1266" xr:uid="{97A88980-9C26-49FF-B981-6AC9B116E106}"/>
    <cellStyle name="Čárka 2 6 3 4" xfId="570" xr:uid="{5C5C24E4-FA2D-4FD7-AC8B-F185C65152E9}"/>
    <cellStyle name="Čárka 2 6 3 4 2" xfId="1465" xr:uid="{7DE62BBF-CAF2-4C4B-8707-E8229B467081}"/>
    <cellStyle name="Čárka 2 6 3 5" xfId="1018" xr:uid="{525300E0-720D-4993-B4CE-E03DB19142AA}"/>
    <cellStyle name="Čárka 2 6 4" xfId="171" xr:uid="{1DF73404-1C57-4E00-8904-7A6F995C9FA6}"/>
    <cellStyle name="Čárka 2 6 4 2" xfId="421" xr:uid="{03521A08-2790-4057-BFA6-8C58D4CD9C92}"/>
    <cellStyle name="Čárka 2 6 4 2 2" xfId="868" xr:uid="{B675D618-50F9-461D-92EA-20449DB3AE93}"/>
    <cellStyle name="Čárka 2 6 4 2 2 2" xfId="1763" xr:uid="{BDE5CA63-D187-45E0-BA42-7B72BB8F5490}"/>
    <cellStyle name="Čárka 2 6 4 2 3" xfId="1316" xr:uid="{AA7EB508-825C-4957-BE90-4D51C51DE2C7}"/>
    <cellStyle name="Čárka 2 6 4 3" xfId="620" xr:uid="{3E50297A-BD39-4B3D-8D3A-3D889336AACA}"/>
    <cellStyle name="Čárka 2 6 4 3 2" xfId="1515" xr:uid="{A1D47821-AE3E-4605-900E-236887642B37}"/>
    <cellStyle name="Čárka 2 6 4 4" xfId="1068" xr:uid="{7CA49E95-B616-4443-A757-2629DFE02166}"/>
    <cellStyle name="Čárka 2 6 5" xfId="272" xr:uid="{11D6909D-7234-443B-B1C2-5029181C0BF3}"/>
    <cellStyle name="Čárka 2 6 5 2" xfId="719" xr:uid="{5608191E-914F-4840-9EAF-F33083D5C996}"/>
    <cellStyle name="Čárka 2 6 5 2 2" xfId="1614" xr:uid="{64814F96-AAE9-41F7-903A-D703E21C4EC2}"/>
    <cellStyle name="Čárka 2 6 5 3" xfId="1167" xr:uid="{283F5001-0378-4231-B6B5-042FF0C9541F}"/>
    <cellStyle name="Čárka 2 6 6" xfId="321" xr:uid="{CF5373F7-4471-4169-92B5-1590C516F5A0}"/>
    <cellStyle name="Čárka 2 6 6 2" xfId="768" xr:uid="{88C8FE68-E1CA-44E8-AA70-508228AD9B77}"/>
    <cellStyle name="Čárka 2 6 6 2 2" xfId="1663" xr:uid="{550C7139-D0AA-4C35-80B5-37F8C6D1F89E}"/>
    <cellStyle name="Čárka 2 6 6 3" xfId="1216" xr:uid="{98B3A461-1AA2-47F3-B665-4D1306E7004E}"/>
    <cellStyle name="Čárka 2 6 7" xfId="520" xr:uid="{CB1B566C-0F46-4AE9-9D08-9AB330879EAE}"/>
    <cellStyle name="Čárka 2 6 7 2" xfId="1415" xr:uid="{068B7100-7DFF-47B9-904A-CCD40EC0B40A}"/>
    <cellStyle name="Čárka 2 6 8" xfId="968" xr:uid="{F2541EB2-2D5A-4ABA-BFD9-3211D3FCE6A7}"/>
    <cellStyle name="Čárka 3" xfId="19" xr:uid="{00000000-0005-0000-0000-00003B000000}"/>
    <cellStyle name="Čárka 3 2" xfId="30" xr:uid="{00000000-0005-0000-0000-00003B000000}"/>
    <cellStyle name="Čárka 4" xfId="4" xr:uid="{00000000-0005-0000-0000-000033000000}"/>
    <cellStyle name="Čárka 5" xfId="26" xr:uid="{00000000-0005-0000-0000-000048000000}"/>
    <cellStyle name="Čárka 6" xfId="90" xr:uid="{4B858242-D2B1-42F3-B318-93CFF0453AD0}"/>
    <cellStyle name="Čárka 6 2" xfId="140" xr:uid="{C81FCEA0-A530-42C9-A28E-F23CFDFA24E6}"/>
    <cellStyle name="Čárka 6 2 2" xfId="240" xr:uid="{584E4E78-E49E-4430-A118-63CF57D3DCFD}"/>
    <cellStyle name="Čárka 6 2 2 2" xfId="490" xr:uid="{26FB28FD-ECE7-4DC2-8DE9-9BBB017B5D95}"/>
    <cellStyle name="Čárka 6 2 2 2 2" xfId="937" xr:uid="{40E20D45-5E86-4381-BFBA-EA1868F98154}"/>
    <cellStyle name="Čárka 6 2 2 2 2 2" xfId="1832" xr:uid="{CE82F1D4-A91E-4DF3-BB73-990620D1637D}"/>
    <cellStyle name="Čárka 6 2 2 2 3" xfId="1385" xr:uid="{701F747E-7256-4008-B2B9-28A2224BA49F}"/>
    <cellStyle name="Čárka 6 2 2 3" xfId="689" xr:uid="{E93B0DF4-D03E-45D0-9F26-B67FC765F72E}"/>
    <cellStyle name="Čárka 6 2 2 3 2" xfId="1584" xr:uid="{66B5695C-4286-4494-8DA6-29B220FEE33A}"/>
    <cellStyle name="Čárka 6 2 2 4" xfId="1137" xr:uid="{D8E4E6B1-131A-4F10-8420-EE988131F1B6}"/>
    <cellStyle name="Čárka 6 2 3" xfId="390" xr:uid="{8D95BAC7-4DE1-46FF-8257-625D6555052C}"/>
    <cellStyle name="Čárka 6 2 3 2" xfId="837" xr:uid="{3797B68A-0950-482E-9A63-BA85112A6338}"/>
    <cellStyle name="Čárka 6 2 3 2 2" xfId="1732" xr:uid="{FE76FC42-1179-42DD-87D4-DA4BFD127D3A}"/>
    <cellStyle name="Čárka 6 2 3 3" xfId="1285" xr:uid="{03E1CB52-F46C-447E-9683-54BA8F54E3F3}"/>
    <cellStyle name="Čárka 6 2 4" xfId="589" xr:uid="{026272DF-D93F-4D61-9350-2E257342994A}"/>
    <cellStyle name="Čárka 6 2 4 2" xfId="1484" xr:uid="{185D0290-2A27-4862-BB4E-BB8ABA93A271}"/>
    <cellStyle name="Čárka 6 2 5" xfId="1037" xr:uid="{C2398B99-2B76-48B0-92D9-B43B96E23AD9}"/>
    <cellStyle name="Čárka 6 3" xfId="190" xr:uid="{44B94DB5-DBEA-40D1-BCDF-323EC7DCEB52}"/>
    <cellStyle name="Čárka 6 3 2" xfId="440" xr:uid="{6EE64878-B74B-45D3-BA4D-6293C4A1B969}"/>
    <cellStyle name="Čárka 6 3 2 2" xfId="887" xr:uid="{21F122DB-C672-43EC-BBB6-4933774FB3BA}"/>
    <cellStyle name="Čárka 6 3 2 2 2" xfId="1782" xr:uid="{E8C340BB-343F-46DE-BA85-885CE0A2A514}"/>
    <cellStyle name="Čárka 6 3 2 3" xfId="1335" xr:uid="{5DC28028-062A-48B5-B456-D06ECD28019C}"/>
    <cellStyle name="Čárka 6 3 3" xfId="639" xr:uid="{6E401F6F-882A-48A0-97E4-6E9C599455B7}"/>
    <cellStyle name="Čárka 6 3 3 2" xfId="1534" xr:uid="{1C91E8FB-718F-4EDB-85B2-CF454DF958D1}"/>
    <cellStyle name="Čárka 6 3 4" xfId="1087" xr:uid="{4F5550D7-C634-471E-B348-60AEDEAB1036}"/>
    <cellStyle name="Čárka 6 4" xfId="291" xr:uid="{108DE8A3-5979-426F-80F4-7CEE61164D8A}"/>
    <cellStyle name="Čárka 6 4 2" xfId="738" xr:uid="{9DB8FE19-56AA-42E7-9881-26494CCA9BDE}"/>
    <cellStyle name="Čárka 6 4 2 2" xfId="1633" xr:uid="{8DB31D0A-C9A4-4593-A672-DD73DD56DC97}"/>
    <cellStyle name="Čárka 6 4 3" xfId="1186" xr:uid="{7331FFDE-78C4-46F2-BB34-E8E8A60F7AD7}"/>
    <cellStyle name="Čárka 6 5" xfId="340" xr:uid="{97A70260-16BC-4B48-8D19-7043CD328444}"/>
    <cellStyle name="Čárka 6 5 2" xfId="787" xr:uid="{C8A1C240-5D75-4723-ACA1-450306FF73A0}"/>
    <cellStyle name="Čárka 6 5 2 2" xfId="1682" xr:uid="{D451D0D3-51FC-41C3-B394-F62AEDFB3D5D}"/>
    <cellStyle name="Čárka 6 5 3" xfId="1235" xr:uid="{8C74F871-A921-4EA1-9B3D-DCE16574C254}"/>
    <cellStyle name="Čárka 6 6" xfId="539" xr:uid="{45C0EB55-1B55-44A7-AE36-83E197B0D714}"/>
    <cellStyle name="Čárka 6 6 2" xfId="1434" xr:uid="{92EE95B2-3E38-4709-8359-68826DCA3084}"/>
    <cellStyle name="Čárka 6 7" xfId="987" xr:uid="{401DE0F9-D387-4C42-8D73-716493688075}"/>
    <cellStyle name="Čárka 7" xfId="115" xr:uid="{FD0FC04A-618C-410E-BE44-F43BECE11286}"/>
    <cellStyle name="Čárka 7 2" xfId="215" xr:uid="{B5942BF8-7C9F-41C2-BBF2-22511BEF4714}"/>
    <cellStyle name="Čárka 7 2 2" xfId="465" xr:uid="{2D36DCA8-C1C7-4684-BD9A-EEE0D042A1A4}"/>
    <cellStyle name="Čárka 7 2 2 2" xfId="912" xr:uid="{934A7554-3646-4757-B35B-844B9DB48B34}"/>
    <cellStyle name="Čárka 7 2 2 2 2" xfId="1807" xr:uid="{13F3919B-BB47-4ADB-94FA-A5F766DC172B}"/>
    <cellStyle name="Čárka 7 2 2 3" xfId="1360" xr:uid="{3DA32085-A36C-41AB-A528-246682FE6BDC}"/>
    <cellStyle name="Čárka 7 2 3" xfId="664" xr:uid="{DC1437A7-6E8A-4872-AB78-0B284AED779B}"/>
    <cellStyle name="Čárka 7 2 3 2" xfId="1559" xr:uid="{F88D8854-AFA4-4055-BAF2-11BB10B72487}"/>
    <cellStyle name="Čárka 7 2 4" xfId="1112" xr:uid="{5232E3F4-6D4E-4F7E-AFEF-CA1AA02E7149}"/>
    <cellStyle name="Čárka 7 3" xfId="365" xr:uid="{2AC9A9AB-5171-423B-BCF5-A3C5059CE593}"/>
    <cellStyle name="Čárka 7 3 2" xfId="812" xr:uid="{4488B323-C277-4591-8C63-87129B2FD289}"/>
    <cellStyle name="Čárka 7 3 2 2" xfId="1707" xr:uid="{A7826261-B3B6-44C6-9C6D-D33F32229A53}"/>
    <cellStyle name="Čárka 7 3 3" xfId="1260" xr:uid="{39F75DF1-F190-4AB4-83B3-ED7673B90585}"/>
    <cellStyle name="Čárka 7 4" xfId="564" xr:uid="{9B9B18C4-06E8-4C53-B59C-5FD3945B0744}"/>
    <cellStyle name="Čárka 7 4 2" xfId="1459" xr:uid="{8A5C44BD-9E7A-45C1-B3D2-4996EC76D792}"/>
    <cellStyle name="Čárka 7 5" xfId="1012" xr:uid="{C5DDFEB3-2EFF-4202-9A95-307BFE179FB3}"/>
    <cellStyle name="Čárka 8" xfId="165" xr:uid="{1062FDAE-8DB9-4832-BDCF-0F5F841F3F4F}"/>
    <cellStyle name="Čárka 8 2" xfId="415" xr:uid="{37E4A071-3B3C-4CA0-A03C-D95EDFC181B5}"/>
    <cellStyle name="Čárka 8 2 2" xfId="862" xr:uid="{8291E5C7-269D-458D-8FA0-6765A8E52E2B}"/>
    <cellStyle name="Čárka 8 2 2 2" xfId="1757" xr:uid="{73826B68-F056-4F40-B67C-744CE3B138C0}"/>
    <cellStyle name="Čárka 8 2 3" xfId="1310" xr:uid="{7EDF67BB-EF1E-422D-9EB2-75FA153D201A}"/>
    <cellStyle name="Čárka 8 3" xfId="614" xr:uid="{FB96922C-F096-445F-942B-D0F6F56C5A30}"/>
    <cellStyle name="Čárka 8 3 2" xfId="1509" xr:uid="{0500B0FA-C96F-4638-9BF4-6310D0134CF8}"/>
    <cellStyle name="Čárka 8 4" xfId="1062" xr:uid="{21BDC4B9-5C98-48DE-BB89-8F9DDED0D35C}"/>
    <cellStyle name="Čárka 9" xfId="265" xr:uid="{2DE3E26A-002D-4C54-A600-FE1551615014}"/>
    <cellStyle name="Čárka 9 2" xfId="714" xr:uid="{A7278C89-35B2-43ED-AD67-5D1D24D28830}"/>
    <cellStyle name="Čárka 9 2 2" xfId="1609" xr:uid="{B18A11A9-DDE6-4FEA-A743-5D7F55AA8BA1}"/>
    <cellStyle name="Čárka 9 3" xfId="1162" xr:uid="{6065718E-FB64-44E4-B80B-214332B81E50}"/>
    <cellStyle name="Excel Built-in Normal" xfId="64" xr:uid="{1C96A3B1-B2E3-4803-A54E-FF6D89509A41}"/>
    <cellStyle name="Hypertextový odkaz" xfId="1" builtinId="8"/>
    <cellStyle name="Hypertextový odkaz 2" xfId="13" xr:uid="{00000000-0005-0000-0000-00003C000000}"/>
    <cellStyle name="Hypertextový odkaz 2 2" xfId="40" xr:uid="{00000000-0005-0000-0000-00003C000000}"/>
    <cellStyle name="Měna" xfId="69" builtinId="4"/>
    <cellStyle name="Měna 2" xfId="6" xr:uid="{4259430C-7E3A-44DB-8722-A92B5E50D688}"/>
    <cellStyle name="Měna 2 10" xfId="248" xr:uid="{16AA523F-7FA2-46E3-A897-B364D000A419}"/>
    <cellStyle name="Měna 2 10 2" xfId="697" xr:uid="{38F75AAA-4D9C-42C6-B455-B743B55FF6DC}"/>
    <cellStyle name="Měna 2 10 2 2" xfId="1592" xr:uid="{BED4A800-45E9-4965-81D2-A8E127E339A0}"/>
    <cellStyle name="Měna 2 10 3" xfId="1145" xr:uid="{84EDEE18-A448-4E08-BFDA-98684C97A539}"/>
    <cellStyle name="Měna 2 11" xfId="299" xr:uid="{C2F7383F-AE8A-4C07-8634-998D844D6F53}"/>
    <cellStyle name="Měna 2 11 2" xfId="746" xr:uid="{964E5CDA-7381-483D-94F4-99F004913E47}"/>
    <cellStyle name="Měna 2 11 2 2" xfId="1641" xr:uid="{2D7E371E-BD39-424A-B450-0E592AF3AB24}"/>
    <cellStyle name="Měna 2 11 3" xfId="1194" xr:uid="{4F030C62-63AF-4AFE-961D-9472EAA4C02D}"/>
    <cellStyle name="Měna 2 12" xfId="498" xr:uid="{E338B376-E820-43EB-A617-DDB07DE9CBB1}"/>
    <cellStyle name="Měna 2 12 2" xfId="1393" xr:uid="{7B9E6458-9ED0-46D3-A1B0-13AE93D8D422}"/>
    <cellStyle name="Měna 2 13" xfId="945" xr:uid="{1063753E-C732-4D6B-9ADF-BF0AD18F17C2}"/>
    <cellStyle name="Měna 2 2" xfId="16" xr:uid="{7418F2BB-6E0E-4888-8FE3-2A68AFC71D3A}"/>
    <cellStyle name="Měna 2 2 10" xfId="499" xr:uid="{3D9F0F38-7386-4BAE-ADC1-7BE4DD559F42}"/>
    <cellStyle name="Měna 2 2 10 2" xfId="1394" xr:uid="{1E4577B6-3EB6-4538-9A14-1B4CAE15676A}"/>
    <cellStyle name="Měna 2 2 11" xfId="946" xr:uid="{D516C9AC-EDF0-44B8-B35E-4A20AAFC3428}"/>
    <cellStyle name="Měna 2 2 2" xfId="29" xr:uid="{7418F2BB-6E0E-4888-8FE3-2A68AFC71D3A}"/>
    <cellStyle name="Měna 2 2 2 2" xfId="52" xr:uid="{6BD3F4F6-2476-4CEF-8BED-92572113B2D1}"/>
    <cellStyle name="Měna 2 2 2 2 2" xfId="86" xr:uid="{7E7D3079-4750-401F-853E-9984F44EDAA6}"/>
    <cellStyle name="Měna 2 2 2 2 2 2" xfId="136" xr:uid="{1BF4445B-0C6B-473D-99CD-0E4A09F0E498}"/>
    <cellStyle name="Měna 2 2 2 2 2 2 2" xfId="236" xr:uid="{B2178C68-FA25-447B-9717-1F341E72C19A}"/>
    <cellStyle name="Měna 2 2 2 2 2 2 2 2" xfId="486" xr:uid="{14EF4710-EAFB-44E4-B5A6-EDAC1413E7EE}"/>
    <cellStyle name="Měna 2 2 2 2 2 2 2 2 2" xfId="933" xr:uid="{E023E290-4BEF-4564-BECF-D16C772642F2}"/>
    <cellStyle name="Měna 2 2 2 2 2 2 2 2 2 2" xfId="1828" xr:uid="{EC26FD8A-1041-4024-B452-217B2EFD2C4D}"/>
    <cellStyle name="Měna 2 2 2 2 2 2 2 2 3" xfId="1381" xr:uid="{0B4BBA5A-E61A-4D1B-A0B1-0D36DAB0134C}"/>
    <cellStyle name="Měna 2 2 2 2 2 2 2 3" xfId="685" xr:uid="{1814D431-AB9A-4F49-A181-8CC2B4922F1F}"/>
    <cellStyle name="Měna 2 2 2 2 2 2 2 3 2" xfId="1580" xr:uid="{2D410220-FD99-4CCE-BF4B-F7EA919A0E8B}"/>
    <cellStyle name="Měna 2 2 2 2 2 2 2 4" xfId="1133" xr:uid="{BF212291-9EA0-4299-B056-BF49AAE9646E}"/>
    <cellStyle name="Měna 2 2 2 2 2 2 3" xfId="386" xr:uid="{9D18E6A6-7554-4B46-BB52-8E7914284EEA}"/>
    <cellStyle name="Měna 2 2 2 2 2 2 3 2" xfId="833" xr:uid="{644BCF82-C6C9-41E0-B15B-41C217558618}"/>
    <cellStyle name="Měna 2 2 2 2 2 2 3 2 2" xfId="1728" xr:uid="{F7F708A7-AB71-44D9-84B7-848830330DBD}"/>
    <cellStyle name="Měna 2 2 2 2 2 2 3 3" xfId="1281" xr:uid="{9C8CD557-B5B5-4339-8ED9-D9FEAE73F427}"/>
    <cellStyle name="Měna 2 2 2 2 2 2 4" xfId="585" xr:uid="{CA679B16-AEB8-4999-94DE-1D40C85AB6C4}"/>
    <cellStyle name="Měna 2 2 2 2 2 2 4 2" xfId="1480" xr:uid="{D9D14294-9609-4E74-8797-3E0B34E68FBA}"/>
    <cellStyle name="Měna 2 2 2 2 2 2 5" xfId="1033" xr:uid="{1B6CE7B5-E319-4757-A7C9-AE88F7EA2E9F}"/>
    <cellStyle name="Měna 2 2 2 2 2 3" xfId="186" xr:uid="{DBB144CE-6DB6-40F1-BC90-51AC34A0689E}"/>
    <cellStyle name="Měna 2 2 2 2 2 3 2" xfId="436" xr:uid="{D25A298C-1004-42C5-BDB4-06743CF9D433}"/>
    <cellStyle name="Měna 2 2 2 2 2 3 2 2" xfId="883" xr:uid="{78809C4E-6BC0-4AEC-BE6F-253C51667707}"/>
    <cellStyle name="Měna 2 2 2 2 2 3 2 2 2" xfId="1778" xr:uid="{3661D111-0B8A-4468-B069-B951338B408E}"/>
    <cellStyle name="Měna 2 2 2 2 2 3 2 3" xfId="1331" xr:uid="{DF573CB5-BBEA-4CE0-AF62-0935B78C3469}"/>
    <cellStyle name="Měna 2 2 2 2 2 3 3" xfId="635" xr:uid="{61934D8C-423A-4EA0-BE99-9296F8A114DE}"/>
    <cellStyle name="Měna 2 2 2 2 2 3 3 2" xfId="1530" xr:uid="{902D4190-B27E-4D35-8499-295681487700}"/>
    <cellStyle name="Měna 2 2 2 2 2 3 4" xfId="1083" xr:uid="{677DDD06-C8C9-4803-87A5-6F8BBF425E7D}"/>
    <cellStyle name="Měna 2 2 2 2 2 4" xfId="287" xr:uid="{3344569C-4A24-425F-941F-D46884BC1DB4}"/>
    <cellStyle name="Měna 2 2 2 2 2 4 2" xfId="734" xr:uid="{4781BB2C-F030-4E0A-B8D2-BA898D6A1EA0}"/>
    <cellStyle name="Měna 2 2 2 2 2 4 2 2" xfId="1629" xr:uid="{5442B963-B378-4058-89E8-D59131E5C6ED}"/>
    <cellStyle name="Měna 2 2 2 2 2 4 3" xfId="1182" xr:uid="{3DDF626A-FA0F-4540-B3C8-76B18558F2BD}"/>
    <cellStyle name="Měna 2 2 2 2 2 5" xfId="336" xr:uid="{CF6158E2-91BD-4925-9B1C-AE6FBA0EF5C2}"/>
    <cellStyle name="Měna 2 2 2 2 2 5 2" xfId="783" xr:uid="{EDDB38B3-7E13-4EC6-A2B3-0AAF752FD4C6}"/>
    <cellStyle name="Měna 2 2 2 2 2 5 2 2" xfId="1678" xr:uid="{5A5AA2D8-6DF9-4C50-B888-00D8E5D5440D}"/>
    <cellStyle name="Měna 2 2 2 2 2 5 3" xfId="1231" xr:uid="{C427B4C7-8DAA-485F-81D6-D497E7A79E01}"/>
    <cellStyle name="Měna 2 2 2 2 2 6" xfId="535" xr:uid="{E45C2209-45F0-4BF4-BDF4-06601EDCF8F0}"/>
    <cellStyle name="Měna 2 2 2 2 2 6 2" xfId="1430" xr:uid="{065EC929-2449-4499-A189-CC3D660B4896}"/>
    <cellStyle name="Měna 2 2 2 2 2 7" xfId="983" xr:uid="{6831BD53-C685-45F8-BC06-70567647277E}"/>
    <cellStyle name="Měna 2 2 2 2 3" xfId="111" xr:uid="{6D699036-F91C-4DD7-B7CA-C71C417A27FE}"/>
    <cellStyle name="Měna 2 2 2 2 3 2" xfId="211" xr:uid="{4357772B-AD69-4380-A1A6-319AB33C2195}"/>
    <cellStyle name="Měna 2 2 2 2 3 2 2" xfId="461" xr:uid="{928A34B5-5491-47E9-BD98-93736F95510A}"/>
    <cellStyle name="Měna 2 2 2 2 3 2 2 2" xfId="908" xr:uid="{191E8F1C-C0B9-4767-80A5-FAB057033000}"/>
    <cellStyle name="Měna 2 2 2 2 3 2 2 2 2" xfId="1803" xr:uid="{26A708F8-8B99-4C33-A774-A09B054BE872}"/>
    <cellStyle name="Měna 2 2 2 2 3 2 2 3" xfId="1356" xr:uid="{698D3AEE-A0F1-4C44-993F-76D26274FB43}"/>
    <cellStyle name="Měna 2 2 2 2 3 2 3" xfId="660" xr:uid="{6D669204-B5A7-4B26-B7FB-B9747609EF71}"/>
    <cellStyle name="Měna 2 2 2 2 3 2 3 2" xfId="1555" xr:uid="{1964549D-6861-41A7-AC36-C282F94D9C5F}"/>
    <cellStyle name="Měna 2 2 2 2 3 2 4" xfId="1108" xr:uid="{C4424C17-9A2D-4F95-82C5-EB2ACA0FD11B}"/>
    <cellStyle name="Měna 2 2 2 2 3 3" xfId="361" xr:uid="{DFC56AB2-8D90-40B6-9924-B7D3B99AE9F8}"/>
    <cellStyle name="Měna 2 2 2 2 3 3 2" xfId="808" xr:uid="{F381984E-AB08-4DA5-BBEE-CDA256D1C521}"/>
    <cellStyle name="Měna 2 2 2 2 3 3 2 2" xfId="1703" xr:uid="{5A95F6A1-AD36-41EB-AFBC-B53AF8BE3B9D}"/>
    <cellStyle name="Měna 2 2 2 2 3 3 3" xfId="1256" xr:uid="{5EBCB26C-EAEB-4FDE-9C43-B6A187F86895}"/>
    <cellStyle name="Měna 2 2 2 2 3 4" xfId="560" xr:uid="{602A81A5-CB0A-407A-A9E6-A2E66C1A2D89}"/>
    <cellStyle name="Měna 2 2 2 2 3 4 2" xfId="1455" xr:uid="{5FAA5EFC-2178-4929-902D-190A91919DA6}"/>
    <cellStyle name="Měna 2 2 2 2 3 5" xfId="1008" xr:uid="{D8C0E607-AF20-47A1-BFA7-3AF1EE9C94F9}"/>
    <cellStyle name="Měna 2 2 2 2 4" xfId="161" xr:uid="{08496F91-06F0-42E1-8707-5375A811E915}"/>
    <cellStyle name="Měna 2 2 2 2 4 2" xfId="411" xr:uid="{F4813E95-6AB2-4118-87D3-9D1291700469}"/>
    <cellStyle name="Měna 2 2 2 2 4 2 2" xfId="858" xr:uid="{EA7DB834-7369-4F54-9AA8-E7E469A7C848}"/>
    <cellStyle name="Měna 2 2 2 2 4 2 2 2" xfId="1753" xr:uid="{F28F4A64-5538-4881-9456-739361A186C1}"/>
    <cellStyle name="Měna 2 2 2 2 4 2 3" xfId="1306" xr:uid="{9EC2D0CB-BDAA-4732-ABD6-86E350F9F4B6}"/>
    <cellStyle name="Měna 2 2 2 2 4 3" xfId="610" xr:uid="{337A6497-756B-4353-B3FC-E7D181E73B77}"/>
    <cellStyle name="Měna 2 2 2 2 4 3 2" xfId="1505" xr:uid="{28B0AED0-E83E-47D5-A93B-09F51FF48518}"/>
    <cellStyle name="Měna 2 2 2 2 4 4" xfId="1058" xr:uid="{3AD95304-9AE4-437D-BD2A-A86B7C458BEB}"/>
    <cellStyle name="Měna 2 2 2 2 5" xfId="261" xr:uid="{13C52F5E-433D-47E4-8DE4-6801D7AAF233}"/>
    <cellStyle name="Měna 2 2 2 2 5 2" xfId="710" xr:uid="{9F387E06-75FD-4734-ADAE-376A72D61C8C}"/>
    <cellStyle name="Měna 2 2 2 2 5 2 2" xfId="1605" xr:uid="{28A1A020-7EBF-4C5F-9133-611E5288F439}"/>
    <cellStyle name="Měna 2 2 2 2 5 3" xfId="1158" xr:uid="{2FA2DC12-EC90-49AC-9068-26B5D6743BE3}"/>
    <cellStyle name="Měna 2 2 2 2 6" xfId="312" xr:uid="{EF8F35D2-98DF-4E53-8688-21403B7674AD}"/>
    <cellStyle name="Měna 2 2 2 2 6 2" xfId="759" xr:uid="{47F0EF59-D9D8-4058-8F41-05139C1979CA}"/>
    <cellStyle name="Měna 2 2 2 2 6 2 2" xfId="1654" xr:uid="{3B67CDB3-AD03-498E-BCEF-42480F2A536F}"/>
    <cellStyle name="Měna 2 2 2 2 6 3" xfId="1207" xr:uid="{339243C5-E8F2-4B3D-AEA3-49375AE036CD}"/>
    <cellStyle name="Měna 2 2 2 2 7" xfId="511" xr:uid="{FC8E288E-2050-4579-BD43-92551941B08C}"/>
    <cellStyle name="Měna 2 2 2 2 7 2" xfId="1406" xr:uid="{9536E07F-1B61-420D-A6DA-2C675536F2F7}"/>
    <cellStyle name="Měna 2 2 2 2 8" xfId="958" xr:uid="{BCBA120A-4506-4543-AE0A-9B18CDBF92AD}"/>
    <cellStyle name="Měna 2 2 2 3" xfId="77" xr:uid="{E19EA199-7BEB-4C32-B41C-1C5979B8BA92}"/>
    <cellStyle name="Měna 2 2 2 3 2" xfId="127" xr:uid="{3E817CAC-8A23-4CAB-9848-1D5AE9CEA83A}"/>
    <cellStyle name="Měna 2 2 2 3 2 2" xfId="227" xr:uid="{9DBC5356-B154-4E72-98E2-171078A1BCC5}"/>
    <cellStyle name="Měna 2 2 2 3 2 2 2" xfId="477" xr:uid="{D773F160-0FCC-4715-B9FA-B15AE3A0EC60}"/>
    <cellStyle name="Měna 2 2 2 3 2 2 2 2" xfId="924" xr:uid="{096EF981-4957-4582-97BF-E0F1F98CDE4A}"/>
    <cellStyle name="Měna 2 2 2 3 2 2 2 2 2" xfId="1819" xr:uid="{14935A07-AD45-4816-A069-2CA1F4F556A5}"/>
    <cellStyle name="Měna 2 2 2 3 2 2 2 3" xfId="1372" xr:uid="{50AFFFE5-0D4B-42CB-93F7-273A2AC17942}"/>
    <cellStyle name="Měna 2 2 2 3 2 2 3" xfId="676" xr:uid="{4FA9954B-E728-4386-AA03-819696614722}"/>
    <cellStyle name="Měna 2 2 2 3 2 2 3 2" xfId="1571" xr:uid="{73874AFC-E5D3-45D0-8470-E239E23F0F81}"/>
    <cellStyle name="Měna 2 2 2 3 2 2 4" xfId="1124" xr:uid="{95E2F576-743E-4182-8BC3-38EDF88EFA69}"/>
    <cellStyle name="Měna 2 2 2 3 2 3" xfId="377" xr:uid="{CB37D778-A9A5-4DD7-81E4-E1D4E8900C20}"/>
    <cellStyle name="Měna 2 2 2 3 2 3 2" xfId="824" xr:uid="{03A9450C-45F4-4C61-A7D8-7B8D461F3283}"/>
    <cellStyle name="Měna 2 2 2 3 2 3 2 2" xfId="1719" xr:uid="{C05D423C-569D-48C0-A633-97A5EFFCAB5F}"/>
    <cellStyle name="Měna 2 2 2 3 2 3 3" xfId="1272" xr:uid="{2FAEE28C-C64F-4F9A-92C8-1751CDED15D2}"/>
    <cellStyle name="Měna 2 2 2 3 2 4" xfId="576" xr:uid="{89F7C3CA-3C78-480D-9411-A3B6E011E52B}"/>
    <cellStyle name="Měna 2 2 2 3 2 4 2" xfId="1471" xr:uid="{45DD2014-6F35-4210-B900-CE022D94676C}"/>
    <cellStyle name="Měna 2 2 2 3 2 5" xfId="1024" xr:uid="{C82FAFFF-8398-4AB4-BE12-0CEEB4E6F3C4}"/>
    <cellStyle name="Měna 2 2 2 3 3" xfId="177" xr:uid="{B7B3CB1E-5BCF-4AC0-B7DA-ECE454BACF19}"/>
    <cellStyle name="Měna 2 2 2 3 3 2" xfId="427" xr:uid="{E4836EEB-6EDB-4FC7-8E16-B92AE6893F31}"/>
    <cellStyle name="Měna 2 2 2 3 3 2 2" xfId="874" xr:uid="{752FB8C9-E575-4263-9F3F-5CAB89127D6B}"/>
    <cellStyle name="Měna 2 2 2 3 3 2 2 2" xfId="1769" xr:uid="{89EE69E8-7896-42F4-AB6C-93BC38FE8014}"/>
    <cellStyle name="Měna 2 2 2 3 3 2 3" xfId="1322" xr:uid="{367A6DA1-62FA-4E13-8CE3-A02FCADC7EDD}"/>
    <cellStyle name="Měna 2 2 2 3 3 3" xfId="626" xr:uid="{B89D75C4-811B-4204-9BE6-9A9FF01D1287}"/>
    <cellStyle name="Měna 2 2 2 3 3 3 2" xfId="1521" xr:uid="{B5FDA03E-A400-46DE-B4A2-B5268F9E781F}"/>
    <cellStyle name="Měna 2 2 2 3 3 4" xfId="1074" xr:uid="{4A1B0D3F-F677-404C-8202-9FEFEBE28B68}"/>
    <cellStyle name="Měna 2 2 2 3 4" xfId="278" xr:uid="{ADB13F16-0FED-4091-A4BE-9E225C73881E}"/>
    <cellStyle name="Měna 2 2 2 3 4 2" xfId="725" xr:uid="{5143F712-A846-45A0-BA70-FC0B502D3FAE}"/>
    <cellStyle name="Měna 2 2 2 3 4 2 2" xfId="1620" xr:uid="{AA9E10DE-F613-4FBB-B275-A1E0B6B08898}"/>
    <cellStyle name="Měna 2 2 2 3 4 3" xfId="1173" xr:uid="{70174CD9-6FD5-4BC9-9DB5-532CF7050C4E}"/>
    <cellStyle name="Měna 2 2 2 3 5" xfId="327" xr:uid="{0B403AC6-5416-485D-ACF2-4DEDE9D65782}"/>
    <cellStyle name="Měna 2 2 2 3 5 2" xfId="774" xr:uid="{5462EC2B-C3B1-48B1-85CD-E30EBF68CB32}"/>
    <cellStyle name="Měna 2 2 2 3 5 2 2" xfId="1669" xr:uid="{A7F505BA-BAD2-4141-99E8-AF988FEA1D2E}"/>
    <cellStyle name="Měna 2 2 2 3 5 3" xfId="1222" xr:uid="{8533253B-8CB0-4626-B722-D3C436E2A6B0}"/>
    <cellStyle name="Měna 2 2 2 3 6" xfId="526" xr:uid="{076E049E-0655-47A9-B002-1B97680B3A64}"/>
    <cellStyle name="Měna 2 2 2 3 6 2" xfId="1421" xr:uid="{4E6297E2-0459-418E-853D-CDEB6BF40C07}"/>
    <cellStyle name="Měna 2 2 2 3 7" xfId="974" xr:uid="{07A63DBF-60AE-4FC2-95AE-3AEA6ED988F6}"/>
    <cellStyle name="Měna 2 2 2 4" xfId="102" xr:uid="{39366EAA-4264-45AC-A9FF-30937CB82087}"/>
    <cellStyle name="Měna 2 2 2 4 2" xfId="202" xr:uid="{5C90D853-F237-428C-93D3-2CEC6ABF9ABF}"/>
    <cellStyle name="Měna 2 2 2 4 2 2" xfId="452" xr:uid="{2A156249-B6AC-41E2-AA7A-2BFE6B48264E}"/>
    <cellStyle name="Měna 2 2 2 4 2 2 2" xfId="899" xr:uid="{6616F654-1341-4747-AF3D-9572F0F02BD9}"/>
    <cellStyle name="Měna 2 2 2 4 2 2 2 2" xfId="1794" xr:uid="{38A10402-01DC-4402-99EB-C2ED75E08753}"/>
    <cellStyle name="Měna 2 2 2 4 2 2 3" xfId="1347" xr:uid="{0809D263-C5F3-45D8-BE61-0154FDF5792A}"/>
    <cellStyle name="Měna 2 2 2 4 2 3" xfId="651" xr:uid="{D132763D-DE76-4FFD-9D4B-3FDB0097D68F}"/>
    <cellStyle name="Měna 2 2 2 4 2 3 2" xfId="1546" xr:uid="{081EBFE1-C83A-4724-A47F-7064FBF34923}"/>
    <cellStyle name="Měna 2 2 2 4 2 4" xfId="1099" xr:uid="{85A72F64-D797-4C6C-84C8-652F7A63EE47}"/>
    <cellStyle name="Měna 2 2 2 4 3" xfId="352" xr:uid="{94C23CE0-284D-417C-8290-788DC4A70781}"/>
    <cellStyle name="Měna 2 2 2 4 3 2" xfId="799" xr:uid="{D0CA943F-DFC2-4533-8BC1-DF35E6069668}"/>
    <cellStyle name="Měna 2 2 2 4 3 2 2" xfId="1694" xr:uid="{22F2CA72-D09F-49D9-9663-D04F029BF3DA}"/>
    <cellStyle name="Měna 2 2 2 4 3 3" xfId="1247" xr:uid="{1CBD3CEA-19A6-432F-B082-FB64B8685A94}"/>
    <cellStyle name="Měna 2 2 2 4 4" xfId="551" xr:uid="{C24DE31C-E08B-4837-AA02-F061D8F83EB1}"/>
    <cellStyle name="Měna 2 2 2 4 4 2" xfId="1446" xr:uid="{D059352A-379B-462A-BB2B-8A40D8398FD9}"/>
    <cellStyle name="Měna 2 2 2 4 5" xfId="999" xr:uid="{E7760CAA-C4B0-4EDE-9165-E0913013900E}"/>
    <cellStyle name="Měna 2 2 2 5" xfId="152" xr:uid="{B6A6D3BF-1D38-4AA5-A127-4D14D233D99F}"/>
    <cellStyle name="Měna 2 2 2 5 2" xfId="402" xr:uid="{931966BD-E48D-4E53-8DA3-62A81CB0CF46}"/>
    <cellStyle name="Měna 2 2 2 5 2 2" xfId="849" xr:uid="{E2475BFF-45F5-4B1B-9922-D9715D6657A3}"/>
    <cellStyle name="Měna 2 2 2 5 2 2 2" xfId="1744" xr:uid="{AD9052CC-28BB-4979-8060-0CAEE5F7DB0D}"/>
    <cellStyle name="Měna 2 2 2 5 2 3" xfId="1297" xr:uid="{A0BB4896-01D9-4D49-90B6-4A3EC337D069}"/>
    <cellStyle name="Měna 2 2 2 5 3" xfId="601" xr:uid="{34960D14-6C3D-4CEE-910A-89FA11CCBBCE}"/>
    <cellStyle name="Měna 2 2 2 5 3 2" xfId="1496" xr:uid="{C5785870-EF9A-4688-AE05-D20505F3C399}"/>
    <cellStyle name="Měna 2 2 2 5 4" xfId="1049" xr:uid="{CC38F39B-363E-4556-9091-EABB9C01579D}"/>
    <cellStyle name="Měna 2 2 2 6" xfId="252" xr:uid="{E9422937-7298-434E-8F1B-5E60CABC7A63}"/>
    <cellStyle name="Měna 2 2 2 6 2" xfId="701" xr:uid="{E7342872-4D1A-4AAF-9FB2-9DF7D5F62744}"/>
    <cellStyle name="Měna 2 2 2 6 2 2" xfId="1596" xr:uid="{DB7F5D36-C467-4C9A-AA24-E2805E51895D}"/>
    <cellStyle name="Měna 2 2 2 6 3" xfId="1149" xr:uid="{6AB371F1-6382-431C-B2C7-697E2CC156E3}"/>
    <cellStyle name="Měna 2 2 2 7" xfId="303" xr:uid="{91655930-7602-445D-A385-298209879795}"/>
    <cellStyle name="Měna 2 2 2 7 2" xfId="750" xr:uid="{E277F547-F11C-4348-AE6F-F3083CD2DBB4}"/>
    <cellStyle name="Měna 2 2 2 7 2 2" xfId="1645" xr:uid="{936A4472-C7CA-49E3-A302-FB5CB80E1D07}"/>
    <cellStyle name="Měna 2 2 2 7 3" xfId="1198" xr:uid="{CBBE736C-8C73-49CA-9317-C770AF27CD45}"/>
    <cellStyle name="Měna 2 2 2 8" xfId="502" xr:uid="{7B325C70-48E8-4189-A41A-16F456B9D394}"/>
    <cellStyle name="Měna 2 2 2 8 2" xfId="1397" xr:uid="{3F21B01F-9142-4FBF-8232-1AE6BA25C695}"/>
    <cellStyle name="Měna 2 2 2 9" xfId="949" xr:uid="{DCA323EC-4EE0-4451-AA23-B16069242C43}"/>
    <cellStyle name="Měna 2 2 3" xfId="39" xr:uid="{7418F2BB-6E0E-4888-8FE3-2A68AFC71D3A}"/>
    <cellStyle name="Měna 2 2 3 2" xfId="56" xr:uid="{221BFCF1-BAD9-4396-8E13-A43C3F4E6EEE}"/>
    <cellStyle name="Měna 2 2 3 2 2" xfId="89" xr:uid="{08F02795-026D-454C-AACC-BDAD90DBB9D1}"/>
    <cellStyle name="Měna 2 2 3 2 2 2" xfId="139" xr:uid="{18FA8CF5-39EA-44ED-9A40-86C467B7AAD7}"/>
    <cellStyle name="Měna 2 2 3 2 2 2 2" xfId="239" xr:uid="{E189E1B3-FF59-4451-8CA7-EE212434BB02}"/>
    <cellStyle name="Měna 2 2 3 2 2 2 2 2" xfId="489" xr:uid="{12365C8A-D2A0-4138-93DE-98548CB085B2}"/>
    <cellStyle name="Měna 2 2 3 2 2 2 2 2 2" xfId="936" xr:uid="{44CC9C6A-E65C-41C7-882F-E8C96DA641ED}"/>
    <cellStyle name="Měna 2 2 3 2 2 2 2 2 2 2" xfId="1831" xr:uid="{7D436BC2-9745-4996-8253-45C97EAA6B30}"/>
    <cellStyle name="Měna 2 2 3 2 2 2 2 2 3" xfId="1384" xr:uid="{4B7CFC10-E4F3-4DC1-820E-B72902D58EC5}"/>
    <cellStyle name="Měna 2 2 3 2 2 2 2 3" xfId="688" xr:uid="{9BD3FBDE-5283-452B-B582-123B6846F402}"/>
    <cellStyle name="Měna 2 2 3 2 2 2 2 3 2" xfId="1583" xr:uid="{079879F1-F181-4E33-A623-FA75BBA63D65}"/>
    <cellStyle name="Měna 2 2 3 2 2 2 2 4" xfId="1136" xr:uid="{99EA939F-7F06-4621-AF34-0653D1B778F0}"/>
    <cellStyle name="Měna 2 2 3 2 2 2 3" xfId="389" xr:uid="{A06ADDEA-2236-43B9-904E-358452FD3083}"/>
    <cellStyle name="Měna 2 2 3 2 2 2 3 2" xfId="836" xr:uid="{DA58C0CD-22FE-47DE-BA3C-7FC52DE31FD5}"/>
    <cellStyle name="Měna 2 2 3 2 2 2 3 2 2" xfId="1731" xr:uid="{5D0EA3F5-FBDB-4D02-8EDE-64903FA60CDE}"/>
    <cellStyle name="Měna 2 2 3 2 2 2 3 3" xfId="1284" xr:uid="{26A2365E-8A3D-461B-9C9C-02586B2EDBBA}"/>
    <cellStyle name="Měna 2 2 3 2 2 2 4" xfId="588" xr:uid="{744B5715-2CFB-4F3C-973A-069CBE70E9FD}"/>
    <cellStyle name="Měna 2 2 3 2 2 2 4 2" xfId="1483" xr:uid="{7A81FE3E-3672-4DD5-8B63-BAF34BFF4A7F}"/>
    <cellStyle name="Měna 2 2 3 2 2 2 5" xfId="1036" xr:uid="{0B76EE56-24A1-4E51-A446-B7981641FCEE}"/>
    <cellStyle name="Měna 2 2 3 2 2 3" xfId="189" xr:uid="{3E8EED4D-A4AD-439D-A669-9FD2CF1A0A94}"/>
    <cellStyle name="Měna 2 2 3 2 2 3 2" xfId="439" xr:uid="{D0FDAC9E-3A63-42F0-91C0-FDE958AD3E5E}"/>
    <cellStyle name="Měna 2 2 3 2 2 3 2 2" xfId="886" xr:uid="{A015C7B2-20F9-4E12-915D-4B083632C05A}"/>
    <cellStyle name="Měna 2 2 3 2 2 3 2 2 2" xfId="1781" xr:uid="{5BE0C1C5-B2FA-48ED-9699-70700BEEE4EF}"/>
    <cellStyle name="Měna 2 2 3 2 2 3 2 3" xfId="1334" xr:uid="{0DB905CF-F038-48EF-B06F-90005ADCF989}"/>
    <cellStyle name="Měna 2 2 3 2 2 3 3" xfId="638" xr:uid="{1E967528-E52D-4F2E-886A-93EE390AEC2E}"/>
    <cellStyle name="Měna 2 2 3 2 2 3 3 2" xfId="1533" xr:uid="{0533BE73-609C-4CB7-978C-72422757E3F0}"/>
    <cellStyle name="Měna 2 2 3 2 2 3 4" xfId="1086" xr:uid="{8996EF0E-7591-48C3-AD13-8E708923CE0E}"/>
    <cellStyle name="Měna 2 2 3 2 2 4" xfId="290" xr:uid="{9D50B649-5683-430F-A8F1-C11971D2EBB6}"/>
    <cellStyle name="Měna 2 2 3 2 2 4 2" xfId="737" xr:uid="{D2DE099B-D85A-4F1F-B294-CC3507C7BD33}"/>
    <cellStyle name="Měna 2 2 3 2 2 4 2 2" xfId="1632" xr:uid="{6E18E3CF-DCC2-48AD-B2D9-802E803CF17E}"/>
    <cellStyle name="Měna 2 2 3 2 2 4 3" xfId="1185" xr:uid="{46EB336B-4E17-4256-A97B-1A35DA54D7D4}"/>
    <cellStyle name="Měna 2 2 3 2 2 5" xfId="339" xr:uid="{25F9773A-3EAE-499D-866C-5B7413EC8591}"/>
    <cellStyle name="Měna 2 2 3 2 2 5 2" xfId="786" xr:uid="{9A9DCFC8-4664-48FB-A7AA-DC2AEBA6D69B}"/>
    <cellStyle name="Měna 2 2 3 2 2 5 2 2" xfId="1681" xr:uid="{AC625B37-C9C9-4089-8587-575A7F7D72FC}"/>
    <cellStyle name="Měna 2 2 3 2 2 5 3" xfId="1234" xr:uid="{184C7DBD-EE68-4A6B-B450-733FA2E0701A}"/>
    <cellStyle name="Měna 2 2 3 2 2 6" xfId="538" xr:uid="{F2D20964-6C72-4221-B31C-C3D5D31054C2}"/>
    <cellStyle name="Měna 2 2 3 2 2 6 2" xfId="1433" xr:uid="{EB8CE815-B961-4C54-AA9D-8742515489AE}"/>
    <cellStyle name="Měna 2 2 3 2 2 7" xfId="986" xr:uid="{0160C0FC-811C-4412-9A71-3687910BC099}"/>
    <cellStyle name="Měna 2 2 3 2 3" xfId="114" xr:uid="{4180F2AB-9A94-4DF8-80C2-E888367F0209}"/>
    <cellStyle name="Měna 2 2 3 2 3 2" xfId="214" xr:uid="{B013B4CF-3CB9-45AC-B9E5-6B3F2B12478E}"/>
    <cellStyle name="Měna 2 2 3 2 3 2 2" xfId="464" xr:uid="{4D0C2813-9279-4F7A-AAD5-FDEABED9A65F}"/>
    <cellStyle name="Měna 2 2 3 2 3 2 2 2" xfId="911" xr:uid="{ABEB36F2-9A76-4EFC-B61A-6496421C5C29}"/>
    <cellStyle name="Měna 2 2 3 2 3 2 2 2 2" xfId="1806" xr:uid="{721E222A-F12F-4103-A7E2-6A6A019978F8}"/>
    <cellStyle name="Měna 2 2 3 2 3 2 2 3" xfId="1359" xr:uid="{D900B147-9093-4E3B-9168-A0F7EF95AD4E}"/>
    <cellStyle name="Měna 2 2 3 2 3 2 3" xfId="663" xr:uid="{1924D0E9-D244-485B-A246-B70DA72F9FA9}"/>
    <cellStyle name="Měna 2 2 3 2 3 2 3 2" xfId="1558" xr:uid="{BD581B9F-52C9-4801-8881-8E16E261E1BB}"/>
    <cellStyle name="Měna 2 2 3 2 3 2 4" xfId="1111" xr:uid="{80902C24-E6F7-4468-856B-D2A2B951B12D}"/>
    <cellStyle name="Měna 2 2 3 2 3 3" xfId="364" xr:uid="{1AF8C6AA-FC06-42CB-8876-453B7A9FAFC4}"/>
    <cellStyle name="Měna 2 2 3 2 3 3 2" xfId="811" xr:uid="{3AA4713F-2FF9-4AC4-B2CD-D210E6698DD6}"/>
    <cellStyle name="Měna 2 2 3 2 3 3 2 2" xfId="1706" xr:uid="{D22B09B8-3AAA-4190-B67E-72B68E69EAA6}"/>
    <cellStyle name="Měna 2 2 3 2 3 3 3" xfId="1259" xr:uid="{D9D22896-FCD8-4E56-808E-A22DB118B33E}"/>
    <cellStyle name="Měna 2 2 3 2 3 4" xfId="563" xr:uid="{8C8AE8C7-67FB-4FC6-A7A6-60E3E7E8DD69}"/>
    <cellStyle name="Měna 2 2 3 2 3 4 2" xfId="1458" xr:uid="{C4E4F61E-2F6E-4B4B-96E1-BFC2891FF902}"/>
    <cellStyle name="Měna 2 2 3 2 3 5" xfId="1011" xr:uid="{06D74E78-5AF7-4DAD-9775-2CD28C5803CE}"/>
    <cellStyle name="Měna 2 2 3 2 4" xfId="164" xr:uid="{73A89F6B-838B-4643-A876-7754218B5C7F}"/>
    <cellStyle name="Měna 2 2 3 2 4 2" xfId="414" xr:uid="{15C37DE0-EDBD-4B99-BADB-923E8C111505}"/>
    <cellStyle name="Měna 2 2 3 2 4 2 2" xfId="861" xr:uid="{44575AB1-9360-4101-BA4A-D9E4438C2C7A}"/>
    <cellStyle name="Měna 2 2 3 2 4 2 2 2" xfId="1756" xr:uid="{C52AACCA-930C-4905-B746-99CAA7B4D646}"/>
    <cellStyle name="Měna 2 2 3 2 4 2 3" xfId="1309" xr:uid="{FC60BE82-C3B6-4E7A-BD78-EB48715C3258}"/>
    <cellStyle name="Měna 2 2 3 2 4 3" xfId="613" xr:uid="{933B56A5-6A49-4C10-95C3-F8DE82894ECA}"/>
    <cellStyle name="Měna 2 2 3 2 4 3 2" xfId="1508" xr:uid="{D2DA8FA6-7526-498A-85D2-E9175C9EA488}"/>
    <cellStyle name="Měna 2 2 3 2 4 4" xfId="1061" xr:uid="{B624AA28-74B7-4445-9A99-179764EB973D}"/>
    <cellStyle name="Měna 2 2 3 2 5" xfId="264" xr:uid="{B3EA9EBB-4403-4F07-9F5F-0480A8EA7546}"/>
    <cellStyle name="Měna 2 2 3 2 5 2" xfId="713" xr:uid="{943E3941-4555-42F2-B84A-13C9AC192E80}"/>
    <cellStyle name="Měna 2 2 3 2 5 2 2" xfId="1608" xr:uid="{4FF7884C-8336-4909-91BE-260DE99D2974}"/>
    <cellStyle name="Měna 2 2 3 2 5 3" xfId="1161" xr:uid="{276EE949-DEBF-4B73-A01A-17F887E60762}"/>
    <cellStyle name="Měna 2 2 3 2 6" xfId="315" xr:uid="{AC905C53-CE29-48BF-860E-9125859AB356}"/>
    <cellStyle name="Měna 2 2 3 2 6 2" xfId="762" xr:uid="{18244A0A-4899-41D9-911E-D63BAB49594E}"/>
    <cellStyle name="Měna 2 2 3 2 6 2 2" xfId="1657" xr:uid="{99D8D192-CBBA-44DA-8662-063DD63A01DA}"/>
    <cellStyle name="Měna 2 2 3 2 6 3" xfId="1210" xr:uid="{6EE1E704-860E-4754-9139-B708C66EA310}"/>
    <cellStyle name="Měna 2 2 3 2 7" xfId="514" xr:uid="{182652C9-3053-4007-BB6C-DD76052408D8}"/>
    <cellStyle name="Měna 2 2 3 2 7 2" xfId="1409" xr:uid="{2B42156E-ABA1-4FBE-A853-C84DEF4AD559}"/>
    <cellStyle name="Měna 2 2 3 2 8" xfId="961" xr:uid="{10782B6B-7CBB-449B-8469-D9DE909EF805}"/>
    <cellStyle name="Měna 2 2 3 3" xfId="80" xr:uid="{B942B91F-C412-4925-A903-55FDCD4DE479}"/>
    <cellStyle name="Měna 2 2 3 3 2" xfId="130" xr:uid="{60B27DFF-22A8-45F4-B352-E84006312A2E}"/>
    <cellStyle name="Měna 2 2 3 3 2 2" xfId="230" xr:uid="{699DB56D-3FAE-4223-BFBC-450FA9CB90E0}"/>
    <cellStyle name="Měna 2 2 3 3 2 2 2" xfId="480" xr:uid="{2FFF48FC-3FC7-478E-94DC-8E60CE70E4A6}"/>
    <cellStyle name="Měna 2 2 3 3 2 2 2 2" xfId="927" xr:uid="{5A8770C7-9D44-4422-96C7-3063B66D1E66}"/>
    <cellStyle name="Měna 2 2 3 3 2 2 2 2 2" xfId="1822" xr:uid="{15993716-353A-43A3-85D1-1A78FBE48580}"/>
    <cellStyle name="Měna 2 2 3 3 2 2 2 3" xfId="1375" xr:uid="{8F99F851-3E91-4A52-B857-D83A282665E7}"/>
    <cellStyle name="Měna 2 2 3 3 2 2 3" xfId="679" xr:uid="{EAD56079-3C39-45B7-9630-CC3ABA1F5601}"/>
    <cellStyle name="Měna 2 2 3 3 2 2 3 2" xfId="1574" xr:uid="{B3FAC73A-6288-4161-9A25-5B277478DB73}"/>
    <cellStyle name="Měna 2 2 3 3 2 2 4" xfId="1127" xr:uid="{F79024AE-C1A0-4FFD-9D3D-29BEA4F5E0F7}"/>
    <cellStyle name="Měna 2 2 3 3 2 3" xfId="380" xr:uid="{E08F00F1-33BC-4ED1-8509-EB737A96E3DF}"/>
    <cellStyle name="Měna 2 2 3 3 2 3 2" xfId="827" xr:uid="{ABAEA437-F3E7-49DE-BEC4-AEFF363CD57E}"/>
    <cellStyle name="Měna 2 2 3 3 2 3 2 2" xfId="1722" xr:uid="{B1281665-56D5-428E-9496-0D8C40817E8B}"/>
    <cellStyle name="Měna 2 2 3 3 2 3 3" xfId="1275" xr:uid="{B96F019C-9AD5-4DBC-83A6-03E90E6A8A26}"/>
    <cellStyle name="Měna 2 2 3 3 2 4" xfId="579" xr:uid="{D45ADF7F-E010-415F-ABE9-F19C429C2EE3}"/>
    <cellStyle name="Měna 2 2 3 3 2 4 2" xfId="1474" xr:uid="{9F21DB60-3751-4995-8C08-310D61D3679B}"/>
    <cellStyle name="Měna 2 2 3 3 2 5" xfId="1027" xr:uid="{29A9FF5B-1803-4743-B518-66FAD74CED96}"/>
    <cellStyle name="Měna 2 2 3 3 3" xfId="180" xr:uid="{95B49ED7-C7B9-4185-87E0-4DD0ACD8A119}"/>
    <cellStyle name="Měna 2 2 3 3 3 2" xfId="430" xr:uid="{3C8CE390-2690-4E4A-AEA1-10A3B1369CAF}"/>
    <cellStyle name="Měna 2 2 3 3 3 2 2" xfId="877" xr:uid="{EBFBEDF9-B874-4086-AB1E-8942DF4D6534}"/>
    <cellStyle name="Měna 2 2 3 3 3 2 2 2" xfId="1772" xr:uid="{A6658D6A-CC00-4D3D-8808-D057469C3168}"/>
    <cellStyle name="Měna 2 2 3 3 3 2 3" xfId="1325" xr:uid="{4BEEBB7B-D0F1-4D5F-AB58-81BCE4D398C9}"/>
    <cellStyle name="Měna 2 2 3 3 3 3" xfId="629" xr:uid="{7ABD58BE-6A3C-4FCA-9614-210F10726E93}"/>
    <cellStyle name="Měna 2 2 3 3 3 3 2" xfId="1524" xr:uid="{4B063562-9571-42EF-860B-420DEA108C75}"/>
    <cellStyle name="Měna 2 2 3 3 3 4" xfId="1077" xr:uid="{F9F261EF-FD18-430D-A9E2-0FEA1564CD3C}"/>
    <cellStyle name="Měna 2 2 3 3 4" xfId="281" xr:uid="{0C612F28-2CDA-443F-91DB-E9D029F3148B}"/>
    <cellStyle name="Měna 2 2 3 3 4 2" xfId="728" xr:uid="{E69D46D5-0A4B-45E7-A650-4757B15DD5A4}"/>
    <cellStyle name="Měna 2 2 3 3 4 2 2" xfId="1623" xr:uid="{248E83D7-C1DC-4285-B0AB-85232BA7F4D6}"/>
    <cellStyle name="Měna 2 2 3 3 4 3" xfId="1176" xr:uid="{0BAA8087-0E27-4FC2-9001-1B9690C765DA}"/>
    <cellStyle name="Měna 2 2 3 3 5" xfId="330" xr:uid="{FB0DAE52-24D6-4609-A030-F279EA284CBC}"/>
    <cellStyle name="Měna 2 2 3 3 5 2" xfId="777" xr:uid="{B49465D9-795F-4AAD-8E2F-6265D5E306C9}"/>
    <cellStyle name="Měna 2 2 3 3 5 2 2" xfId="1672" xr:uid="{50CA422B-EB10-44EA-93FB-6F45D5176A95}"/>
    <cellStyle name="Měna 2 2 3 3 5 3" xfId="1225" xr:uid="{FE141834-653F-424D-8AC2-12A4875F0F67}"/>
    <cellStyle name="Měna 2 2 3 3 6" xfId="529" xr:uid="{CDAB8B12-C31F-40A8-8603-70F5BFC11EAB}"/>
    <cellStyle name="Měna 2 2 3 3 6 2" xfId="1424" xr:uid="{491D0E28-ECE6-420E-A210-126E8CE8B8A0}"/>
    <cellStyle name="Měna 2 2 3 3 7" xfId="977" xr:uid="{98A063B0-5E83-49A7-AB10-AFCA56A1629F}"/>
    <cellStyle name="Měna 2 2 3 4" xfId="105" xr:uid="{5F542D5C-4289-43C7-9B54-6E031550AEF2}"/>
    <cellStyle name="Měna 2 2 3 4 2" xfId="205" xr:uid="{2794C46E-7B5C-4869-8155-57D778406DAE}"/>
    <cellStyle name="Měna 2 2 3 4 2 2" xfId="455" xr:uid="{97132529-E4D5-405B-B40C-DA4F2F75CABC}"/>
    <cellStyle name="Měna 2 2 3 4 2 2 2" xfId="902" xr:uid="{5439C414-0DF7-4649-AB6B-D17059EF2791}"/>
    <cellStyle name="Měna 2 2 3 4 2 2 2 2" xfId="1797" xr:uid="{480C60E7-F6D5-417D-990B-DC89CAF62687}"/>
    <cellStyle name="Měna 2 2 3 4 2 2 3" xfId="1350" xr:uid="{9EE3AC79-BE94-496E-9B8A-7E359AF3C2F6}"/>
    <cellStyle name="Měna 2 2 3 4 2 3" xfId="654" xr:uid="{24AAFEF9-5E13-44F6-AEC5-6354A1603F87}"/>
    <cellStyle name="Měna 2 2 3 4 2 3 2" xfId="1549" xr:uid="{C0747305-A4BC-4239-97B3-E326F6EA7489}"/>
    <cellStyle name="Měna 2 2 3 4 2 4" xfId="1102" xr:uid="{9FCC342E-1CA4-4BE8-835E-2FACC954A0B2}"/>
    <cellStyle name="Měna 2 2 3 4 3" xfId="355" xr:uid="{017A46C2-B4EC-499C-BF47-98CCA35F8045}"/>
    <cellStyle name="Měna 2 2 3 4 3 2" xfId="802" xr:uid="{50C2B098-A469-45B3-B091-497DB7139FCD}"/>
    <cellStyle name="Měna 2 2 3 4 3 2 2" xfId="1697" xr:uid="{C71A1C43-A0F5-4B1E-B6DC-977B8A29BE24}"/>
    <cellStyle name="Měna 2 2 3 4 3 3" xfId="1250" xr:uid="{54A48189-2CDD-4EA9-A6C6-1F77E3DC9257}"/>
    <cellStyle name="Měna 2 2 3 4 4" xfId="554" xr:uid="{E8AF79CC-6428-417F-BC16-79BDF2D8B234}"/>
    <cellStyle name="Měna 2 2 3 4 4 2" xfId="1449" xr:uid="{FB525256-F713-477E-90C3-AA1005A9FBB3}"/>
    <cellStyle name="Měna 2 2 3 4 5" xfId="1002" xr:uid="{E9A8532D-18D8-4C57-BBAE-C7BDEAFA146B}"/>
    <cellStyle name="Měna 2 2 3 5" xfId="155" xr:uid="{48DFB13E-3DB7-4DCF-B034-1D14282863FB}"/>
    <cellStyle name="Měna 2 2 3 5 2" xfId="405" xr:uid="{B98289FE-C7E1-451A-9796-10907933C23E}"/>
    <cellStyle name="Měna 2 2 3 5 2 2" xfId="852" xr:uid="{D1BA4A87-9D20-41EB-B728-703712C2D94B}"/>
    <cellStyle name="Měna 2 2 3 5 2 2 2" xfId="1747" xr:uid="{8CC2CD72-FC90-4C65-9571-51FD26F49236}"/>
    <cellStyle name="Měna 2 2 3 5 2 3" xfId="1300" xr:uid="{10D1C23B-FB3A-4D78-86E6-30CC273A047B}"/>
    <cellStyle name="Měna 2 2 3 5 3" xfId="604" xr:uid="{651F738A-CDAB-4DC3-9EB8-2983B3E50EDF}"/>
    <cellStyle name="Měna 2 2 3 5 3 2" xfId="1499" xr:uid="{68F33608-26A0-444F-9936-1F03FD455E09}"/>
    <cellStyle name="Měna 2 2 3 5 4" xfId="1052" xr:uid="{FC7D071B-2119-4E99-A2D2-7826E245BA53}"/>
    <cellStyle name="Měna 2 2 3 6" xfId="255" xr:uid="{73C66529-72EA-4E09-BA99-4BF8765D6493}"/>
    <cellStyle name="Měna 2 2 3 6 2" xfId="704" xr:uid="{5144B0DC-8359-42F4-B76C-358BF1F9235C}"/>
    <cellStyle name="Měna 2 2 3 6 2 2" xfId="1599" xr:uid="{789AB2D7-E2DC-45D4-B5FE-D6078EDFDACA}"/>
    <cellStyle name="Měna 2 2 3 6 3" xfId="1152" xr:uid="{2931D539-3A72-4B31-B89D-1A5D5615B080}"/>
    <cellStyle name="Měna 2 2 3 7" xfId="306" xr:uid="{065FE51C-C889-4B10-9649-F1B59AFD90CE}"/>
    <cellStyle name="Měna 2 2 3 7 2" xfId="753" xr:uid="{AC1C06CB-1802-4DB0-BAC0-5A7F9474EB1C}"/>
    <cellStyle name="Měna 2 2 3 7 2 2" xfId="1648" xr:uid="{410299C5-BA3C-4FB6-A1A1-8D2B3A0CB135}"/>
    <cellStyle name="Měna 2 2 3 7 3" xfId="1201" xr:uid="{C1475CB1-A271-42FE-8581-A579D5C272F1}"/>
    <cellStyle name="Měna 2 2 3 8" xfId="505" xr:uid="{9F23B1A0-B5D4-4C79-9F71-FA1982586A58}"/>
    <cellStyle name="Měna 2 2 3 8 2" xfId="1400" xr:uid="{1BE83611-5296-47E5-B5C7-5FD575B0EC48}"/>
    <cellStyle name="Měna 2 2 3 9" xfId="952" xr:uid="{18176948-6ABE-4045-ACA9-07A4FE966B5D}"/>
    <cellStyle name="Měna 2 2 4" xfId="47" xr:uid="{EB7873FE-14F5-45F5-891D-7AA36453C965}"/>
    <cellStyle name="Měna 2 2 4 2" xfId="83" xr:uid="{C7556CB9-8B14-43FF-8233-E6C23D1F7866}"/>
    <cellStyle name="Měna 2 2 4 2 2" xfId="133" xr:uid="{9D0F6A2E-B54B-49CB-8B3A-982D24776866}"/>
    <cellStyle name="Měna 2 2 4 2 2 2" xfId="233" xr:uid="{BECD2955-4BAA-4F3D-B49D-24C6EE62C803}"/>
    <cellStyle name="Měna 2 2 4 2 2 2 2" xfId="483" xr:uid="{9E242B46-BC03-4EE0-B121-FD1641762D50}"/>
    <cellStyle name="Měna 2 2 4 2 2 2 2 2" xfId="930" xr:uid="{FC9331AD-A99A-45CB-8CE4-181A88A31EED}"/>
    <cellStyle name="Měna 2 2 4 2 2 2 2 2 2" xfId="1825" xr:uid="{852548E0-F641-42A8-8592-3A290F2B7BC5}"/>
    <cellStyle name="Měna 2 2 4 2 2 2 2 3" xfId="1378" xr:uid="{EE73252D-EB0D-4708-8A94-C134CC284A39}"/>
    <cellStyle name="Měna 2 2 4 2 2 2 3" xfId="682" xr:uid="{A0FB45C5-1177-4272-92F5-5FD69DF4C209}"/>
    <cellStyle name="Měna 2 2 4 2 2 2 3 2" xfId="1577" xr:uid="{06FE010E-9184-41BB-B031-75AD01CEB570}"/>
    <cellStyle name="Měna 2 2 4 2 2 2 4" xfId="1130" xr:uid="{719FC4A2-10FC-4B6A-9A45-7CE5AE411842}"/>
    <cellStyle name="Měna 2 2 4 2 2 3" xfId="383" xr:uid="{E5A2DF07-3C8B-4C80-8E48-7F7FF74C6810}"/>
    <cellStyle name="Měna 2 2 4 2 2 3 2" xfId="830" xr:uid="{95370B99-BC83-44F8-A8F5-149126B33FDA}"/>
    <cellStyle name="Měna 2 2 4 2 2 3 2 2" xfId="1725" xr:uid="{54B53617-C2C5-4653-91F7-8781D7157FAA}"/>
    <cellStyle name="Měna 2 2 4 2 2 3 3" xfId="1278" xr:uid="{79BA369E-B924-4E78-A34B-466108846447}"/>
    <cellStyle name="Měna 2 2 4 2 2 4" xfId="582" xr:uid="{660E7816-C4F2-486C-A434-95D220DD026F}"/>
    <cellStyle name="Měna 2 2 4 2 2 4 2" xfId="1477" xr:uid="{BC66FCFC-6A0C-4956-84B4-4AA5517E570B}"/>
    <cellStyle name="Měna 2 2 4 2 2 5" xfId="1030" xr:uid="{BAD452DB-FCB3-48AE-A8CA-9D6C3F8567B5}"/>
    <cellStyle name="Měna 2 2 4 2 3" xfId="183" xr:uid="{59FF37E5-8901-4862-846B-5C82F46E47ED}"/>
    <cellStyle name="Měna 2 2 4 2 3 2" xfId="433" xr:uid="{4DD9923A-2986-4EB5-A49D-3F9D3685602F}"/>
    <cellStyle name="Měna 2 2 4 2 3 2 2" xfId="880" xr:uid="{2321D5B0-A2AB-401F-AD6C-8263DAE9E65F}"/>
    <cellStyle name="Měna 2 2 4 2 3 2 2 2" xfId="1775" xr:uid="{63DF061D-B3DC-4682-A9A4-5866CFCF0117}"/>
    <cellStyle name="Měna 2 2 4 2 3 2 3" xfId="1328" xr:uid="{CC06E22A-F61F-4CA2-A9E6-778E656373B5}"/>
    <cellStyle name="Měna 2 2 4 2 3 3" xfId="632" xr:uid="{7B23278F-C9A1-4C30-9250-AEFC487246D9}"/>
    <cellStyle name="Měna 2 2 4 2 3 3 2" xfId="1527" xr:uid="{88DD0771-8FB5-49C8-BBB4-BADE0B5D6372}"/>
    <cellStyle name="Měna 2 2 4 2 3 4" xfId="1080" xr:uid="{422A3998-E0BA-46EF-98B6-9C6D0DD9E9D6}"/>
    <cellStyle name="Měna 2 2 4 2 4" xfId="284" xr:uid="{0F6EF2A1-3058-4453-906C-803A840AD1C1}"/>
    <cellStyle name="Měna 2 2 4 2 4 2" xfId="731" xr:uid="{61B6D058-94C4-444E-BB3C-66E1469962AD}"/>
    <cellStyle name="Měna 2 2 4 2 4 2 2" xfId="1626" xr:uid="{E7C0B7D3-63BF-436F-8EE9-CDA67998CF49}"/>
    <cellStyle name="Měna 2 2 4 2 4 3" xfId="1179" xr:uid="{09FB21A8-1D5A-45A8-8CBA-FA28DA480663}"/>
    <cellStyle name="Měna 2 2 4 2 5" xfId="333" xr:uid="{0D77BD70-23D4-4CD4-8124-F78732D57E69}"/>
    <cellStyle name="Měna 2 2 4 2 5 2" xfId="780" xr:uid="{14BD2423-DA7E-423B-9BAB-8D8E1F6231FA}"/>
    <cellStyle name="Měna 2 2 4 2 5 2 2" xfId="1675" xr:uid="{56D2A26E-34C6-4A28-8F07-953F06440C60}"/>
    <cellStyle name="Měna 2 2 4 2 5 3" xfId="1228" xr:uid="{8CAFBAAE-770B-43EA-8BA0-122D49242223}"/>
    <cellStyle name="Měna 2 2 4 2 6" xfId="532" xr:uid="{D788D973-0D77-42E0-A6A6-CCFED972E386}"/>
    <cellStyle name="Měna 2 2 4 2 6 2" xfId="1427" xr:uid="{E24C63D0-B346-43DD-AD87-135412EEACCD}"/>
    <cellStyle name="Měna 2 2 4 2 7" xfId="980" xr:uid="{187F22EB-A343-4E62-BD8F-9535C3B951E3}"/>
    <cellStyle name="Měna 2 2 4 3" xfId="108" xr:uid="{81198085-BE80-41F9-9C7A-22832DDE2B55}"/>
    <cellStyle name="Měna 2 2 4 3 2" xfId="208" xr:uid="{E5B46ACE-DA1A-455E-9253-B4433C3A0073}"/>
    <cellStyle name="Měna 2 2 4 3 2 2" xfId="458" xr:uid="{B4FC5CC5-714D-48C3-823B-8EF92B394E26}"/>
    <cellStyle name="Měna 2 2 4 3 2 2 2" xfId="905" xr:uid="{3C48B702-37DB-4888-8E00-96B4175BF7B8}"/>
    <cellStyle name="Měna 2 2 4 3 2 2 2 2" xfId="1800" xr:uid="{2EC56B7B-7052-4129-A645-D5EF00F278CD}"/>
    <cellStyle name="Měna 2 2 4 3 2 2 3" xfId="1353" xr:uid="{DA1F8206-CA26-4075-B1AC-E45CB4A822EC}"/>
    <cellStyle name="Měna 2 2 4 3 2 3" xfId="657" xr:uid="{4BE1735F-6DE1-4B62-8170-D34E73D61B1E}"/>
    <cellStyle name="Měna 2 2 4 3 2 3 2" xfId="1552" xr:uid="{A4F1794B-0787-4FCA-9F1E-FB1D4D681756}"/>
    <cellStyle name="Měna 2 2 4 3 2 4" xfId="1105" xr:uid="{23554E61-09A2-4C62-8FE6-CE3A2DB4C1A1}"/>
    <cellStyle name="Měna 2 2 4 3 3" xfId="358" xr:uid="{B0E26EBD-7086-466A-A92D-F5C7031B1F8E}"/>
    <cellStyle name="Měna 2 2 4 3 3 2" xfId="805" xr:uid="{D69F7096-31AB-4642-9D8C-2AB2DE8A26CF}"/>
    <cellStyle name="Měna 2 2 4 3 3 2 2" xfId="1700" xr:uid="{7E97F0E7-B990-440B-8FA7-990A1A6B06EE}"/>
    <cellStyle name="Měna 2 2 4 3 3 3" xfId="1253" xr:uid="{54401AAB-148A-4952-82E3-0DEB1C40D5ED}"/>
    <cellStyle name="Měna 2 2 4 3 4" xfId="557" xr:uid="{A0177DF1-A47D-405A-B699-26D702A4F62D}"/>
    <cellStyle name="Měna 2 2 4 3 4 2" xfId="1452" xr:uid="{F08A9B79-DF68-452F-9362-7986CAAB7091}"/>
    <cellStyle name="Měna 2 2 4 3 5" xfId="1005" xr:uid="{6815EFDC-AF36-48AD-B78B-0ED8209B15C6}"/>
    <cellStyle name="Měna 2 2 4 4" xfId="158" xr:uid="{E2545589-9320-4368-BEBD-FA5683655F70}"/>
    <cellStyle name="Měna 2 2 4 4 2" xfId="408" xr:uid="{DCCDB6E1-085B-4241-B0A7-FC97949CF7F2}"/>
    <cellStyle name="Měna 2 2 4 4 2 2" xfId="855" xr:uid="{9D870AB6-8CC2-4B2B-9BE6-2404EB400C26}"/>
    <cellStyle name="Měna 2 2 4 4 2 2 2" xfId="1750" xr:uid="{C6D6673A-B232-48B0-9E9C-6A342BD1D97D}"/>
    <cellStyle name="Měna 2 2 4 4 2 3" xfId="1303" xr:uid="{919708EC-AD78-43EC-97E3-E3D165A6B580}"/>
    <cellStyle name="Měna 2 2 4 4 3" xfId="607" xr:uid="{37B50A2A-6363-4FCC-BC72-84D0846C4091}"/>
    <cellStyle name="Měna 2 2 4 4 3 2" xfId="1502" xr:uid="{0FCF9213-E9AF-4183-BC16-E92CBE155C8B}"/>
    <cellStyle name="Měna 2 2 4 4 4" xfId="1055" xr:uid="{5CC321DE-D417-4292-9409-B629F3972249}"/>
    <cellStyle name="Měna 2 2 4 5" xfId="258" xr:uid="{4F3C2AFA-68A6-45A9-8C0C-E8FF1A60357C}"/>
    <cellStyle name="Měna 2 2 4 5 2" xfId="707" xr:uid="{AD87AA8F-5F71-4E2C-9C10-95DA3AB7C8B0}"/>
    <cellStyle name="Měna 2 2 4 5 2 2" xfId="1602" xr:uid="{6C3E6D67-02A4-48D8-8174-A48177B3F6B5}"/>
    <cellStyle name="Měna 2 2 4 5 3" xfId="1155" xr:uid="{203DAAC1-10C0-4F1D-9995-AC9629AF5834}"/>
    <cellStyle name="Měna 2 2 4 6" xfId="309" xr:uid="{962BA746-0C07-4287-9535-4639B5A5E992}"/>
    <cellStyle name="Měna 2 2 4 6 2" xfId="756" xr:uid="{4E429DAA-EE24-49F9-B60E-CC9BBCE2D8B5}"/>
    <cellStyle name="Měna 2 2 4 6 2 2" xfId="1651" xr:uid="{A0F18AD1-9515-467C-AC23-E8197C2F5837}"/>
    <cellStyle name="Měna 2 2 4 6 3" xfId="1204" xr:uid="{F8B47546-8C5E-4F71-A6CE-5AF71D669D97}"/>
    <cellStyle name="Měna 2 2 4 7" xfId="508" xr:uid="{D93A30E6-8DD2-4600-902A-6D62311791A5}"/>
    <cellStyle name="Měna 2 2 4 7 2" xfId="1403" xr:uid="{D8BC232D-C6E4-4A11-9FEF-79F4E3BC1196}"/>
    <cellStyle name="Měna 2 2 4 8" xfId="955" xr:uid="{B52908ED-65BE-457A-A5C9-66F3B07633CA}"/>
    <cellStyle name="Měna 2 2 5" xfId="74" xr:uid="{BBDA68CD-4FF0-44D3-A769-B2D4D67FC192}"/>
    <cellStyle name="Měna 2 2 5 2" xfId="124" xr:uid="{7A8EDC18-BAA1-4C59-8B91-A80F36A48957}"/>
    <cellStyle name="Měna 2 2 5 2 2" xfId="224" xr:uid="{781B80E9-4C4F-4ECD-9775-9A16E24C3DA3}"/>
    <cellStyle name="Měna 2 2 5 2 2 2" xfId="474" xr:uid="{509656E0-2712-4E1D-9863-8288B7153FED}"/>
    <cellStyle name="Měna 2 2 5 2 2 2 2" xfId="921" xr:uid="{1EF24BE5-A1E3-48BF-9ED3-34DAB0E4640A}"/>
    <cellStyle name="Měna 2 2 5 2 2 2 2 2" xfId="1816" xr:uid="{4AEAE1A0-5259-41AD-B4EA-4578F3EF8DC9}"/>
    <cellStyle name="Měna 2 2 5 2 2 2 3" xfId="1369" xr:uid="{EDBE5E39-3D0C-406F-9D3D-4BB0D5356EEF}"/>
    <cellStyle name="Měna 2 2 5 2 2 3" xfId="673" xr:uid="{5AC743F8-FC19-4AB7-8967-275D94E99B65}"/>
    <cellStyle name="Měna 2 2 5 2 2 3 2" xfId="1568" xr:uid="{BCD37624-EEE9-45BB-8500-3F2F4CB51AE0}"/>
    <cellStyle name="Měna 2 2 5 2 2 4" xfId="1121" xr:uid="{D4123375-6316-4A20-A037-65B51A5C7652}"/>
    <cellStyle name="Měna 2 2 5 2 3" xfId="374" xr:uid="{8C13143B-127A-4884-BB5A-A903D22FAD40}"/>
    <cellStyle name="Měna 2 2 5 2 3 2" xfId="821" xr:uid="{A8AAB0B9-28D6-46CD-8D63-6D988617F8B7}"/>
    <cellStyle name="Měna 2 2 5 2 3 2 2" xfId="1716" xr:uid="{6615909C-5DDF-4BFE-BBA8-E4C86667C85E}"/>
    <cellStyle name="Měna 2 2 5 2 3 3" xfId="1269" xr:uid="{84FD788B-4CE9-4FD6-850A-F2E8555AEC43}"/>
    <cellStyle name="Měna 2 2 5 2 4" xfId="573" xr:uid="{8FC2A6E1-248E-41E0-B48C-B8A16468DA58}"/>
    <cellStyle name="Měna 2 2 5 2 4 2" xfId="1468" xr:uid="{061E4FF6-28DF-4089-B738-1630F8B6880B}"/>
    <cellStyle name="Měna 2 2 5 2 5" xfId="1021" xr:uid="{9F100F70-4263-44DD-A920-3C9701CEB1A2}"/>
    <cellStyle name="Měna 2 2 5 3" xfId="174" xr:uid="{D2A4A9D2-CFD9-4F3A-A56A-04FADCE0AE82}"/>
    <cellStyle name="Měna 2 2 5 3 2" xfId="424" xr:uid="{883A977B-15DA-4CA2-A715-E86A21E60455}"/>
    <cellStyle name="Měna 2 2 5 3 2 2" xfId="871" xr:uid="{F2141A24-0CFB-4398-BC54-9196C9F3789A}"/>
    <cellStyle name="Měna 2 2 5 3 2 2 2" xfId="1766" xr:uid="{F9F565FB-F93F-4905-A998-B1CA3087DBC3}"/>
    <cellStyle name="Měna 2 2 5 3 2 3" xfId="1319" xr:uid="{52A3D63F-7EED-4DAE-A679-BA708911D039}"/>
    <cellStyle name="Měna 2 2 5 3 3" xfId="623" xr:uid="{A0F7D3DC-7411-4E5C-950F-5404AC11538E}"/>
    <cellStyle name="Měna 2 2 5 3 3 2" xfId="1518" xr:uid="{21344590-71F7-4494-AB6F-18789E71D736}"/>
    <cellStyle name="Měna 2 2 5 3 4" xfId="1071" xr:uid="{15C7FBFE-FB17-48B5-A4A5-4A9E6DB7F38B}"/>
    <cellStyle name="Měna 2 2 5 4" xfId="275" xr:uid="{4BEF0F06-ECAA-47D2-85F8-4E8B3E60E3C8}"/>
    <cellStyle name="Měna 2 2 5 4 2" xfId="722" xr:uid="{488C331C-1E5B-4177-A640-FB05275D064F}"/>
    <cellStyle name="Měna 2 2 5 4 2 2" xfId="1617" xr:uid="{3B45F04D-99F3-44F6-A935-9FF11DB1D504}"/>
    <cellStyle name="Měna 2 2 5 4 3" xfId="1170" xr:uid="{1992BF4A-E18C-405F-994E-2586BEF06882}"/>
    <cellStyle name="Měna 2 2 5 5" xfId="324" xr:uid="{FC88571D-9F3E-4B59-83C8-7FA1603578DC}"/>
    <cellStyle name="Měna 2 2 5 5 2" xfId="771" xr:uid="{23EA085E-1ACA-4368-BCE5-E08125285314}"/>
    <cellStyle name="Měna 2 2 5 5 2 2" xfId="1666" xr:uid="{DD1BBE06-3135-4F09-BB7D-7C2F0BE1A726}"/>
    <cellStyle name="Měna 2 2 5 5 3" xfId="1219" xr:uid="{033E1B8E-E4B6-4DC1-8919-09A71D7F15CE}"/>
    <cellStyle name="Měna 2 2 5 6" xfId="523" xr:uid="{1AE9E17A-805A-4366-A20C-E4BC95DF7375}"/>
    <cellStyle name="Měna 2 2 5 6 2" xfId="1418" xr:uid="{C9FF3C0E-5A41-408D-BA13-CDFE47BB7529}"/>
    <cellStyle name="Měna 2 2 5 7" xfId="971" xr:uid="{E45D0341-AA4F-4900-8ED7-42F2E6622752}"/>
    <cellStyle name="Měna 2 2 6" xfId="99" xr:uid="{E9E0F233-7C77-40CB-A48E-966DABE899C1}"/>
    <cellStyle name="Měna 2 2 6 2" xfId="199" xr:uid="{B60BED20-2EAD-497F-AC36-52A4A2780E54}"/>
    <cellStyle name="Měna 2 2 6 2 2" xfId="449" xr:uid="{2BBF4F6C-2648-436F-B8D0-AF91278694F5}"/>
    <cellStyle name="Měna 2 2 6 2 2 2" xfId="896" xr:uid="{A0765346-924A-4109-9626-CF6E3FADE173}"/>
    <cellStyle name="Měna 2 2 6 2 2 2 2" xfId="1791" xr:uid="{6FA07532-4CF9-46AB-8617-5F4ED0564F34}"/>
    <cellStyle name="Měna 2 2 6 2 2 3" xfId="1344" xr:uid="{DA250433-0B1F-4FBC-A94D-0A535AEB33E8}"/>
    <cellStyle name="Měna 2 2 6 2 3" xfId="648" xr:uid="{E8009E52-2E54-4C40-8FA3-BC811620EFAF}"/>
    <cellStyle name="Měna 2 2 6 2 3 2" xfId="1543" xr:uid="{7AEB3EDD-2ABD-4620-9748-587B68A2BBBD}"/>
    <cellStyle name="Měna 2 2 6 2 4" xfId="1096" xr:uid="{5B656005-ECEA-4E7F-B1EC-F0DC176D24E3}"/>
    <cellStyle name="Měna 2 2 6 3" xfId="349" xr:uid="{371371D3-FD33-4B2A-A891-B4C35794B8FD}"/>
    <cellStyle name="Měna 2 2 6 3 2" xfId="796" xr:uid="{0CC77F37-4A9A-4A08-A4DD-45C98B2C8B93}"/>
    <cellStyle name="Měna 2 2 6 3 2 2" xfId="1691" xr:uid="{3B9FB9D7-5058-448C-B36D-A40078583227}"/>
    <cellStyle name="Měna 2 2 6 3 3" xfId="1244" xr:uid="{3A4CB84B-A844-4738-813F-88EA35DD0A86}"/>
    <cellStyle name="Měna 2 2 6 4" xfId="548" xr:uid="{9D78C35D-0C5A-4C69-ACC8-3491C4F0D63A}"/>
    <cellStyle name="Měna 2 2 6 4 2" xfId="1443" xr:uid="{0D381C72-9A23-4052-88F5-6D00EB725092}"/>
    <cellStyle name="Měna 2 2 6 5" xfId="996" xr:uid="{1842EA48-728C-4F51-B3CC-2DC45776CF93}"/>
    <cellStyle name="Měna 2 2 7" xfId="149" xr:uid="{266A86D1-3F7D-4818-91CA-023D8D8E6121}"/>
    <cellStyle name="Měna 2 2 7 2" xfId="399" xr:uid="{1D142FAE-5EE2-4253-B0C7-CDD029948DB5}"/>
    <cellStyle name="Měna 2 2 7 2 2" xfId="846" xr:uid="{53B93288-EB3F-490C-86A7-F5F71B29D2FE}"/>
    <cellStyle name="Měna 2 2 7 2 2 2" xfId="1741" xr:uid="{2842C001-4119-4EB3-A9D2-B0BBAB43D324}"/>
    <cellStyle name="Měna 2 2 7 2 3" xfId="1294" xr:uid="{BBFAD5B6-2A2A-4ED4-8C3E-100D2772AAC8}"/>
    <cellStyle name="Měna 2 2 7 3" xfId="598" xr:uid="{CDB42E9D-F3FA-4962-BA60-BA4B26C1E44B}"/>
    <cellStyle name="Měna 2 2 7 3 2" xfId="1493" xr:uid="{368900C2-2F8C-4DE6-9ED2-0CADA68A0AE0}"/>
    <cellStyle name="Měna 2 2 7 4" xfId="1046" xr:uid="{31ABD43C-3B8B-4C9A-9315-66CA19BC9296}"/>
    <cellStyle name="Měna 2 2 8" xfId="249" xr:uid="{BC54222F-AF55-4C89-A2F4-48109E714014}"/>
    <cellStyle name="Měna 2 2 8 2" xfId="698" xr:uid="{01C15A3D-C986-457D-B8F0-FF3054E19B72}"/>
    <cellStyle name="Měna 2 2 8 2 2" xfId="1593" xr:uid="{6C31817E-B4EC-4EBA-99C3-F7AB432AC0A3}"/>
    <cellStyle name="Měna 2 2 8 3" xfId="1146" xr:uid="{92B2B51A-2B9E-4934-8F69-F05863FD164D}"/>
    <cellStyle name="Měna 2 2 9" xfId="300" xr:uid="{21B5E0E6-4B10-414D-86EC-4E2A4BF159F0}"/>
    <cellStyle name="Měna 2 2 9 2" xfId="747" xr:uid="{871387BE-99C7-4C65-A6C8-BD37F3A167C9}"/>
    <cellStyle name="Měna 2 2 9 2 2" xfId="1642" xr:uid="{C6869E56-3FC3-48B7-AFD8-918B3319B78C}"/>
    <cellStyle name="Měna 2 2 9 3" xfId="1195" xr:uid="{157D9F5E-3490-4E90-8BF0-06BC020C0F72}"/>
    <cellStyle name="Měna 2 3" xfId="24" xr:uid="{7418F2BB-6E0E-4888-8FE3-2A68AFC71D3A}"/>
    <cellStyle name="Měna 2 3 10" xfId="947" xr:uid="{AAC66FA8-414D-48CD-AB27-09B77B2D8BAD}"/>
    <cellStyle name="Měna 2 3 2" xfId="31" xr:uid="{7418F2BB-6E0E-4888-8FE3-2A68AFC71D3A}"/>
    <cellStyle name="Měna 2 3 2 2" xfId="53" xr:uid="{9F9E4BB1-701F-455F-B898-48ECA74FBEE2}"/>
    <cellStyle name="Měna 2 3 2 2 2" xfId="87" xr:uid="{258CAEE4-7851-4C33-99AF-D0E636893630}"/>
    <cellStyle name="Měna 2 3 2 2 2 2" xfId="137" xr:uid="{D753419A-D606-4FD6-BEB6-346EDD45CA66}"/>
    <cellStyle name="Měna 2 3 2 2 2 2 2" xfId="237" xr:uid="{E12E760D-0EAC-46FE-92AE-695D75600BC7}"/>
    <cellStyle name="Měna 2 3 2 2 2 2 2 2" xfId="487" xr:uid="{2B16C3A9-FBF3-4EDD-B900-3F7451A1DF32}"/>
    <cellStyle name="Měna 2 3 2 2 2 2 2 2 2" xfId="934" xr:uid="{22E69941-2901-4EB5-B636-DF53AFE1F7C5}"/>
    <cellStyle name="Měna 2 3 2 2 2 2 2 2 2 2" xfId="1829" xr:uid="{B21A1086-9518-4A65-ABC9-578FACCA9790}"/>
    <cellStyle name="Měna 2 3 2 2 2 2 2 2 3" xfId="1382" xr:uid="{764C7B36-59A5-4845-AD7D-7031DE7A3CEA}"/>
    <cellStyle name="Měna 2 3 2 2 2 2 2 3" xfId="686" xr:uid="{E04AF3ED-DE45-4EA1-8EC1-FA6333405C28}"/>
    <cellStyle name="Měna 2 3 2 2 2 2 2 3 2" xfId="1581" xr:uid="{789F412D-FAF1-4A8A-B580-7A185B2238CF}"/>
    <cellStyle name="Měna 2 3 2 2 2 2 2 4" xfId="1134" xr:uid="{9AAC76E5-4DC2-4BFC-8987-3C3DCA4792D3}"/>
    <cellStyle name="Měna 2 3 2 2 2 2 3" xfId="387" xr:uid="{1DDA2D32-0649-460D-BC05-75359CFE8A7F}"/>
    <cellStyle name="Měna 2 3 2 2 2 2 3 2" xfId="834" xr:uid="{222D5356-0AA9-4E3C-8B58-A06EF045C518}"/>
    <cellStyle name="Měna 2 3 2 2 2 2 3 2 2" xfId="1729" xr:uid="{76DFB1A3-08C5-4857-AEB2-22529A05CB1C}"/>
    <cellStyle name="Měna 2 3 2 2 2 2 3 3" xfId="1282" xr:uid="{2B1CB619-0701-4CA1-8F56-2A14A06AFC3A}"/>
    <cellStyle name="Měna 2 3 2 2 2 2 4" xfId="586" xr:uid="{7FBF308B-25FE-4DBA-B411-FDD3C1AC219C}"/>
    <cellStyle name="Měna 2 3 2 2 2 2 4 2" xfId="1481" xr:uid="{906B661F-5B54-40EC-98D6-9A7A2F6D52A7}"/>
    <cellStyle name="Měna 2 3 2 2 2 2 5" xfId="1034" xr:uid="{923C9B45-053C-4B6E-82A1-624A75BDF251}"/>
    <cellStyle name="Měna 2 3 2 2 2 3" xfId="187" xr:uid="{ECA14A8C-92E7-403A-B011-528766808FF1}"/>
    <cellStyle name="Měna 2 3 2 2 2 3 2" xfId="437" xr:uid="{E45FDB6C-87E7-4DDA-AEA9-AA168ACE62A5}"/>
    <cellStyle name="Měna 2 3 2 2 2 3 2 2" xfId="884" xr:uid="{F6123892-A0FA-470E-8587-41B2C18845F0}"/>
    <cellStyle name="Měna 2 3 2 2 2 3 2 2 2" xfId="1779" xr:uid="{8F0C08A7-F73D-40AA-9858-60C357772C42}"/>
    <cellStyle name="Měna 2 3 2 2 2 3 2 3" xfId="1332" xr:uid="{5B57C711-CCA3-4C6A-B9A0-0C437BE8CC13}"/>
    <cellStyle name="Měna 2 3 2 2 2 3 3" xfId="636" xr:uid="{6675C354-0E87-4732-9C68-9952BD8D38DF}"/>
    <cellStyle name="Měna 2 3 2 2 2 3 3 2" xfId="1531" xr:uid="{082C675A-40E2-45FB-B9B1-1415F740A98C}"/>
    <cellStyle name="Měna 2 3 2 2 2 3 4" xfId="1084" xr:uid="{98B6E4D5-3BB2-4979-BEF2-E380E72C95A1}"/>
    <cellStyle name="Měna 2 3 2 2 2 4" xfId="288" xr:uid="{1D11671A-5ACB-4DF8-88DB-408C70B7401E}"/>
    <cellStyle name="Měna 2 3 2 2 2 4 2" xfId="735" xr:uid="{0D3CC273-35C3-41F9-9254-EA413A9020CC}"/>
    <cellStyle name="Měna 2 3 2 2 2 4 2 2" xfId="1630" xr:uid="{CADA13B3-BC80-4D7E-A6CD-0BA42A746293}"/>
    <cellStyle name="Měna 2 3 2 2 2 4 3" xfId="1183" xr:uid="{F7521D38-9FCE-4928-B943-E0AE00E95F15}"/>
    <cellStyle name="Měna 2 3 2 2 2 5" xfId="337" xr:uid="{5109C7B4-D87C-4670-8557-071FDFAC0153}"/>
    <cellStyle name="Měna 2 3 2 2 2 5 2" xfId="784" xr:uid="{859070BF-5756-4276-8E1E-603AE05D40D6}"/>
    <cellStyle name="Měna 2 3 2 2 2 5 2 2" xfId="1679" xr:uid="{965A212B-7DE8-4F96-BCC3-EB5660FF23FF}"/>
    <cellStyle name="Měna 2 3 2 2 2 5 3" xfId="1232" xr:uid="{BF74FDD1-B9F4-4610-A74F-43CD793DAE54}"/>
    <cellStyle name="Měna 2 3 2 2 2 6" xfId="536" xr:uid="{23538ABC-2484-42F9-91FE-F6188B66A3CB}"/>
    <cellStyle name="Měna 2 3 2 2 2 6 2" xfId="1431" xr:uid="{1DDB3A1B-5481-4499-A3BB-D85D91F5DE19}"/>
    <cellStyle name="Měna 2 3 2 2 2 7" xfId="984" xr:uid="{C6B63CE6-4844-4B3E-87DC-5B74DA050AAC}"/>
    <cellStyle name="Měna 2 3 2 2 3" xfId="112" xr:uid="{D5B4D76F-3DAE-4D1F-B18C-9356510A4D1A}"/>
    <cellStyle name="Měna 2 3 2 2 3 2" xfId="212" xr:uid="{2D40BBCE-C406-4E4A-B2EE-C732845072EA}"/>
    <cellStyle name="Měna 2 3 2 2 3 2 2" xfId="462" xr:uid="{84645579-AC3D-48ED-B9C5-A55BC93557A2}"/>
    <cellStyle name="Měna 2 3 2 2 3 2 2 2" xfId="909" xr:uid="{941EB31D-8D65-48F0-9014-D27461039469}"/>
    <cellStyle name="Měna 2 3 2 2 3 2 2 2 2" xfId="1804" xr:uid="{ADA564A4-72AE-4E29-96E6-06ADAD706ADE}"/>
    <cellStyle name="Měna 2 3 2 2 3 2 2 3" xfId="1357" xr:uid="{DC24DF2F-E455-4881-90C0-DE9ED8C0DC92}"/>
    <cellStyle name="Měna 2 3 2 2 3 2 3" xfId="661" xr:uid="{78149ACB-9281-4CC8-8187-FD4E62A73D77}"/>
    <cellStyle name="Měna 2 3 2 2 3 2 3 2" xfId="1556" xr:uid="{9A8AAA1D-D6C9-4CE5-94FF-DA430605E241}"/>
    <cellStyle name="Měna 2 3 2 2 3 2 4" xfId="1109" xr:uid="{5417F46C-07BF-4431-9838-2985B945FF73}"/>
    <cellStyle name="Měna 2 3 2 2 3 3" xfId="362" xr:uid="{99D4455F-7B9A-47FA-8688-F147C9B07A4E}"/>
    <cellStyle name="Měna 2 3 2 2 3 3 2" xfId="809" xr:uid="{E31C0F87-11ED-4301-8202-EAF2116BA272}"/>
    <cellStyle name="Měna 2 3 2 2 3 3 2 2" xfId="1704" xr:uid="{39AAB075-4ACB-41EF-9756-C0AFE7BF2905}"/>
    <cellStyle name="Měna 2 3 2 2 3 3 3" xfId="1257" xr:uid="{01D9FD74-1854-459C-B8F8-8C01FC1CC9D9}"/>
    <cellStyle name="Měna 2 3 2 2 3 4" xfId="561" xr:uid="{F5733D57-7F12-4F13-872A-D5C08BA465DC}"/>
    <cellStyle name="Měna 2 3 2 2 3 4 2" xfId="1456" xr:uid="{467EFE1B-3C93-4518-96FC-39F53D285875}"/>
    <cellStyle name="Měna 2 3 2 2 3 5" xfId="1009" xr:uid="{2692A976-1A3F-47E5-8EC9-A5EB0DF33CB0}"/>
    <cellStyle name="Měna 2 3 2 2 4" xfId="162" xr:uid="{4DD7E5A7-31C7-436A-B4E9-FEA124746AA7}"/>
    <cellStyle name="Měna 2 3 2 2 4 2" xfId="412" xr:uid="{E680CB46-3FEA-448D-81BD-815795C38C41}"/>
    <cellStyle name="Měna 2 3 2 2 4 2 2" xfId="859" xr:uid="{25F717E1-BFFC-42A7-9592-3AF8903961A5}"/>
    <cellStyle name="Měna 2 3 2 2 4 2 2 2" xfId="1754" xr:uid="{055B71DF-B77D-4128-990C-D3BCFCEE8054}"/>
    <cellStyle name="Měna 2 3 2 2 4 2 3" xfId="1307" xr:uid="{D788C7FD-C57E-496B-BFA0-71FFFE41F437}"/>
    <cellStyle name="Měna 2 3 2 2 4 3" xfId="611" xr:uid="{CACF2DF4-2A8E-42AC-8B36-476F125256EA}"/>
    <cellStyle name="Měna 2 3 2 2 4 3 2" xfId="1506" xr:uid="{EFBDC82B-D383-4AB5-A68E-D297AE26E3FF}"/>
    <cellStyle name="Měna 2 3 2 2 4 4" xfId="1059" xr:uid="{249812B3-1D81-41F9-8572-FE2F00D917B6}"/>
    <cellStyle name="Měna 2 3 2 2 5" xfId="262" xr:uid="{2C2EDC76-4415-4775-8096-78C9D012079C}"/>
    <cellStyle name="Měna 2 3 2 2 5 2" xfId="711" xr:uid="{FD5FE4CB-B15C-45DD-9E71-1D2855A2105D}"/>
    <cellStyle name="Měna 2 3 2 2 5 2 2" xfId="1606" xr:uid="{7EBCA97F-F3A3-4DC3-B6DA-5DCA7F7CC74D}"/>
    <cellStyle name="Měna 2 3 2 2 5 3" xfId="1159" xr:uid="{ACD2BEA8-F563-4D7C-BB67-AE59C7B2888C}"/>
    <cellStyle name="Měna 2 3 2 2 6" xfId="313" xr:uid="{6BCF9F16-8B8B-4634-9C38-DF50157DFD3D}"/>
    <cellStyle name="Měna 2 3 2 2 6 2" xfId="760" xr:uid="{69E2E5A8-39DF-4C9E-B705-DABFFAE48ED7}"/>
    <cellStyle name="Měna 2 3 2 2 6 2 2" xfId="1655" xr:uid="{07F416EA-7FAD-42C9-918E-DC274247761E}"/>
    <cellStyle name="Měna 2 3 2 2 6 3" xfId="1208" xr:uid="{EE70023E-2C61-4063-9A51-9FC1801EC335}"/>
    <cellStyle name="Měna 2 3 2 2 7" xfId="512" xr:uid="{3CDD6304-A833-4FEA-83A8-A7B875815CDA}"/>
    <cellStyle name="Měna 2 3 2 2 7 2" xfId="1407" xr:uid="{D2E18EEC-0CA9-4147-AFDF-6AAF9C205954}"/>
    <cellStyle name="Měna 2 3 2 2 8" xfId="959" xr:uid="{D116B344-2B88-4EF3-911C-3391EB66F04D}"/>
    <cellStyle name="Měna 2 3 2 3" xfId="78" xr:uid="{250B268E-75D0-4E1F-BFAC-86DED04B1ABF}"/>
    <cellStyle name="Měna 2 3 2 3 2" xfId="128" xr:uid="{33C4B09E-327D-4F52-9C2B-48990E980B43}"/>
    <cellStyle name="Měna 2 3 2 3 2 2" xfId="228" xr:uid="{1708FB71-3E60-4F4B-BB2C-D3713880C0E5}"/>
    <cellStyle name="Měna 2 3 2 3 2 2 2" xfId="478" xr:uid="{69597EDD-F734-4E10-9128-686076D52B0B}"/>
    <cellStyle name="Měna 2 3 2 3 2 2 2 2" xfId="925" xr:uid="{F5A961EA-14F1-4AC3-B32C-FC2B08A79717}"/>
    <cellStyle name="Měna 2 3 2 3 2 2 2 2 2" xfId="1820" xr:uid="{5AB6E378-50DF-4378-9ED8-F2ACE1D100EB}"/>
    <cellStyle name="Měna 2 3 2 3 2 2 2 3" xfId="1373" xr:uid="{812481B1-C780-45FB-94AB-4116F7C3F8D5}"/>
    <cellStyle name="Měna 2 3 2 3 2 2 3" xfId="677" xr:uid="{D1B649B2-DF8A-4C96-84C9-ABDEB596E21D}"/>
    <cellStyle name="Měna 2 3 2 3 2 2 3 2" xfId="1572" xr:uid="{0F1F6992-ADA4-4135-A27B-50864A91B5D5}"/>
    <cellStyle name="Měna 2 3 2 3 2 2 4" xfId="1125" xr:uid="{721DDCF0-B9A7-4AB8-9043-468756EF1767}"/>
    <cellStyle name="Měna 2 3 2 3 2 3" xfId="378" xr:uid="{C8C1F583-A7AE-4BB2-A8A8-0BC1D09494C6}"/>
    <cellStyle name="Měna 2 3 2 3 2 3 2" xfId="825" xr:uid="{55ABFB09-B9CF-4DC8-8C20-0DFAAEF944E0}"/>
    <cellStyle name="Měna 2 3 2 3 2 3 2 2" xfId="1720" xr:uid="{43AE4BDB-453B-434E-916B-D61660941793}"/>
    <cellStyle name="Měna 2 3 2 3 2 3 3" xfId="1273" xr:uid="{EE4DE5A2-79FF-4E32-839A-EF52B7C395C9}"/>
    <cellStyle name="Měna 2 3 2 3 2 4" xfId="577" xr:uid="{915BA698-1C7B-4702-88F3-229DDF9E9985}"/>
    <cellStyle name="Měna 2 3 2 3 2 4 2" xfId="1472" xr:uid="{57046C1A-1EDF-4D30-A30E-DDC0FA945707}"/>
    <cellStyle name="Měna 2 3 2 3 2 5" xfId="1025" xr:uid="{FD651D8F-15F5-428B-AFA0-06F00553B7F9}"/>
    <cellStyle name="Měna 2 3 2 3 3" xfId="178" xr:uid="{E3A5BEE3-81FE-4542-AABA-61BB04747B24}"/>
    <cellStyle name="Měna 2 3 2 3 3 2" xfId="428" xr:uid="{951145BF-EF10-42BD-9984-E40C0E469F0D}"/>
    <cellStyle name="Měna 2 3 2 3 3 2 2" xfId="875" xr:uid="{7A180C8B-8C37-4919-8265-56312DCECFBA}"/>
    <cellStyle name="Měna 2 3 2 3 3 2 2 2" xfId="1770" xr:uid="{C9A07886-8171-4C59-AD2E-54848214205C}"/>
    <cellStyle name="Měna 2 3 2 3 3 2 3" xfId="1323" xr:uid="{619936AD-238F-46A6-81EE-23A405B5622B}"/>
    <cellStyle name="Měna 2 3 2 3 3 3" xfId="627" xr:uid="{A813CF62-9AE2-4D51-98C1-99F79C95EC8C}"/>
    <cellStyle name="Měna 2 3 2 3 3 3 2" xfId="1522" xr:uid="{79D3752D-AB97-4560-84F0-FA25915767DE}"/>
    <cellStyle name="Měna 2 3 2 3 3 4" xfId="1075" xr:uid="{554299EC-2CD4-4D25-9419-C3E0B933C2F9}"/>
    <cellStyle name="Měna 2 3 2 3 4" xfId="279" xr:uid="{F70F7EA2-4183-4F78-A258-4A2669BC13CD}"/>
    <cellStyle name="Měna 2 3 2 3 4 2" xfId="726" xr:uid="{E95415B4-F32B-4148-A2E6-F1034FB820C5}"/>
    <cellStyle name="Měna 2 3 2 3 4 2 2" xfId="1621" xr:uid="{EE78500D-A26F-4D80-8830-926ADC467CD1}"/>
    <cellStyle name="Měna 2 3 2 3 4 3" xfId="1174" xr:uid="{224B5616-9BAD-49C9-A79C-CB09126D91EB}"/>
    <cellStyle name="Měna 2 3 2 3 5" xfId="328" xr:uid="{879CE655-AFAD-4DD8-B3F1-D422AB1DC161}"/>
    <cellStyle name="Měna 2 3 2 3 5 2" xfId="775" xr:uid="{1475FF0B-A6EC-4922-9D1D-ACDC0CF3AEDF}"/>
    <cellStyle name="Měna 2 3 2 3 5 2 2" xfId="1670" xr:uid="{E7CA0A32-365A-4177-95A7-8D7A713F68A4}"/>
    <cellStyle name="Měna 2 3 2 3 5 3" xfId="1223" xr:uid="{8934CF5B-E318-4D5D-9E90-07DE26D8A4A4}"/>
    <cellStyle name="Měna 2 3 2 3 6" xfId="527" xr:uid="{F55BC38B-3ABA-4CAE-AA10-3A5CB045231C}"/>
    <cellStyle name="Měna 2 3 2 3 6 2" xfId="1422" xr:uid="{EE501FAD-5F4C-47D8-8E1B-041FA68B3044}"/>
    <cellStyle name="Měna 2 3 2 3 7" xfId="975" xr:uid="{B00BFC3F-8867-4807-9E3E-BD021CE9100B}"/>
    <cellStyle name="Měna 2 3 2 4" xfId="103" xr:uid="{E8E656B8-AF17-41DB-A518-A5D01A7A02AC}"/>
    <cellStyle name="Měna 2 3 2 4 2" xfId="203" xr:uid="{10028517-9CA0-4CDC-A498-D695A4F8DDAB}"/>
    <cellStyle name="Měna 2 3 2 4 2 2" xfId="453" xr:uid="{0F4A87E2-389A-4B07-B6AD-BD74449963FE}"/>
    <cellStyle name="Měna 2 3 2 4 2 2 2" xfId="900" xr:uid="{B2E7EE87-0C04-49A8-B97B-2CE8E2C74B79}"/>
    <cellStyle name="Měna 2 3 2 4 2 2 2 2" xfId="1795" xr:uid="{A917FEBB-5240-4364-AE58-C894A5B27AFB}"/>
    <cellStyle name="Měna 2 3 2 4 2 2 3" xfId="1348" xr:uid="{96352BEC-B51C-45E9-8B9E-524366F285B4}"/>
    <cellStyle name="Měna 2 3 2 4 2 3" xfId="652" xr:uid="{D2EC0422-5C6B-4A36-A7A8-24DB64F765F5}"/>
    <cellStyle name="Měna 2 3 2 4 2 3 2" xfId="1547" xr:uid="{A7DE6999-5775-4B1D-859D-0A90209536CE}"/>
    <cellStyle name="Měna 2 3 2 4 2 4" xfId="1100" xr:uid="{2934998F-71D8-4360-86CE-5DFDFB2C896D}"/>
    <cellStyle name="Měna 2 3 2 4 3" xfId="353" xr:uid="{F40A7172-8110-42BC-B2D2-423C394AF295}"/>
    <cellStyle name="Měna 2 3 2 4 3 2" xfId="800" xr:uid="{53A2027E-9452-4147-9CAA-D2158A1FF4B4}"/>
    <cellStyle name="Měna 2 3 2 4 3 2 2" xfId="1695" xr:uid="{71523F72-1A4E-4B9D-B8D1-6081B3112F1D}"/>
    <cellStyle name="Měna 2 3 2 4 3 3" xfId="1248" xr:uid="{38D7ED81-CC0E-49FB-B4B9-9F8C1FE870C9}"/>
    <cellStyle name="Měna 2 3 2 4 4" xfId="552" xr:uid="{94D54FC9-E498-4C58-A4B2-36865534EB58}"/>
    <cellStyle name="Měna 2 3 2 4 4 2" xfId="1447" xr:uid="{004E396C-52FD-41C0-A109-855F550AB339}"/>
    <cellStyle name="Měna 2 3 2 4 5" xfId="1000" xr:uid="{6B6F2842-FC76-45FB-9F5F-76C141FC03F5}"/>
    <cellStyle name="Měna 2 3 2 5" xfId="153" xr:uid="{9ABB5D8F-B56A-4F93-8052-21EE0C36BC5D}"/>
    <cellStyle name="Měna 2 3 2 5 2" xfId="403" xr:uid="{273ECA34-E3F8-4A3B-9B48-D5788048B036}"/>
    <cellStyle name="Měna 2 3 2 5 2 2" xfId="850" xr:uid="{62931282-61FD-4EDB-B002-EDD9FA138560}"/>
    <cellStyle name="Měna 2 3 2 5 2 2 2" xfId="1745" xr:uid="{92DE447D-CBBB-4BBE-97CE-92DD3D0C592A}"/>
    <cellStyle name="Měna 2 3 2 5 2 3" xfId="1298" xr:uid="{F9533EA2-8F3F-44E3-8F06-C0628D0DD85D}"/>
    <cellStyle name="Měna 2 3 2 5 3" xfId="602" xr:uid="{0BE9248E-5886-4C46-9B2B-06242E2AD629}"/>
    <cellStyle name="Měna 2 3 2 5 3 2" xfId="1497" xr:uid="{6EFC21DF-9C99-451D-B2B4-8206D7816E75}"/>
    <cellStyle name="Měna 2 3 2 5 4" xfId="1050" xr:uid="{84DD8911-E07C-4456-9C76-39910EA4ADD4}"/>
    <cellStyle name="Měna 2 3 2 6" xfId="253" xr:uid="{3F87B78E-D416-496E-A667-FC5A38B83BEA}"/>
    <cellStyle name="Měna 2 3 2 6 2" xfId="702" xr:uid="{21B1B4D3-3134-4B3E-B1F4-8712ED055802}"/>
    <cellStyle name="Měna 2 3 2 6 2 2" xfId="1597" xr:uid="{7F40ADF0-720D-4F4B-8544-61208F121DA0}"/>
    <cellStyle name="Měna 2 3 2 6 3" xfId="1150" xr:uid="{58651877-24DA-4F47-A652-9BB90D8B86FF}"/>
    <cellStyle name="Měna 2 3 2 7" xfId="304" xr:uid="{7D0DF210-B6EE-4B78-A421-FD1E8D3623F8}"/>
    <cellStyle name="Měna 2 3 2 7 2" xfId="751" xr:uid="{B5915791-2202-423A-8059-083A2DD59A16}"/>
    <cellStyle name="Měna 2 3 2 7 2 2" xfId="1646" xr:uid="{BBEB9C05-3340-4301-9C4B-398922EFAC2F}"/>
    <cellStyle name="Měna 2 3 2 7 3" xfId="1199" xr:uid="{5FEE3C3F-6961-40EA-B3BD-5150C1DEE1F2}"/>
    <cellStyle name="Měna 2 3 2 8" xfId="503" xr:uid="{B15D3D13-D805-4D60-9DE5-C0EC3BF369C3}"/>
    <cellStyle name="Měna 2 3 2 8 2" xfId="1398" xr:uid="{2BB5609D-DA1F-48D2-AD8E-F2230D204BC1}"/>
    <cellStyle name="Měna 2 3 2 9" xfId="950" xr:uid="{A871853A-8AE6-47AF-BBE9-2908A2393CF4}"/>
    <cellStyle name="Měna 2 3 3" xfId="49" xr:uid="{90548659-8ED1-4EBC-B76A-077B23D53D43}"/>
    <cellStyle name="Měna 2 3 3 2" xfId="84" xr:uid="{8579324D-0DF2-467F-BDEE-7453E221A09D}"/>
    <cellStyle name="Měna 2 3 3 2 2" xfId="134" xr:uid="{7979AB32-7E66-4BA8-80CA-C79C4984E77E}"/>
    <cellStyle name="Měna 2 3 3 2 2 2" xfId="234" xr:uid="{4EFF89AE-5EB0-43E7-8845-EBA07209EFC7}"/>
    <cellStyle name="Měna 2 3 3 2 2 2 2" xfId="484" xr:uid="{5E7C23D8-6F0C-48E5-8C05-80F2D3C2A3BA}"/>
    <cellStyle name="Měna 2 3 3 2 2 2 2 2" xfId="931" xr:uid="{71E84213-93EC-4D31-ACEC-BC06D8E3DDF2}"/>
    <cellStyle name="Měna 2 3 3 2 2 2 2 2 2" xfId="1826" xr:uid="{01D0B4F9-BF32-417E-8532-440930CBD2B4}"/>
    <cellStyle name="Měna 2 3 3 2 2 2 2 3" xfId="1379" xr:uid="{E108BE43-F844-4E95-B850-52E7051C1684}"/>
    <cellStyle name="Měna 2 3 3 2 2 2 3" xfId="683" xr:uid="{6A611F34-5E60-44B5-AD6C-EFE5B68D7F12}"/>
    <cellStyle name="Měna 2 3 3 2 2 2 3 2" xfId="1578" xr:uid="{F38D2BC7-86D5-41C2-9E10-0B0AAB76EACB}"/>
    <cellStyle name="Měna 2 3 3 2 2 2 4" xfId="1131" xr:uid="{F2DF837C-8559-480D-9B51-4EB9EFD7E2D5}"/>
    <cellStyle name="Měna 2 3 3 2 2 3" xfId="384" xr:uid="{448025D0-69C1-4B2C-B30C-69E2B3B6A48E}"/>
    <cellStyle name="Měna 2 3 3 2 2 3 2" xfId="831" xr:uid="{C3B97A1B-B065-40E2-9074-20A4496E2B65}"/>
    <cellStyle name="Měna 2 3 3 2 2 3 2 2" xfId="1726" xr:uid="{6B46B848-0482-4914-9DAF-6F860234843F}"/>
    <cellStyle name="Měna 2 3 3 2 2 3 3" xfId="1279" xr:uid="{F3C273BE-BFE0-4921-A855-7812C3516131}"/>
    <cellStyle name="Měna 2 3 3 2 2 4" xfId="583" xr:uid="{E7E51F0B-EBDF-4FBD-B8EC-FBE8EBE8289F}"/>
    <cellStyle name="Měna 2 3 3 2 2 4 2" xfId="1478" xr:uid="{D70D6F04-0095-498B-8F2D-5CB88025E38C}"/>
    <cellStyle name="Měna 2 3 3 2 2 5" xfId="1031" xr:uid="{9A56F01C-1686-4089-AB05-4E37BD3A92D6}"/>
    <cellStyle name="Měna 2 3 3 2 3" xfId="184" xr:uid="{74BACF76-558E-45DD-AB42-298442E2C363}"/>
    <cellStyle name="Měna 2 3 3 2 3 2" xfId="434" xr:uid="{E5AC5048-5B71-4361-9171-2941FAFDA08A}"/>
    <cellStyle name="Měna 2 3 3 2 3 2 2" xfId="881" xr:uid="{A911E7F1-F5E2-4339-9DE9-5CD2FD4BA4CE}"/>
    <cellStyle name="Měna 2 3 3 2 3 2 2 2" xfId="1776" xr:uid="{4107DA6D-17D1-4423-B625-EA8FC1EEE40D}"/>
    <cellStyle name="Měna 2 3 3 2 3 2 3" xfId="1329" xr:uid="{EAFFCE84-4D5E-4896-8558-09264102273C}"/>
    <cellStyle name="Měna 2 3 3 2 3 3" xfId="633" xr:uid="{02B02ECE-882E-4110-A5DE-FC3B24B3E3F1}"/>
    <cellStyle name="Měna 2 3 3 2 3 3 2" xfId="1528" xr:uid="{F0D81EF5-33B6-4ABD-8B36-C2BC67D1A924}"/>
    <cellStyle name="Měna 2 3 3 2 3 4" xfId="1081" xr:uid="{584AB67B-E93E-4E96-95DD-CACA2BE2DC8B}"/>
    <cellStyle name="Měna 2 3 3 2 4" xfId="285" xr:uid="{31D80CEC-FF13-4153-8128-BADB8252C165}"/>
    <cellStyle name="Měna 2 3 3 2 4 2" xfId="732" xr:uid="{9C246C6D-509A-463D-A4D2-832CA96BB450}"/>
    <cellStyle name="Měna 2 3 3 2 4 2 2" xfId="1627" xr:uid="{F8DF5259-9119-4D44-A309-4B1B1DA6C644}"/>
    <cellStyle name="Měna 2 3 3 2 4 3" xfId="1180" xr:uid="{32FAA207-75B9-4A43-A146-52AD10971403}"/>
    <cellStyle name="Měna 2 3 3 2 5" xfId="334" xr:uid="{BF76D79C-F141-4D72-864C-CDAEDF9472CA}"/>
    <cellStyle name="Měna 2 3 3 2 5 2" xfId="781" xr:uid="{6176DB7F-2FBD-4553-8F32-C2AF830FE6E8}"/>
    <cellStyle name="Měna 2 3 3 2 5 2 2" xfId="1676" xr:uid="{C9D63914-9175-4432-9C1D-AB36A1BA4067}"/>
    <cellStyle name="Měna 2 3 3 2 5 3" xfId="1229" xr:uid="{563BBDAF-34EF-4D9B-B09C-F78171E6F60C}"/>
    <cellStyle name="Měna 2 3 3 2 6" xfId="533" xr:uid="{47D4F067-6214-4E4E-BE6B-F1255535A34B}"/>
    <cellStyle name="Měna 2 3 3 2 6 2" xfId="1428" xr:uid="{3B5D1565-1D6D-4BBF-9B92-64044E90565D}"/>
    <cellStyle name="Měna 2 3 3 2 7" xfId="981" xr:uid="{0BD36D16-710A-4E4D-9C7A-4243A3316970}"/>
    <cellStyle name="Měna 2 3 3 3" xfId="109" xr:uid="{0D8B80D4-7877-4357-A655-0F3BBD0D1293}"/>
    <cellStyle name="Měna 2 3 3 3 2" xfId="209" xr:uid="{9521CD9E-85D7-4297-812F-7AB5D5D1BA5A}"/>
    <cellStyle name="Měna 2 3 3 3 2 2" xfId="459" xr:uid="{219B9670-5C14-45E7-A0E6-172F60D5514D}"/>
    <cellStyle name="Měna 2 3 3 3 2 2 2" xfId="906" xr:uid="{C4F723D2-A614-43DC-962A-2C225CD0B2F6}"/>
    <cellStyle name="Měna 2 3 3 3 2 2 2 2" xfId="1801" xr:uid="{A209226C-EFEA-4839-9B1D-FA2D9DEE57C1}"/>
    <cellStyle name="Měna 2 3 3 3 2 2 3" xfId="1354" xr:uid="{E59435EF-4C0D-4751-B54A-59895182FD31}"/>
    <cellStyle name="Měna 2 3 3 3 2 3" xfId="658" xr:uid="{F2A1F4D3-BE5D-4599-A02E-7A5642DE75B4}"/>
    <cellStyle name="Měna 2 3 3 3 2 3 2" xfId="1553" xr:uid="{3221E82E-25EE-4187-9351-318B99A9CB08}"/>
    <cellStyle name="Měna 2 3 3 3 2 4" xfId="1106" xr:uid="{B074F44F-EA98-467B-90A7-C19281382051}"/>
    <cellStyle name="Měna 2 3 3 3 3" xfId="359" xr:uid="{D57E56A1-68AE-479B-802F-ECBA0AFF45C2}"/>
    <cellStyle name="Měna 2 3 3 3 3 2" xfId="806" xr:uid="{D5F62A16-46CB-4193-AEB9-288D62DE82A7}"/>
    <cellStyle name="Měna 2 3 3 3 3 2 2" xfId="1701" xr:uid="{0DF95727-4484-4194-82D8-07022CD0707F}"/>
    <cellStyle name="Měna 2 3 3 3 3 3" xfId="1254" xr:uid="{787CAE1A-FA2F-4876-8659-E1811B9728FB}"/>
    <cellStyle name="Měna 2 3 3 3 4" xfId="558" xr:uid="{97CA5B57-82F9-47D2-AB7F-124DA9CB6282}"/>
    <cellStyle name="Měna 2 3 3 3 4 2" xfId="1453" xr:uid="{A4104B37-58D7-46A5-A9FB-28B6F8CD0F99}"/>
    <cellStyle name="Měna 2 3 3 3 5" xfId="1006" xr:uid="{D586ABE2-61BE-44D0-8FA1-DA3AD50D066F}"/>
    <cellStyle name="Měna 2 3 3 4" xfId="159" xr:uid="{49CEC4AA-F4DC-45AC-A2BB-BE39ED081603}"/>
    <cellStyle name="Měna 2 3 3 4 2" xfId="409" xr:uid="{B2EC26CB-525A-47FA-A277-B2EF6C2F2072}"/>
    <cellStyle name="Měna 2 3 3 4 2 2" xfId="856" xr:uid="{CD3279DD-CBF3-42DA-8133-5878347DF5BC}"/>
    <cellStyle name="Měna 2 3 3 4 2 2 2" xfId="1751" xr:uid="{9F6A84CB-FF13-4FB7-B00E-AE0B0A87E5A0}"/>
    <cellStyle name="Měna 2 3 3 4 2 3" xfId="1304" xr:uid="{F3E56346-0C07-4622-9C90-55FB1C3CB354}"/>
    <cellStyle name="Měna 2 3 3 4 3" xfId="608" xr:uid="{53E13E97-7590-45AE-8CC7-330FA6D2B4AB}"/>
    <cellStyle name="Měna 2 3 3 4 3 2" xfId="1503" xr:uid="{8F613C32-ED37-4777-BE8E-98E2B785E904}"/>
    <cellStyle name="Měna 2 3 3 4 4" xfId="1056" xr:uid="{B5CA138C-F956-4CD7-B8BE-9E98F54588B3}"/>
    <cellStyle name="Měna 2 3 3 5" xfId="259" xr:uid="{2D90A5B7-1131-4E64-8493-03A2FB7926DB}"/>
    <cellStyle name="Měna 2 3 3 5 2" xfId="708" xr:uid="{B9F726C8-C76F-4607-A4BB-FEA30B1AE6F7}"/>
    <cellStyle name="Měna 2 3 3 5 2 2" xfId="1603" xr:uid="{7676F1CC-81CE-4288-AB25-D0852B29BE1B}"/>
    <cellStyle name="Měna 2 3 3 5 3" xfId="1156" xr:uid="{06DCBF32-56DC-42EB-8C74-550037197196}"/>
    <cellStyle name="Měna 2 3 3 6" xfId="310" xr:uid="{E7BA0A8D-3717-4918-9AF2-BD8F8CBD723A}"/>
    <cellStyle name="Měna 2 3 3 6 2" xfId="757" xr:uid="{1C55E050-F546-47B8-9237-9604DA693D18}"/>
    <cellStyle name="Měna 2 3 3 6 2 2" xfId="1652" xr:uid="{34CB1A54-D8D3-44D7-BB9B-265E19A2021B}"/>
    <cellStyle name="Měna 2 3 3 6 3" xfId="1205" xr:uid="{AB9ABFDE-0588-4871-99F6-502119265BCE}"/>
    <cellStyle name="Měna 2 3 3 7" xfId="509" xr:uid="{B16E2334-A63D-4288-A2F3-987712EFADDD}"/>
    <cellStyle name="Měna 2 3 3 7 2" xfId="1404" xr:uid="{F369BB8A-563A-4FE2-8CB2-752EF8D8407C}"/>
    <cellStyle name="Měna 2 3 3 8" xfId="956" xr:uid="{DD1E5534-499B-4946-A7E8-BBF83FED6120}"/>
    <cellStyle name="Měna 2 3 4" xfId="75" xr:uid="{4AA5F4AA-2C05-4EE1-868F-ACC64DF5C324}"/>
    <cellStyle name="Měna 2 3 4 2" xfId="125" xr:uid="{D23F5517-9AC0-46B1-94D8-BB7F1B7032E4}"/>
    <cellStyle name="Měna 2 3 4 2 2" xfId="225" xr:uid="{68D41786-0DA4-4FB8-AE8E-0012BEEE4F3B}"/>
    <cellStyle name="Měna 2 3 4 2 2 2" xfId="475" xr:uid="{279787E9-3F69-4B20-BB22-8824A2AF044D}"/>
    <cellStyle name="Měna 2 3 4 2 2 2 2" xfId="922" xr:uid="{2A7422F4-1019-404F-A73E-4B7198333D9E}"/>
    <cellStyle name="Měna 2 3 4 2 2 2 2 2" xfId="1817" xr:uid="{AAD260AC-253E-406D-BF85-37C32087F376}"/>
    <cellStyle name="Měna 2 3 4 2 2 2 3" xfId="1370" xr:uid="{3141258A-ED55-4653-A85F-6D7C22AC9CDC}"/>
    <cellStyle name="Měna 2 3 4 2 2 3" xfId="674" xr:uid="{3AC9AD63-DF88-4508-87CA-5AADE981EEBE}"/>
    <cellStyle name="Měna 2 3 4 2 2 3 2" xfId="1569" xr:uid="{4074078B-9CA3-4EE7-A2E3-F09E22813DCE}"/>
    <cellStyle name="Měna 2 3 4 2 2 4" xfId="1122" xr:uid="{6A5C7DEA-0278-451A-A146-B68C0FB86F3A}"/>
    <cellStyle name="Měna 2 3 4 2 3" xfId="375" xr:uid="{D0A44ECC-FDF5-4BD1-9875-838B3AE9A929}"/>
    <cellStyle name="Měna 2 3 4 2 3 2" xfId="822" xr:uid="{63B7DA75-8F21-4892-AC2D-1B1DC0470686}"/>
    <cellStyle name="Měna 2 3 4 2 3 2 2" xfId="1717" xr:uid="{1FC0252A-4A5E-46E3-93E9-4704B0FF6797}"/>
    <cellStyle name="Měna 2 3 4 2 3 3" xfId="1270" xr:uid="{D0312F9D-26E4-46E3-9569-10B89FEDA436}"/>
    <cellStyle name="Měna 2 3 4 2 4" xfId="574" xr:uid="{F215A147-88FB-4ED1-86BB-6372988A9D3C}"/>
    <cellStyle name="Měna 2 3 4 2 4 2" xfId="1469" xr:uid="{CF5A8997-8630-4EE8-834C-7617264536E0}"/>
    <cellStyle name="Měna 2 3 4 2 5" xfId="1022" xr:uid="{4644BF8A-F1A1-49AC-8200-15E2769B8D17}"/>
    <cellStyle name="Měna 2 3 4 3" xfId="175" xr:uid="{8F7E8112-3434-46AF-9C89-F1D98BCAE7D3}"/>
    <cellStyle name="Měna 2 3 4 3 2" xfId="425" xr:uid="{CF2C93F7-9B29-46C2-8F8F-9790BD6C7F9D}"/>
    <cellStyle name="Měna 2 3 4 3 2 2" xfId="872" xr:uid="{C0929992-81CB-4584-A476-995B5A6909F2}"/>
    <cellStyle name="Měna 2 3 4 3 2 2 2" xfId="1767" xr:uid="{099BF77C-FA6B-42E4-8704-D0E5CBAAA20A}"/>
    <cellStyle name="Měna 2 3 4 3 2 3" xfId="1320" xr:uid="{133A6A1B-7E12-4FB8-802F-039164930C38}"/>
    <cellStyle name="Měna 2 3 4 3 3" xfId="624" xr:uid="{9C9ADB79-AD8A-49C9-8EFF-FC6B088C9D42}"/>
    <cellStyle name="Měna 2 3 4 3 3 2" xfId="1519" xr:uid="{32ABFF44-D563-45E9-A929-F3C49608D4B6}"/>
    <cellStyle name="Měna 2 3 4 3 4" xfId="1072" xr:uid="{51C370E0-10C5-4C12-AE99-69F4E4A1C192}"/>
    <cellStyle name="Měna 2 3 4 4" xfId="276" xr:uid="{0EA93DC3-10B0-4AD5-8877-FC6EAAD8EE64}"/>
    <cellStyle name="Měna 2 3 4 4 2" xfId="723" xr:uid="{C8453B45-8533-4395-8F9D-BE7B5F570778}"/>
    <cellStyle name="Měna 2 3 4 4 2 2" xfId="1618" xr:uid="{1ADA9D73-B9FC-4CB5-AF21-ECE3B88B9B62}"/>
    <cellStyle name="Měna 2 3 4 4 3" xfId="1171" xr:uid="{EAA4BE06-66A7-441F-8DB0-B4742FEBB014}"/>
    <cellStyle name="Měna 2 3 4 5" xfId="325" xr:uid="{E7DDE37D-DF74-4B04-832A-933796FB7BC5}"/>
    <cellStyle name="Měna 2 3 4 5 2" xfId="772" xr:uid="{8ABCC826-B8C9-4894-A42E-440813010741}"/>
    <cellStyle name="Měna 2 3 4 5 2 2" xfId="1667" xr:uid="{90D93414-B4F3-448A-A102-331499FE3772}"/>
    <cellStyle name="Měna 2 3 4 5 3" xfId="1220" xr:uid="{E168A79F-5EF8-42F1-862D-AE9C28D73926}"/>
    <cellStyle name="Měna 2 3 4 6" xfId="524" xr:uid="{287691FD-A955-4EA6-9ACF-8C86EA91DD81}"/>
    <cellStyle name="Měna 2 3 4 6 2" xfId="1419" xr:uid="{8898409E-F7CE-4696-9F8F-54BE212E55D0}"/>
    <cellStyle name="Měna 2 3 4 7" xfId="972" xr:uid="{BAB31328-C829-4B54-957D-0F90BE08CC2B}"/>
    <cellStyle name="Měna 2 3 5" xfId="100" xr:uid="{73457F84-81D2-48DF-A4D8-C7048CA243CD}"/>
    <cellStyle name="Měna 2 3 5 2" xfId="200" xr:uid="{F419D32C-829B-4710-8C0F-6211698744E1}"/>
    <cellStyle name="Měna 2 3 5 2 2" xfId="450" xr:uid="{B22CCABE-D93F-4A0D-A730-E8CC7806CB10}"/>
    <cellStyle name="Měna 2 3 5 2 2 2" xfId="897" xr:uid="{817112A0-89DF-4701-8EE4-AEAD515C5AC6}"/>
    <cellStyle name="Měna 2 3 5 2 2 2 2" xfId="1792" xr:uid="{8C644C1A-6733-4AA1-8ADD-6F3DCD602013}"/>
    <cellStyle name="Měna 2 3 5 2 2 3" xfId="1345" xr:uid="{A9414ACD-44E0-4A9D-9ABC-31D3925C9DF1}"/>
    <cellStyle name="Měna 2 3 5 2 3" xfId="649" xr:uid="{951BCA64-65C6-4D12-8172-D5BA906AD6E6}"/>
    <cellStyle name="Měna 2 3 5 2 3 2" xfId="1544" xr:uid="{4FCE35C4-B307-42EE-8739-E4D3FFD01CCB}"/>
    <cellStyle name="Měna 2 3 5 2 4" xfId="1097" xr:uid="{37B51E40-FF4B-4ECD-BF68-16DE78D6202F}"/>
    <cellStyle name="Měna 2 3 5 3" xfId="350" xr:uid="{AA27EF0A-91DD-45EA-A39A-2E16BD9C0713}"/>
    <cellStyle name="Měna 2 3 5 3 2" xfId="797" xr:uid="{62F7F7A9-872A-4EA2-985A-F4373467637C}"/>
    <cellStyle name="Měna 2 3 5 3 2 2" xfId="1692" xr:uid="{1F0D6FB7-64C7-46CE-84EF-AD836B8E21C8}"/>
    <cellStyle name="Měna 2 3 5 3 3" xfId="1245" xr:uid="{43949098-09FA-4F22-B597-D4A64550D0DB}"/>
    <cellStyle name="Měna 2 3 5 4" xfId="549" xr:uid="{B4E75D60-4572-4DF7-8441-EB5EB99FEEE0}"/>
    <cellStyle name="Měna 2 3 5 4 2" xfId="1444" xr:uid="{7174E26E-C3DA-4D9E-8A53-2D43A99765A9}"/>
    <cellStyle name="Měna 2 3 5 5" xfId="997" xr:uid="{2D455BE9-42B4-4749-9F33-951C10A44957}"/>
    <cellStyle name="Měna 2 3 6" xfId="150" xr:uid="{0000257A-28C1-49A1-BC7E-1FD6466DDFF0}"/>
    <cellStyle name="Měna 2 3 6 2" xfId="400" xr:uid="{2E5A646C-62BA-4176-9CB0-BA56010D7C1A}"/>
    <cellStyle name="Měna 2 3 6 2 2" xfId="847" xr:uid="{E14AE17A-18B7-4CE7-87B6-D445B0BB6643}"/>
    <cellStyle name="Měna 2 3 6 2 2 2" xfId="1742" xr:uid="{2AB879A5-0906-4C18-BB89-AFB6277B483E}"/>
    <cellStyle name="Měna 2 3 6 2 3" xfId="1295" xr:uid="{DD5CC81E-263F-4D42-86F8-BB22E25F207D}"/>
    <cellStyle name="Měna 2 3 6 3" xfId="599" xr:uid="{0E9BBCE5-DAB6-487D-82F0-5BE6B5A3D84D}"/>
    <cellStyle name="Měna 2 3 6 3 2" xfId="1494" xr:uid="{D9762E38-C79D-41D1-816F-F7830E1D7F2D}"/>
    <cellStyle name="Měna 2 3 6 4" xfId="1047" xr:uid="{0418F903-7A22-4D87-9A57-1A4DAF8C36CA}"/>
    <cellStyle name="Měna 2 3 7" xfId="250" xr:uid="{D92586DD-5955-44C3-AD57-CDBE890E1B6B}"/>
    <cellStyle name="Měna 2 3 7 2" xfId="699" xr:uid="{A0ABD4F4-1FAE-4561-8F99-07EEAAF978D2}"/>
    <cellStyle name="Měna 2 3 7 2 2" xfId="1594" xr:uid="{18199BB7-6951-4201-899C-04EC63C67BCD}"/>
    <cellStyle name="Měna 2 3 7 3" xfId="1147" xr:uid="{EBED66BD-9E21-493E-855C-66BDB74B756E}"/>
    <cellStyle name="Měna 2 3 8" xfId="301" xr:uid="{E245E0DC-D508-4B18-BF5F-2AA07F7CB35A}"/>
    <cellStyle name="Měna 2 3 8 2" xfId="748" xr:uid="{02C7214F-27F2-46ED-95B3-B5CDBF41F90B}"/>
    <cellStyle name="Měna 2 3 8 2 2" xfId="1643" xr:uid="{F164A4C9-E669-4EDE-9427-548D7F030D0D}"/>
    <cellStyle name="Měna 2 3 8 3" xfId="1196" xr:uid="{A63323A6-9F67-4ECB-AD02-CAAAC545AC2E}"/>
    <cellStyle name="Měna 2 3 9" xfId="500" xr:uid="{50B4B05C-35FC-4C18-BAE6-256995E2C7B7}"/>
    <cellStyle name="Měna 2 3 9 2" xfId="1395" xr:uid="{ADD8A44D-2160-46EA-AE4A-E7D0A742180D}"/>
    <cellStyle name="Měna 2 4" xfId="33" xr:uid="{4259430C-7E3A-44DB-8722-A92B5E50D688}"/>
    <cellStyle name="Měna 2 4 2" xfId="55" xr:uid="{91A9EEC5-6053-458E-8E0C-FB4EF598AC68}"/>
    <cellStyle name="Měna 2 4 2 2" xfId="88" xr:uid="{55BA4BEE-15FA-4E6F-8403-1F4614560A3D}"/>
    <cellStyle name="Měna 2 4 2 2 2" xfId="138" xr:uid="{4E3695C4-0EB8-4E73-95E6-487815115B65}"/>
    <cellStyle name="Měna 2 4 2 2 2 2" xfId="238" xr:uid="{84D92D3D-8C29-4F9D-BFC9-6853284A17BD}"/>
    <cellStyle name="Měna 2 4 2 2 2 2 2" xfId="488" xr:uid="{E0DE64A8-8D68-41BC-8D75-14F4CE9CFC69}"/>
    <cellStyle name="Měna 2 4 2 2 2 2 2 2" xfId="935" xr:uid="{EDA4B6DC-6C04-4BC3-AD37-A4B38B72707D}"/>
    <cellStyle name="Měna 2 4 2 2 2 2 2 2 2" xfId="1830" xr:uid="{A1277FE8-98A1-44E8-AE57-9B5B161B0410}"/>
    <cellStyle name="Měna 2 4 2 2 2 2 2 3" xfId="1383" xr:uid="{A88779F4-59FA-46B8-B591-D7E3A870E16E}"/>
    <cellStyle name="Měna 2 4 2 2 2 2 3" xfId="687" xr:uid="{D62072BB-DC3F-435F-8F8B-52A23F652EC5}"/>
    <cellStyle name="Měna 2 4 2 2 2 2 3 2" xfId="1582" xr:uid="{F199A847-A176-424B-9942-825C0B3422B7}"/>
    <cellStyle name="Měna 2 4 2 2 2 2 4" xfId="1135" xr:uid="{1E284F15-32BC-4604-B5EA-9B86729D26D2}"/>
    <cellStyle name="Měna 2 4 2 2 2 3" xfId="388" xr:uid="{0C7F7553-92B8-425A-87A9-7BD9D70B7D21}"/>
    <cellStyle name="Měna 2 4 2 2 2 3 2" xfId="835" xr:uid="{E3DBB8A6-1A46-45AE-9904-C38C272C319F}"/>
    <cellStyle name="Měna 2 4 2 2 2 3 2 2" xfId="1730" xr:uid="{CB771123-3DCE-4566-8A6F-1D5384E967DA}"/>
    <cellStyle name="Měna 2 4 2 2 2 3 3" xfId="1283" xr:uid="{0CAA498D-DF84-4373-B996-AB57052A18FD}"/>
    <cellStyle name="Měna 2 4 2 2 2 4" xfId="587" xr:uid="{7193E58E-E917-481D-BA68-1B32C3DDA52F}"/>
    <cellStyle name="Měna 2 4 2 2 2 4 2" xfId="1482" xr:uid="{DD005BD9-1E4D-4A6A-A0B5-33D5BBF1A024}"/>
    <cellStyle name="Měna 2 4 2 2 2 5" xfId="1035" xr:uid="{A86D6B52-4331-4459-AC4B-0431E1E04DA9}"/>
    <cellStyle name="Měna 2 4 2 2 3" xfId="188" xr:uid="{173069DB-80E4-41B2-B37A-5513F4F73036}"/>
    <cellStyle name="Měna 2 4 2 2 3 2" xfId="438" xr:uid="{88787A50-53BD-4FC9-88DA-B5B05FB9BEF9}"/>
    <cellStyle name="Měna 2 4 2 2 3 2 2" xfId="885" xr:uid="{A2911042-E549-4FE2-AE77-F76308139A73}"/>
    <cellStyle name="Měna 2 4 2 2 3 2 2 2" xfId="1780" xr:uid="{72596604-60FA-47B4-8A72-DC85585FAB64}"/>
    <cellStyle name="Měna 2 4 2 2 3 2 3" xfId="1333" xr:uid="{2E7FBCA4-8FB9-44B2-8810-D48F7ACE4217}"/>
    <cellStyle name="Měna 2 4 2 2 3 3" xfId="637" xr:uid="{5D73AFC8-2D1A-4BC3-999A-A4E9988932CA}"/>
    <cellStyle name="Měna 2 4 2 2 3 3 2" xfId="1532" xr:uid="{8DE9E6A5-6633-42E0-B773-E492EBA76EF6}"/>
    <cellStyle name="Měna 2 4 2 2 3 4" xfId="1085" xr:uid="{B5290900-AEE4-403F-8837-E3F17FED01CE}"/>
    <cellStyle name="Měna 2 4 2 2 4" xfId="289" xr:uid="{22359B42-3482-42DB-8CB5-956A213CCD8E}"/>
    <cellStyle name="Měna 2 4 2 2 4 2" xfId="736" xr:uid="{B2FC7350-81B0-4ED9-B970-CAE3E0C3C698}"/>
    <cellStyle name="Měna 2 4 2 2 4 2 2" xfId="1631" xr:uid="{757EF9EC-0F73-4AAF-AE48-AC17BD30F0BF}"/>
    <cellStyle name="Měna 2 4 2 2 4 3" xfId="1184" xr:uid="{5D062DDC-CB43-4C6C-82E5-C14CC1F0AF89}"/>
    <cellStyle name="Měna 2 4 2 2 5" xfId="338" xr:uid="{A28A028A-EB5E-4769-98E4-3EC3736CF3DF}"/>
    <cellStyle name="Měna 2 4 2 2 5 2" xfId="785" xr:uid="{4EE72172-A175-42FC-9DA5-B42F6CEEE5E9}"/>
    <cellStyle name="Měna 2 4 2 2 5 2 2" xfId="1680" xr:uid="{8D58D53E-6716-4ED4-A273-B9818B224B4A}"/>
    <cellStyle name="Měna 2 4 2 2 5 3" xfId="1233" xr:uid="{00BF42BD-34EB-4731-B960-749191585B4F}"/>
    <cellStyle name="Měna 2 4 2 2 6" xfId="537" xr:uid="{C2434FBC-5831-4C87-B892-70CEE50C95B0}"/>
    <cellStyle name="Měna 2 4 2 2 6 2" xfId="1432" xr:uid="{8ABF6BA7-2464-4F2D-910C-A094DD92D70E}"/>
    <cellStyle name="Měna 2 4 2 2 7" xfId="985" xr:uid="{4F5ED708-27D8-49F7-838C-CBEC0620792B}"/>
    <cellStyle name="Měna 2 4 2 3" xfId="113" xr:uid="{F728C00C-A242-490B-93F5-98CF670F87C7}"/>
    <cellStyle name="Měna 2 4 2 3 2" xfId="213" xr:uid="{8F3526C7-6033-4D56-9FA2-1849862976E1}"/>
    <cellStyle name="Měna 2 4 2 3 2 2" xfId="463" xr:uid="{9996366F-0163-42CF-82C6-A011D1AE16F4}"/>
    <cellStyle name="Měna 2 4 2 3 2 2 2" xfId="910" xr:uid="{902F4036-D33A-48DA-8F4D-308331566730}"/>
    <cellStyle name="Měna 2 4 2 3 2 2 2 2" xfId="1805" xr:uid="{9DC22261-9645-42AE-8DF7-DF061E6F631A}"/>
    <cellStyle name="Měna 2 4 2 3 2 2 3" xfId="1358" xr:uid="{CCEF552D-7DC5-4D43-8F92-AB845E1F7486}"/>
    <cellStyle name="Měna 2 4 2 3 2 3" xfId="662" xr:uid="{07242CCE-D1D7-4A09-B29F-AE382820A45A}"/>
    <cellStyle name="Měna 2 4 2 3 2 3 2" xfId="1557" xr:uid="{0DAD0A44-F56F-474E-AC3C-7C593F719A96}"/>
    <cellStyle name="Měna 2 4 2 3 2 4" xfId="1110" xr:uid="{0FD70ED2-2F46-4AE3-9C57-4D9275C5C734}"/>
    <cellStyle name="Měna 2 4 2 3 3" xfId="363" xr:uid="{EE95B977-C590-4F33-A6CF-C6C1C4194EF4}"/>
    <cellStyle name="Měna 2 4 2 3 3 2" xfId="810" xr:uid="{8F8B3808-129E-495E-B5BF-D7A1E4B23235}"/>
    <cellStyle name="Měna 2 4 2 3 3 2 2" xfId="1705" xr:uid="{7F4702A3-B2BE-4E34-9F32-DE40964DC023}"/>
    <cellStyle name="Měna 2 4 2 3 3 3" xfId="1258" xr:uid="{FB00A5D7-6475-457A-A197-34FEBDB9AABA}"/>
    <cellStyle name="Měna 2 4 2 3 4" xfId="562" xr:uid="{7BCB2676-224F-442B-92D3-7E9B3E5B8BF9}"/>
    <cellStyle name="Měna 2 4 2 3 4 2" xfId="1457" xr:uid="{8232CF57-51EF-4A87-978B-942EDC48E6DF}"/>
    <cellStyle name="Měna 2 4 2 3 5" xfId="1010" xr:uid="{192994CD-8868-469D-81F6-8325D14C06CE}"/>
    <cellStyle name="Měna 2 4 2 4" xfId="163" xr:uid="{42B743D0-FC2A-49EF-B1E9-410C5E66EF17}"/>
    <cellStyle name="Měna 2 4 2 4 2" xfId="413" xr:uid="{1A478388-FACD-43C5-B39B-5255E21BF578}"/>
    <cellStyle name="Měna 2 4 2 4 2 2" xfId="860" xr:uid="{4C208DBC-7876-4DD2-8E4F-2C4D7DCC935B}"/>
    <cellStyle name="Měna 2 4 2 4 2 2 2" xfId="1755" xr:uid="{BFAAA21B-626A-41E7-BB76-1BDF253DCD5F}"/>
    <cellStyle name="Měna 2 4 2 4 2 3" xfId="1308" xr:uid="{480CC9B6-292A-4435-B63D-1BAD6674C17A}"/>
    <cellStyle name="Měna 2 4 2 4 3" xfId="612" xr:uid="{C3ED0182-5155-469B-9498-3BEB1A5E1DB8}"/>
    <cellStyle name="Měna 2 4 2 4 3 2" xfId="1507" xr:uid="{F57A9A9D-5EBF-4E99-BC6A-3F8678ADB309}"/>
    <cellStyle name="Měna 2 4 2 4 4" xfId="1060" xr:uid="{DB9D8E2E-1E1A-4F77-A7D7-2FBB7F5FCE58}"/>
    <cellStyle name="Měna 2 4 2 5" xfId="263" xr:uid="{564FE375-0F64-4A04-84F6-9A2652BAE980}"/>
    <cellStyle name="Měna 2 4 2 5 2" xfId="712" xr:uid="{16801A49-8F60-4C0E-9BB4-C3D6D56B521D}"/>
    <cellStyle name="Měna 2 4 2 5 2 2" xfId="1607" xr:uid="{A6148CC0-5F0E-4716-9955-24A78E88F10C}"/>
    <cellStyle name="Měna 2 4 2 5 3" xfId="1160" xr:uid="{78C1EB50-8B76-4454-94E2-55E27983812F}"/>
    <cellStyle name="Měna 2 4 2 6" xfId="314" xr:uid="{44BC3392-9BE6-411D-9F12-0441AA07C9FF}"/>
    <cellStyle name="Měna 2 4 2 6 2" xfId="761" xr:uid="{63490FC1-AE37-4214-8EC5-F8563283FD6C}"/>
    <cellStyle name="Měna 2 4 2 6 2 2" xfId="1656" xr:uid="{7F5B9251-BDA5-4D27-90F1-50DBB3898227}"/>
    <cellStyle name="Měna 2 4 2 6 3" xfId="1209" xr:uid="{B1F779DB-7C32-43AB-AF93-94A8BCED2B81}"/>
    <cellStyle name="Měna 2 4 2 7" xfId="513" xr:uid="{012B37CA-87CD-47EE-AC68-413490978065}"/>
    <cellStyle name="Měna 2 4 2 7 2" xfId="1408" xr:uid="{C88EA949-8D69-496F-9D49-338F7C2D5BBF}"/>
    <cellStyle name="Měna 2 4 2 8" xfId="960" xr:uid="{1CAEB2F9-8F83-4807-92E6-2E903FE4AD26}"/>
    <cellStyle name="Měna 2 4 3" xfId="79" xr:uid="{ED459777-B47E-4D8A-9512-4F2DD9AE882B}"/>
    <cellStyle name="Měna 2 4 3 2" xfId="129" xr:uid="{CC806C76-43C4-47DB-99D3-F599516E00D9}"/>
    <cellStyle name="Měna 2 4 3 2 2" xfId="229" xr:uid="{7CEF4A5F-9656-45E7-B743-FA8189671728}"/>
    <cellStyle name="Měna 2 4 3 2 2 2" xfId="479" xr:uid="{2BD01057-F43E-4D0C-A95C-65BEA2B58121}"/>
    <cellStyle name="Měna 2 4 3 2 2 2 2" xfId="926" xr:uid="{99AE85B5-E589-43F3-A092-7843D0A86120}"/>
    <cellStyle name="Měna 2 4 3 2 2 2 2 2" xfId="1821" xr:uid="{813EC4CC-1D94-423E-A8DE-C15AE4ADEDD3}"/>
    <cellStyle name="Měna 2 4 3 2 2 2 3" xfId="1374" xr:uid="{B1BB724D-F471-46A2-8610-B8BA109620E4}"/>
    <cellStyle name="Měna 2 4 3 2 2 3" xfId="678" xr:uid="{6ED945AD-CCE9-4762-A2D3-6F56C222ACD9}"/>
    <cellStyle name="Měna 2 4 3 2 2 3 2" xfId="1573" xr:uid="{E5BF328F-18A2-4E3A-9AB5-53EB86B3914D}"/>
    <cellStyle name="Měna 2 4 3 2 2 4" xfId="1126" xr:uid="{DB3B3D3D-6DCF-49D3-9266-DBD3E5C99E35}"/>
    <cellStyle name="Měna 2 4 3 2 3" xfId="379" xr:uid="{90885107-230B-4CD4-B216-A5C79416D7B9}"/>
    <cellStyle name="Měna 2 4 3 2 3 2" xfId="826" xr:uid="{62DFEF65-93CE-414D-84F0-C2508654E906}"/>
    <cellStyle name="Měna 2 4 3 2 3 2 2" xfId="1721" xr:uid="{3FB52BDA-3590-4F81-ACA4-7FB032E48564}"/>
    <cellStyle name="Měna 2 4 3 2 3 3" xfId="1274" xr:uid="{5DBC39EE-A04A-4F0B-A88C-EFCC3649EEB1}"/>
    <cellStyle name="Měna 2 4 3 2 4" xfId="578" xr:uid="{8FB94276-A4A2-4D1B-95F3-D89D8936423C}"/>
    <cellStyle name="Měna 2 4 3 2 4 2" xfId="1473" xr:uid="{12E6E6E3-3C8F-4BE4-95B1-164A9D350B9B}"/>
    <cellStyle name="Měna 2 4 3 2 5" xfId="1026" xr:uid="{C9CEFF5D-CA4A-4B37-A434-BABBD8E984A5}"/>
    <cellStyle name="Měna 2 4 3 3" xfId="179" xr:uid="{5671A3E9-D1A2-4E96-9066-2C4BFE6E7BAA}"/>
    <cellStyle name="Měna 2 4 3 3 2" xfId="429" xr:uid="{6DD74AB2-60F1-4E3B-BC8E-A0FCE4C54880}"/>
    <cellStyle name="Měna 2 4 3 3 2 2" xfId="876" xr:uid="{F71FDCB2-D38A-44DC-AF96-EEE2EAFB827A}"/>
    <cellStyle name="Měna 2 4 3 3 2 2 2" xfId="1771" xr:uid="{C7B12C54-DC24-48A6-B3BC-62A3F758A38A}"/>
    <cellStyle name="Měna 2 4 3 3 2 3" xfId="1324" xr:uid="{353D21C5-8974-44EE-9C5C-5DEE05B8D597}"/>
    <cellStyle name="Měna 2 4 3 3 3" xfId="628" xr:uid="{E331C232-5D07-430B-93A3-5D1598579A21}"/>
    <cellStyle name="Měna 2 4 3 3 3 2" xfId="1523" xr:uid="{246CE449-D30C-45DB-AFA7-CD24C17D404B}"/>
    <cellStyle name="Měna 2 4 3 3 4" xfId="1076" xr:uid="{AFA574E5-0621-42A6-8E52-D204BA51006D}"/>
    <cellStyle name="Měna 2 4 3 4" xfId="280" xr:uid="{DC06FCF2-9D9C-4EC7-A771-9AA6B6B4EBDF}"/>
    <cellStyle name="Měna 2 4 3 4 2" xfId="727" xr:uid="{65362481-BA38-4096-A3F9-C70C73DFD078}"/>
    <cellStyle name="Měna 2 4 3 4 2 2" xfId="1622" xr:uid="{12BE7E3B-5DD9-4C8E-B173-A19B6478BC94}"/>
    <cellStyle name="Měna 2 4 3 4 3" xfId="1175" xr:uid="{18AC3B12-6755-4F72-96AD-8F3E873A38E7}"/>
    <cellStyle name="Měna 2 4 3 5" xfId="329" xr:uid="{B5EBD408-7F4D-4285-9D61-4E1A4D662D2E}"/>
    <cellStyle name="Měna 2 4 3 5 2" xfId="776" xr:uid="{053A0D18-09AF-4D1B-BD6B-10D809434944}"/>
    <cellStyle name="Měna 2 4 3 5 2 2" xfId="1671" xr:uid="{C187285C-CC1A-402C-B877-50D40B1062EE}"/>
    <cellStyle name="Měna 2 4 3 5 3" xfId="1224" xr:uid="{74115CC7-2D5D-4CE4-95E8-4585AD35189E}"/>
    <cellStyle name="Měna 2 4 3 6" xfId="528" xr:uid="{87EC9AC6-335D-49B2-96D0-43C44EE7E973}"/>
    <cellStyle name="Měna 2 4 3 6 2" xfId="1423" xr:uid="{0B143B42-CA5F-4D32-9DF0-9CB61D6D640F}"/>
    <cellStyle name="Měna 2 4 3 7" xfId="976" xr:uid="{79EF8B48-CA6F-4A63-903E-88DD61B76F0C}"/>
    <cellStyle name="Měna 2 4 4" xfId="104" xr:uid="{16EEB17A-1668-4ED8-B04D-E807513B4438}"/>
    <cellStyle name="Měna 2 4 4 2" xfId="204" xr:uid="{B28A3ED4-560A-47F9-A1AD-672818D6D539}"/>
    <cellStyle name="Měna 2 4 4 2 2" xfId="454" xr:uid="{DFAEBA25-5BFB-41BC-9AE0-CA179B533971}"/>
    <cellStyle name="Měna 2 4 4 2 2 2" xfId="901" xr:uid="{ADAB784E-13C8-489C-8801-7C0349335106}"/>
    <cellStyle name="Měna 2 4 4 2 2 2 2" xfId="1796" xr:uid="{76CCBFBF-96AC-4539-91A8-79DA90C57848}"/>
    <cellStyle name="Měna 2 4 4 2 2 3" xfId="1349" xr:uid="{A19D132A-87FF-4D5C-A11B-A311518A14C6}"/>
    <cellStyle name="Měna 2 4 4 2 3" xfId="653" xr:uid="{8B2102E7-E514-46FC-AF66-62C583206635}"/>
    <cellStyle name="Měna 2 4 4 2 3 2" xfId="1548" xr:uid="{7B61B2C4-9A99-422A-86C0-A9030083D6C6}"/>
    <cellStyle name="Měna 2 4 4 2 4" xfId="1101" xr:uid="{20002F16-C046-4D26-9BCE-455D0155B896}"/>
    <cellStyle name="Měna 2 4 4 3" xfId="354" xr:uid="{4CDB8F12-5DEF-44C5-8094-3E82E5502BF1}"/>
    <cellStyle name="Měna 2 4 4 3 2" xfId="801" xr:uid="{02514591-DD1D-4C8A-B0C5-3BB4E0E39E39}"/>
    <cellStyle name="Měna 2 4 4 3 2 2" xfId="1696" xr:uid="{2A07423B-1D3C-4381-9E2C-AA3EB941B67E}"/>
    <cellStyle name="Měna 2 4 4 3 3" xfId="1249" xr:uid="{A5C3ECD2-893F-483C-A06C-2CA412400FDF}"/>
    <cellStyle name="Měna 2 4 4 4" xfId="553" xr:uid="{E6FEF589-777F-4EED-BD3C-652FD6D7C681}"/>
    <cellStyle name="Měna 2 4 4 4 2" xfId="1448" xr:uid="{4094B2C6-FC7A-4913-9DE2-FADDB72E119E}"/>
    <cellStyle name="Měna 2 4 4 5" xfId="1001" xr:uid="{68D13264-89AE-4453-A468-F8DD7F2BEF31}"/>
    <cellStyle name="Měna 2 4 5" xfId="154" xr:uid="{D9505DBE-3A0A-46D1-B67C-F93FCB682E87}"/>
    <cellStyle name="Měna 2 4 5 2" xfId="404" xr:uid="{75BFB691-A397-4C81-BE0E-4563B89B67C5}"/>
    <cellStyle name="Měna 2 4 5 2 2" xfId="851" xr:uid="{5FAB5920-4C63-4245-A36F-56438477F25A}"/>
    <cellStyle name="Měna 2 4 5 2 2 2" xfId="1746" xr:uid="{C4E85C4F-8BFF-4FDF-8EFA-5D7FB19A7C12}"/>
    <cellStyle name="Měna 2 4 5 2 3" xfId="1299" xr:uid="{752B8571-91F7-4C5A-9472-86629EE16E4B}"/>
    <cellStyle name="Měna 2 4 5 3" xfId="603" xr:uid="{065984B6-C35C-4D35-822E-CE0389D21267}"/>
    <cellStyle name="Měna 2 4 5 3 2" xfId="1498" xr:uid="{8002C0AD-2612-4CEB-BFDA-B71CBDABE086}"/>
    <cellStyle name="Měna 2 4 5 4" xfId="1051" xr:uid="{41AB86E5-22CC-4A39-8A82-361E6C4DA226}"/>
    <cellStyle name="Měna 2 4 6" xfId="254" xr:uid="{52C27E50-71D5-4D11-89D9-9690C38FA511}"/>
    <cellStyle name="Měna 2 4 6 2" xfId="703" xr:uid="{42ACC995-5DFC-4093-8270-BDC05918F823}"/>
    <cellStyle name="Měna 2 4 6 2 2" xfId="1598" xr:uid="{16A4F4E9-E2DE-4A63-836F-02F57102CC86}"/>
    <cellStyle name="Měna 2 4 6 3" xfId="1151" xr:uid="{7BDD81C5-3D55-4F1B-9995-CF8E0F3B8326}"/>
    <cellStyle name="Měna 2 4 7" xfId="305" xr:uid="{4C42D0E5-C42F-4825-B8E3-93887CF90405}"/>
    <cellStyle name="Měna 2 4 7 2" xfId="752" xr:uid="{1073FFC1-B37B-4067-B990-DB7B48E71B04}"/>
    <cellStyle name="Měna 2 4 7 2 2" xfId="1647" xr:uid="{91BA08C6-8AD7-4283-BE90-F54699205315}"/>
    <cellStyle name="Měna 2 4 7 3" xfId="1200" xr:uid="{9A8851D6-2581-408E-818D-285A0BC873C5}"/>
    <cellStyle name="Měna 2 4 8" xfId="504" xr:uid="{3EF381EF-E825-465A-9E97-42D263456249}"/>
    <cellStyle name="Měna 2 4 8 2" xfId="1399" xr:uid="{EAD21B01-3482-4B11-8CF0-F439706792CE}"/>
    <cellStyle name="Měna 2 4 9" xfId="951" xr:uid="{CEDC1DF9-71E9-48FE-BDFA-60BDCE46CE2D}"/>
    <cellStyle name="Měna 2 5" xfId="27" xr:uid="{4259430C-7E3A-44DB-8722-A92B5E50D688}"/>
    <cellStyle name="Měna 2 5 2" xfId="51" xr:uid="{5BEE1D8A-3ACF-4584-9521-547BD3F12753}"/>
    <cellStyle name="Měna 2 5 2 2" xfId="85" xr:uid="{7C7639BC-3AB5-4DA3-8971-232E22340CB3}"/>
    <cellStyle name="Měna 2 5 2 2 2" xfId="135" xr:uid="{49B2DE5F-B690-4417-BB8A-C9DD01541B7A}"/>
    <cellStyle name="Měna 2 5 2 2 2 2" xfId="235" xr:uid="{4B95B826-880A-4CEA-A564-6735811583FA}"/>
    <cellStyle name="Měna 2 5 2 2 2 2 2" xfId="485" xr:uid="{5F808277-F346-4AAA-8C07-55B862C2C6A3}"/>
    <cellStyle name="Měna 2 5 2 2 2 2 2 2" xfId="932" xr:uid="{E0E4C0C6-CED1-460C-ABB1-9526C61F7179}"/>
    <cellStyle name="Měna 2 5 2 2 2 2 2 2 2" xfId="1827" xr:uid="{656C485A-ED46-4804-A113-3AF62CD0336A}"/>
    <cellStyle name="Měna 2 5 2 2 2 2 2 3" xfId="1380" xr:uid="{FBFC95EA-CAFB-407B-B2D4-462DCC3E03CF}"/>
    <cellStyle name="Měna 2 5 2 2 2 2 3" xfId="684" xr:uid="{E3A2ADB6-F17F-46D7-9DE3-0C8F3B7E3136}"/>
    <cellStyle name="Měna 2 5 2 2 2 2 3 2" xfId="1579" xr:uid="{56391A9D-EBF6-4562-8303-3D4CA7EF3455}"/>
    <cellStyle name="Měna 2 5 2 2 2 2 4" xfId="1132" xr:uid="{7CD4BA95-668B-49A1-A325-862683C598BE}"/>
    <cellStyle name="Měna 2 5 2 2 2 3" xfId="385" xr:uid="{3A557601-17D1-4AC7-9F99-836F747BA854}"/>
    <cellStyle name="Měna 2 5 2 2 2 3 2" xfId="832" xr:uid="{09654733-1A06-4395-8E8B-0F747DE9760A}"/>
    <cellStyle name="Měna 2 5 2 2 2 3 2 2" xfId="1727" xr:uid="{F70CB6F0-A60B-4893-BD7C-0291A4F3B1D0}"/>
    <cellStyle name="Měna 2 5 2 2 2 3 3" xfId="1280" xr:uid="{80382163-C4C6-4F7D-91D2-6E4F6DFADCB8}"/>
    <cellStyle name="Měna 2 5 2 2 2 4" xfId="584" xr:uid="{BDCE7FEF-8DAA-4EB1-852F-753E7E7CF52A}"/>
    <cellStyle name="Měna 2 5 2 2 2 4 2" xfId="1479" xr:uid="{BC4849CC-E6D6-44C9-BD85-36D2B99BB0CC}"/>
    <cellStyle name="Měna 2 5 2 2 2 5" xfId="1032" xr:uid="{7CF5D0FF-8816-40AE-A302-866E1256A2D2}"/>
    <cellStyle name="Měna 2 5 2 2 3" xfId="185" xr:uid="{DD6AADE5-ADE7-40DF-B358-A220AF0FC0E0}"/>
    <cellStyle name="Měna 2 5 2 2 3 2" xfId="435" xr:uid="{B58A5518-CA64-4F16-975A-E64F0BD7092F}"/>
    <cellStyle name="Měna 2 5 2 2 3 2 2" xfId="882" xr:uid="{B371C83C-B78A-40D4-8225-20615DB14DB3}"/>
    <cellStyle name="Měna 2 5 2 2 3 2 2 2" xfId="1777" xr:uid="{4FFA3AE6-FF39-4E0D-9805-728E13F98B26}"/>
    <cellStyle name="Měna 2 5 2 2 3 2 3" xfId="1330" xr:uid="{6F452F6E-A2A4-44C1-BD7C-933BD5843B92}"/>
    <cellStyle name="Měna 2 5 2 2 3 3" xfId="634" xr:uid="{126D9187-8856-49C1-B25F-69E4A5046FD6}"/>
    <cellStyle name="Měna 2 5 2 2 3 3 2" xfId="1529" xr:uid="{192A9350-41B4-4AE5-844D-8E18C7969EC2}"/>
    <cellStyle name="Měna 2 5 2 2 3 4" xfId="1082" xr:uid="{7AC2FB8D-8B33-46D7-B341-4AD7774DDE7E}"/>
    <cellStyle name="Měna 2 5 2 2 4" xfId="286" xr:uid="{877A7A7F-2A38-4485-9626-FE8DC552182A}"/>
    <cellStyle name="Měna 2 5 2 2 4 2" xfId="733" xr:uid="{906DB847-5941-42FC-BC16-43DD952F4EDB}"/>
    <cellStyle name="Měna 2 5 2 2 4 2 2" xfId="1628" xr:uid="{96E2D291-68FE-4518-9AA0-9A0B4E548245}"/>
    <cellStyle name="Měna 2 5 2 2 4 3" xfId="1181" xr:uid="{16D2E77A-394F-4353-8628-6616191DE048}"/>
    <cellStyle name="Měna 2 5 2 2 5" xfId="335" xr:uid="{DED32AFB-4328-4FAC-A003-1DE64B6E2438}"/>
    <cellStyle name="Měna 2 5 2 2 5 2" xfId="782" xr:uid="{F40E6AEB-6BFB-402F-8939-9C032064C4A2}"/>
    <cellStyle name="Měna 2 5 2 2 5 2 2" xfId="1677" xr:uid="{B6070718-F734-4689-BD6B-142DAC1520BB}"/>
    <cellStyle name="Měna 2 5 2 2 5 3" xfId="1230" xr:uid="{BB12F0CF-8F80-4E3D-958D-904276C72410}"/>
    <cellStyle name="Měna 2 5 2 2 6" xfId="534" xr:uid="{4ECAF732-924D-4320-A9C4-9F8ABAF3292A}"/>
    <cellStyle name="Měna 2 5 2 2 6 2" xfId="1429" xr:uid="{C0858D7F-E67C-417C-B70E-6A6C09E87981}"/>
    <cellStyle name="Měna 2 5 2 2 7" xfId="982" xr:uid="{D6B8FEBA-8DEF-455D-9E52-490DF4266FE0}"/>
    <cellStyle name="Měna 2 5 2 3" xfId="110" xr:uid="{D62C4426-37BA-47D1-8A3F-7C23C7A35015}"/>
    <cellStyle name="Měna 2 5 2 3 2" xfId="210" xr:uid="{34C5B3E0-E314-46C2-BCDB-9B55D6F972C1}"/>
    <cellStyle name="Měna 2 5 2 3 2 2" xfId="460" xr:uid="{EEA435A6-5B0B-41C1-82C7-72BE94849BD3}"/>
    <cellStyle name="Měna 2 5 2 3 2 2 2" xfId="907" xr:uid="{8977A4DA-8851-4158-A5C3-33A041E1EDAA}"/>
    <cellStyle name="Měna 2 5 2 3 2 2 2 2" xfId="1802" xr:uid="{A60F62DC-1A14-4146-ADBA-CBA6150D2FB9}"/>
    <cellStyle name="Měna 2 5 2 3 2 2 3" xfId="1355" xr:uid="{0FB1486F-2D7E-414F-AC2B-013F05DA88E2}"/>
    <cellStyle name="Měna 2 5 2 3 2 3" xfId="659" xr:uid="{92A85451-1E33-4B2C-92D1-B56E56F44261}"/>
    <cellStyle name="Měna 2 5 2 3 2 3 2" xfId="1554" xr:uid="{36770BDA-A347-444C-95FB-9885056C6657}"/>
    <cellStyle name="Měna 2 5 2 3 2 4" xfId="1107" xr:uid="{8CA71415-F3A3-4C50-94A0-2989C83ED243}"/>
    <cellStyle name="Měna 2 5 2 3 3" xfId="360" xr:uid="{9B3A825C-C45E-4775-8B68-BF00923C9604}"/>
    <cellStyle name="Měna 2 5 2 3 3 2" xfId="807" xr:uid="{DAA3DAFA-52FE-4DEB-85E2-8F656762F00A}"/>
    <cellStyle name="Měna 2 5 2 3 3 2 2" xfId="1702" xr:uid="{E1C591D5-538A-467E-AF40-DED92535B8FE}"/>
    <cellStyle name="Měna 2 5 2 3 3 3" xfId="1255" xr:uid="{FBC04B56-BEF8-4679-B68B-47E956D48E51}"/>
    <cellStyle name="Měna 2 5 2 3 4" xfId="559" xr:uid="{717D99B1-EF42-4DE2-8A2F-462AE1FED61E}"/>
    <cellStyle name="Měna 2 5 2 3 4 2" xfId="1454" xr:uid="{913A6CE5-019A-4CFA-BCBD-1CACB4AF1948}"/>
    <cellStyle name="Měna 2 5 2 3 5" xfId="1007" xr:uid="{28E6E290-7168-4971-B524-66FA69136EE9}"/>
    <cellStyle name="Měna 2 5 2 4" xfId="160" xr:uid="{81A7DE3A-3B25-4C44-9577-E99DF59BDF1D}"/>
    <cellStyle name="Měna 2 5 2 4 2" xfId="410" xr:uid="{97B9B1B6-3AAF-49F4-B9FF-242DC6E3FC5F}"/>
    <cellStyle name="Měna 2 5 2 4 2 2" xfId="857" xr:uid="{2FE62BD4-F929-4F98-811D-22CAEA2122AB}"/>
    <cellStyle name="Měna 2 5 2 4 2 2 2" xfId="1752" xr:uid="{806F4336-0B59-40E5-924C-188FAD036384}"/>
    <cellStyle name="Měna 2 5 2 4 2 3" xfId="1305" xr:uid="{1CB0CE33-3C69-4789-829D-D718781D00EA}"/>
    <cellStyle name="Měna 2 5 2 4 3" xfId="609" xr:uid="{F2786641-657A-47EB-AD11-4137A11CDC7C}"/>
    <cellStyle name="Měna 2 5 2 4 3 2" xfId="1504" xr:uid="{AB8D37CF-A0F2-43E9-A35E-B13DEEEB8055}"/>
    <cellStyle name="Měna 2 5 2 4 4" xfId="1057" xr:uid="{B4678B5B-D44C-4AEB-A51E-45C3BD0017A6}"/>
    <cellStyle name="Měna 2 5 2 5" xfId="260" xr:uid="{56148D37-2A2E-47F4-8FEB-112DEE92259F}"/>
    <cellStyle name="Měna 2 5 2 5 2" xfId="709" xr:uid="{857F277E-D619-4664-AFAC-FC29BFDF8A76}"/>
    <cellStyle name="Měna 2 5 2 5 2 2" xfId="1604" xr:uid="{7E028878-81B4-44D9-874E-A6F1FB00A579}"/>
    <cellStyle name="Měna 2 5 2 5 3" xfId="1157" xr:uid="{E4B90237-C400-4FD1-A213-850EE6DA1D30}"/>
    <cellStyle name="Měna 2 5 2 6" xfId="311" xr:uid="{2667D661-7FE0-4466-B87C-8D2473CF44A4}"/>
    <cellStyle name="Měna 2 5 2 6 2" xfId="758" xr:uid="{4DF82B24-63BB-4C7B-8599-01F90DB98796}"/>
    <cellStyle name="Měna 2 5 2 6 2 2" xfId="1653" xr:uid="{4E10E0AA-C3C5-487E-AD8A-C2042A03D5D4}"/>
    <cellStyle name="Měna 2 5 2 6 3" xfId="1206" xr:uid="{6BB35366-CCCE-43D0-838F-BA99BA3D0983}"/>
    <cellStyle name="Měna 2 5 2 7" xfId="510" xr:uid="{570BA13B-EA11-4079-A492-BB10A9B0129B}"/>
    <cellStyle name="Měna 2 5 2 7 2" xfId="1405" xr:uid="{F2CE0497-948B-41D2-9185-9EFEC39276E3}"/>
    <cellStyle name="Měna 2 5 2 8" xfId="957" xr:uid="{CD932902-8E9A-4327-A2D6-F9A9BD69995A}"/>
    <cellStyle name="Měna 2 5 3" xfId="76" xr:uid="{84821456-F16E-4AE7-B44F-4244FAAA6900}"/>
    <cellStyle name="Měna 2 5 3 2" xfId="126" xr:uid="{36A2A23F-480B-44C5-9D3E-90B0EDD347F7}"/>
    <cellStyle name="Měna 2 5 3 2 2" xfId="226" xr:uid="{704C987C-315A-4D9F-8690-D03CEDD500B1}"/>
    <cellStyle name="Měna 2 5 3 2 2 2" xfId="476" xr:uid="{F4838BC1-2D2F-4FC3-852E-E7D26A0B6DAB}"/>
    <cellStyle name="Měna 2 5 3 2 2 2 2" xfId="923" xr:uid="{01358DC3-98E8-49F1-94FD-FD30DC48AEE3}"/>
    <cellStyle name="Měna 2 5 3 2 2 2 2 2" xfId="1818" xr:uid="{DC7AC74E-3287-47E3-B471-ACA8F19C443E}"/>
    <cellStyle name="Měna 2 5 3 2 2 2 3" xfId="1371" xr:uid="{38954B39-89B2-4C85-B045-D1DB0855AC65}"/>
    <cellStyle name="Měna 2 5 3 2 2 3" xfId="675" xr:uid="{78EC4FBA-B6B3-4E02-8F81-27693F8DC54E}"/>
    <cellStyle name="Měna 2 5 3 2 2 3 2" xfId="1570" xr:uid="{B8E9C606-B81B-4C4C-A294-57D99915C4A2}"/>
    <cellStyle name="Měna 2 5 3 2 2 4" xfId="1123" xr:uid="{0E08090B-51D7-4067-8695-E214A37F36D1}"/>
    <cellStyle name="Měna 2 5 3 2 3" xfId="376" xr:uid="{5E934FAB-A750-44BF-9321-1D5A5BD7BC44}"/>
    <cellStyle name="Měna 2 5 3 2 3 2" xfId="823" xr:uid="{FBC89492-4D22-48FC-B5A2-F11F9CFCFC3A}"/>
    <cellStyle name="Měna 2 5 3 2 3 2 2" xfId="1718" xr:uid="{21BF60AB-8C83-4D52-A52C-D8DBD3C13248}"/>
    <cellStyle name="Měna 2 5 3 2 3 3" xfId="1271" xr:uid="{93E9BD9C-F685-4AFD-B528-4AD80133EE9A}"/>
    <cellStyle name="Měna 2 5 3 2 4" xfId="575" xr:uid="{244BBC13-2A86-4BE1-966E-09582F3D81FE}"/>
    <cellStyle name="Měna 2 5 3 2 4 2" xfId="1470" xr:uid="{70B3A596-4F3C-4DD5-8DE9-3AC6386D4A40}"/>
    <cellStyle name="Měna 2 5 3 2 5" xfId="1023" xr:uid="{905DB3F3-7C01-4231-9026-64C7B66F26C9}"/>
    <cellStyle name="Měna 2 5 3 3" xfId="176" xr:uid="{8DCF43A8-BF3E-464B-ABBD-78562F015E5A}"/>
    <cellStyle name="Měna 2 5 3 3 2" xfId="426" xr:uid="{EC9B8729-8F4B-449D-AEE0-A53CFD14F842}"/>
    <cellStyle name="Měna 2 5 3 3 2 2" xfId="873" xr:uid="{21B16A50-D91A-4A2F-A7DE-F57503E82DD7}"/>
    <cellStyle name="Měna 2 5 3 3 2 2 2" xfId="1768" xr:uid="{217B81E5-3DBC-4E37-97C7-A3674CB5FF33}"/>
    <cellStyle name="Měna 2 5 3 3 2 3" xfId="1321" xr:uid="{03BE3078-D9A6-4FC9-9206-08EB6AA410FE}"/>
    <cellStyle name="Měna 2 5 3 3 3" xfId="625" xr:uid="{6A89EF12-534F-4955-AB45-EC70A17F50E8}"/>
    <cellStyle name="Měna 2 5 3 3 3 2" xfId="1520" xr:uid="{3AA4030D-FC70-4178-BE62-E6AAA1B316B2}"/>
    <cellStyle name="Měna 2 5 3 3 4" xfId="1073" xr:uid="{6CB595A5-0347-4F8E-8D38-65DF9E34CB0A}"/>
    <cellStyle name="Měna 2 5 3 4" xfId="277" xr:uid="{9F1A8AF3-C07C-4A2A-9723-6A49E9215C78}"/>
    <cellStyle name="Měna 2 5 3 4 2" xfId="724" xr:uid="{29EA09D1-FC69-4E06-B777-7E23AA86253E}"/>
    <cellStyle name="Měna 2 5 3 4 2 2" xfId="1619" xr:uid="{71228932-FA67-4B1A-837D-314437678532}"/>
    <cellStyle name="Měna 2 5 3 4 3" xfId="1172" xr:uid="{53D1C239-F971-4E0E-B896-6DC8F00E6D0D}"/>
    <cellStyle name="Měna 2 5 3 5" xfId="326" xr:uid="{921C2A6F-89C9-4711-A2AE-756CB0CC2F86}"/>
    <cellStyle name="Měna 2 5 3 5 2" xfId="773" xr:uid="{4305B342-4AEB-4B78-9B55-13E2AD708455}"/>
    <cellStyle name="Měna 2 5 3 5 2 2" xfId="1668" xr:uid="{5C85E0B4-C8C2-41D7-A93C-85BEFA452751}"/>
    <cellStyle name="Měna 2 5 3 5 3" xfId="1221" xr:uid="{290B03EC-810E-47B7-ACAF-7EDEE9F004BA}"/>
    <cellStyle name="Měna 2 5 3 6" xfId="525" xr:uid="{2EFF39B5-29AE-4D00-893B-90027558C7F3}"/>
    <cellStyle name="Měna 2 5 3 6 2" xfId="1420" xr:uid="{2433B8CB-6416-4CB6-A23E-ADE71A12A031}"/>
    <cellStyle name="Měna 2 5 3 7" xfId="973" xr:uid="{04278DDC-262B-4026-8012-AB8BECBD7EF7}"/>
    <cellStyle name="Měna 2 5 4" xfId="101" xr:uid="{0AC04DAC-272F-491E-AC79-95DC3681D195}"/>
    <cellStyle name="Měna 2 5 4 2" xfId="201" xr:uid="{83E190BB-DD45-4C67-8653-2495C88CEDBF}"/>
    <cellStyle name="Měna 2 5 4 2 2" xfId="451" xr:uid="{1CCDD908-9E82-43AE-B8D3-2B61FFDB969B}"/>
    <cellStyle name="Měna 2 5 4 2 2 2" xfId="898" xr:uid="{A2E1FD10-FCAE-4184-A4D1-44257ACE18F9}"/>
    <cellStyle name="Měna 2 5 4 2 2 2 2" xfId="1793" xr:uid="{79EDFB6C-A1A3-42EA-AA3F-01C34686900A}"/>
    <cellStyle name="Měna 2 5 4 2 2 3" xfId="1346" xr:uid="{531F6666-B7E2-4E8B-91D9-3E14D3BEC00D}"/>
    <cellStyle name="Měna 2 5 4 2 3" xfId="650" xr:uid="{91ABFFE6-7D54-4DD3-8811-396DF94CA895}"/>
    <cellStyle name="Měna 2 5 4 2 3 2" xfId="1545" xr:uid="{A4C8A18A-FD91-4B89-B0DB-2E7B427012B5}"/>
    <cellStyle name="Měna 2 5 4 2 4" xfId="1098" xr:uid="{7102E6C4-A61A-4620-BE6C-E096C6C1A2F1}"/>
    <cellStyle name="Měna 2 5 4 3" xfId="351" xr:uid="{E7C763BF-EA5E-4CE1-828F-442E0383BA50}"/>
    <cellStyle name="Měna 2 5 4 3 2" xfId="798" xr:uid="{30E3ED02-AFEF-49DE-ACC0-3DFBCFCA6087}"/>
    <cellStyle name="Měna 2 5 4 3 2 2" xfId="1693" xr:uid="{8FBBD12A-50AC-4B94-853B-779F006335A2}"/>
    <cellStyle name="Měna 2 5 4 3 3" xfId="1246" xr:uid="{0CA5CCDC-FC33-4BA8-87DD-0462994FCE2A}"/>
    <cellStyle name="Měna 2 5 4 4" xfId="550" xr:uid="{7273D0E9-AF2E-44E1-8A2D-26398C85E283}"/>
    <cellStyle name="Měna 2 5 4 4 2" xfId="1445" xr:uid="{5775FCDC-CC6F-47CD-AE5C-6312ECD4F2D9}"/>
    <cellStyle name="Měna 2 5 4 5" xfId="998" xr:uid="{38E4C7D7-AA9B-4A25-BC12-0F98E957730B}"/>
    <cellStyle name="Měna 2 5 5" xfId="151" xr:uid="{F6ACBD91-C6CD-48BB-82B6-0AADB3303EEA}"/>
    <cellStyle name="Měna 2 5 5 2" xfId="401" xr:uid="{D0C40C24-BF01-42D2-B50C-0D6012A94900}"/>
    <cellStyle name="Měna 2 5 5 2 2" xfId="848" xr:uid="{27991DF4-1CA0-410F-852E-76C72E259BF8}"/>
    <cellStyle name="Měna 2 5 5 2 2 2" xfId="1743" xr:uid="{D2B95B34-7516-41A4-9CE6-C80D2FD0E76D}"/>
    <cellStyle name="Měna 2 5 5 2 3" xfId="1296" xr:uid="{C2C57E60-378C-435E-BDB7-02330CA3FC0D}"/>
    <cellStyle name="Měna 2 5 5 3" xfId="600" xr:uid="{D75FE031-43F1-45C7-A1EE-EACD2D0EB71A}"/>
    <cellStyle name="Měna 2 5 5 3 2" xfId="1495" xr:uid="{C3DD8999-5A59-431A-9633-FA8573907798}"/>
    <cellStyle name="Měna 2 5 5 4" xfId="1048" xr:uid="{8DA527C9-4B6D-4F7E-928E-BE14B30E0A6F}"/>
    <cellStyle name="Měna 2 5 6" xfId="251" xr:uid="{A7316995-097E-4BD0-9DEF-99C8DA4DA8F9}"/>
    <cellStyle name="Měna 2 5 6 2" xfId="700" xr:uid="{AD4F4A45-8B2D-4E7A-8C04-8B95C7C93C45}"/>
    <cellStyle name="Měna 2 5 6 2 2" xfId="1595" xr:uid="{124FC8E9-4CFD-44AF-BA76-F55276F4B428}"/>
    <cellStyle name="Měna 2 5 6 3" xfId="1148" xr:uid="{D90FFCE4-0246-4847-8B85-3ECBFB3ECF0E}"/>
    <cellStyle name="Měna 2 5 7" xfId="302" xr:uid="{69BAA0E5-452E-41AD-BC00-62A9B609F388}"/>
    <cellStyle name="Měna 2 5 7 2" xfId="749" xr:uid="{50E135E5-ECF2-47C4-A8CD-149D5A2AD362}"/>
    <cellStyle name="Měna 2 5 7 2 2" xfId="1644" xr:uid="{B21F13D0-95DC-42D4-9207-BB4852E5438A}"/>
    <cellStyle name="Měna 2 5 7 3" xfId="1197" xr:uid="{FAC29753-CE37-43BF-BA8D-5B6EDB293D64}"/>
    <cellStyle name="Měna 2 5 8" xfId="501" xr:uid="{9E0D2EB5-B057-4705-A7E8-B19E4B68B8C9}"/>
    <cellStyle name="Měna 2 5 8 2" xfId="1396" xr:uid="{F66ECB0E-3F72-4EAE-BD04-8AFBF3D5C64C}"/>
    <cellStyle name="Měna 2 5 9" xfId="948" xr:uid="{B174430E-2654-4AF0-B7F1-52EBC00CD20E}"/>
    <cellStyle name="Měna 2 6" xfId="43" xr:uid="{DB937831-08FB-476E-8CEC-9443DF10628F}"/>
    <cellStyle name="Měna 2 6 2" xfId="81" xr:uid="{788E4233-606D-4861-A319-343BA0C1FA71}"/>
    <cellStyle name="Měna 2 6 2 2" xfId="131" xr:uid="{4A7389EE-3E85-4530-ABC7-CAADAB39BA6B}"/>
    <cellStyle name="Měna 2 6 2 2 2" xfId="231" xr:uid="{CEC90FB3-2FC7-4E3F-BD59-9EDC930D158A}"/>
    <cellStyle name="Měna 2 6 2 2 2 2" xfId="481" xr:uid="{923F8FDC-F00A-46F4-9FBC-BACDF842B2CE}"/>
    <cellStyle name="Měna 2 6 2 2 2 2 2" xfId="928" xr:uid="{39DEA1B5-50AE-43B0-9213-02ACC6B1B221}"/>
    <cellStyle name="Měna 2 6 2 2 2 2 2 2" xfId="1823" xr:uid="{71F68E57-A499-4CA3-B6DB-FF8D2A5B1174}"/>
    <cellStyle name="Měna 2 6 2 2 2 2 3" xfId="1376" xr:uid="{0340457B-CA24-43B2-A8D6-E25020153163}"/>
    <cellStyle name="Měna 2 6 2 2 2 3" xfId="680" xr:uid="{A1E9C09F-9C5B-42D2-9069-69F366C67428}"/>
    <cellStyle name="Měna 2 6 2 2 2 3 2" xfId="1575" xr:uid="{52BBE25D-99CE-4598-8740-AAEC3EB022E1}"/>
    <cellStyle name="Měna 2 6 2 2 2 4" xfId="1128" xr:uid="{6328BFDB-E763-4B81-99BC-F8874A518BA8}"/>
    <cellStyle name="Měna 2 6 2 2 3" xfId="381" xr:uid="{A737240B-69A6-40A8-9B8B-FCAA085C2879}"/>
    <cellStyle name="Měna 2 6 2 2 3 2" xfId="828" xr:uid="{DE5009F8-B86D-443B-9E22-5FA7EF0152FB}"/>
    <cellStyle name="Měna 2 6 2 2 3 2 2" xfId="1723" xr:uid="{3B7D199E-269E-482D-BE06-89F01EB48D25}"/>
    <cellStyle name="Měna 2 6 2 2 3 3" xfId="1276" xr:uid="{EA118DE0-1289-4CBD-8EAD-55DE3852295F}"/>
    <cellStyle name="Měna 2 6 2 2 4" xfId="580" xr:uid="{61226072-9C67-497B-AC13-A5D9ECB740F7}"/>
    <cellStyle name="Měna 2 6 2 2 4 2" xfId="1475" xr:uid="{2F026890-9EA6-48D9-A502-96EB8538283E}"/>
    <cellStyle name="Měna 2 6 2 2 5" xfId="1028" xr:uid="{2508F40F-2FBB-48DE-8A5C-D72190E4908D}"/>
    <cellStyle name="Měna 2 6 2 3" xfId="181" xr:uid="{608576A2-DAEC-4332-97A5-5BA66E0D1FAB}"/>
    <cellStyle name="Měna 2 6 2 3 2" xfId="431" xr:uid="{C61548D5-66E6-48FD-853A-0E56C5CBDCDA}"/>
    <cellStyle name="Měna 2 6 2 3 2 2" xfId="878" xr:uid="{45D2E8DC-9D99-4772-9DB3-857216CAAF64}"/>
    <cellStyle name="Měna 2 6 2 3 2 2 2" xfId="1773" xr:uid="{405BCE7F-AF14-4E6E-BF60-72A439EC49C2}"/>
    <cellStyle name="Měna 2 6 2 3 2 3" xfId="1326" xr:uid="{669BA8F7-EB65-49C0-8D7A-CA67D00C7ABF}"/>
    <cellStyle name="Měna 2 6 2 3 3" xfId="630" xr:uid="{8F6DF400-5402-4D1A-922A-DABDE72DF0FA}"/>
    <cellStyle name="Měna 2 6 2 3 3 2" xfId="1525" xr:uid="{A66726BD-7E7A-45F8-8D09-0C67B2324EE5}"/>
    <cellStyle name="Měna 2 6 2 3 4" xfId="1078" xr:uid="{AAF19AB6-E4F0-4563-B5E4-5B9CFA91DCA3}"/>
    <cellStyle name="Měna 2 6 2 4" xfId="282" xr:uid="{2CCF288A-D9C9-46BF-A69A-E3B1A859C11B}"/>
    <cellStyle name="Měna 2 6 2 4 2" xfId="729" xr:uid="{922886F6-43CE-44D6-8061-C0AE9441CF42}"/>
    <cellStyle name="Měna 2 6 2 4 2 2" xfId="1624" xr:uid="{10B81FAE-63BD-40C6-935A-F107FA66DB54}"/>
    <cellStyle name="Měna 2 6 2 4 3" xfId="1177" xr:uid="{5DA59BC1-F60C-4CC9-B357-D0F8C61EB1D0}"/>
    <cellStyle name="Měna 2 6 2 5" xfId="331" xr:uid="{0004B9C8-1B1F-43B1-B829-8B5EB223AB99}"/>
    <cellStyle name="Měna 2 6 2 5 2" xfId="778" xr:uid="{7A92999B-8FEB-4053-AB90-9D0963704E82}"/>
    <cellStyle name="Měna 2 6 2 5 2 2" xfId="1673" xr:uid="{79E5B00C-96C5-42AA-B731-AF6C04EC7445}"/>
    <cellStyle name="Měna 2 6 2 5 3" xfId="1226" xr:uid="{4ED592E7-787A-4615-BA30-00F72EC49194}"/>
    <cellStyle name="Měna 2 6 2 6" xfId="530" xr:uid="{5632BBE1-0489-4F6A-BAD3-996E7D6CEA19}"/>
    <cellStyle name="Měna 2 6 2 6 2" xfId="1425" xr:uid="{CD13C36C-0231-4C7F-A2EE-70B324CB6D6D}"/>
    <cellStyle name="Měna 2 6 2 7" xfId="978" xr:uid="{D88A7251-EDB7-4D20-8B5B-5420F3CB2110}"/>
    <cellStyle name="Měna 2 6 3" xfId="106" xr:uid="{7404A5E0-1168-494F-B7EC-A5170AA51966}"/>
    <cellStyle name="Měna 2 6 3 2" xfId="206" xr:uid="{450A5FD7-8DFE-4A6F-973B-F44839627AE0}"/>
    <cellStyle name="Měna 2 6 3 2 2" xfId="456" xr:uid="{EE86C390-6C06-4B78-A9A1-2A04E048CDC0}"/>
    <cellStyle name="Měna 2 6 3 2 2 2" xfId="903" xr:uid="{F36B6F75-E3C9-4B86-BE21-54436D411A0A}"/>
    <cellStyle name="Měna 2 6 3 2 2 2 2" xfId="1798" xr:uid="{2CE3FB2A-B966-461E-BC18-AAA2E297F495}"/>
    <cellStyle name="Měna 2 6 3 2 2 3" xfId="1351" xr:uid="{E63F8A41-1A40-4FFE-B436-A4F0A856D887}"/>
    <cellStyle name="Měna 2 6 3 2 3" xfId="655" xr:uid="{156C61B7-1094-441D-B020-68EE3A91E7A3}"/>
    <cellStyle name="Měna 2 6 3 2 3 2" xfId="1550" xr:uid="{834F41F5-8803-4B81-88DC-431FAC2EFCAB}"/>
    <cellStyle name="Měna 2 6 3 2 4" xfId="1103" xr:uid="{047F658A-7E99-4545-A26F-B54CD159C01A}"/>
    <cellStyle name="Měna 2 6 3 3" xfId="356" xr:uid="{7DE714F2-53EF-4C90-B099-2D66CD5EAE14}"/>
    <cellStyle name="Měna 2 6 3 3 2" xfId="803" xr:uid="{0BDBA6E0-F1F8-4B76-8DEA-0DF788E286C0}"/>
    <cellStyle name="Měna 2 6 3 3 2 2" xfId="1698" xr:uid="{DF1C469A-94FC-4E47-A115-8D4D13E6311A}"/>
    <cellStyle name="Měna 2 6 3 3 3" xfId="1251" xr:uid="{D58D3604-8B67-412F-93D1-94EBE1498CE9}"/>
    <cellStyle name="Měna 2 6 3 4" xfId="555" xr:uid="{67605EA3-92E0-4BDA-84A9-E4AFF2C0028B}"/>
    <cellStyle name="Měna 2 6 3 4 2" xfId="1450" xr:uid="{3DA05B90-8513-4F73-A164-EBAE41C5ED4B}"/>
    <cellStyle name="Měna 2 6 3 5" xfId="1003" xr:uid="{7A14BC79-548F-442B-A06B-8662DE9264C5}"/>
    <cellStyle name="Měna 2 6 4" xfId="156" xr:uid="{2B2DFF4F-9671-4050-8F7A-AB3C5E9CE201}"/>
    <cellStyle name="Měna 2 6 4 2" xfId="406" xr:uid="{C4779CE7-B026-4927-9460-BE79B543FEEA}"/>
    <cellStyle name="Měna 2 6 4 2 2" xfId="853" xr:uid="{3CEC128E-1DDD-4FE0-927F-1ED5580E5973}"/>
    <cellStyle name="Měna 2 6 4 2 2 2" xfId="1748" xr:uid="{DEE7593D-65BC-4B23-A235-02F31240670F}"/>
    <cellStyle name="Měna 2 6 4 2 3" xfId="1301" xr:uid="{AAAC518E-4282-496F-905C-62F85BC357AB}"/>
    <cellStyle name="Měna 2 6 4 3" xfId="605" xr:uid="{0CBC628C-6A68-46A4-AFBB-6190C3F14E5B}"/>
    <cellStyle name="Měna 2 6 4 3 2" xfId="1500" xr:uid="{1C21A585-6DB3-4147-8DA0-EDF18C05CDE8}"/>
    <cellStyle name="Měna 2 6 4 4" xfId="1053" xr:uid="{D0446E48-ABCF-4796-A130-7C67E2EE5900}"/>
    <cellStyle name="Měna 2 6 5" xfId="256" xr:uid="{85BD53F7-F72A-4CC1-BD4B-F0BEA5320B75}"/>
    <cellStyle name="Měna 2 6 5 2" xfId="705" xr:uid="{EF418F48-27A4-432A-BF98-B6BE7754427F}"/>
    <cellStyle name="Měna 2 6 5 2 2" xfId="1600" xr:uid="{3D6C72AD-22EF-4154-B2EF-433FE3A14B02}"/>
    <cellStyle name="Měna 2 6 5 3" xfId="1153" xr:uid="{89D113B7-21AA-41EB-B026-2E878A0A9759}"/>
    <cellStyle name="Měna 2 6 6" xfId="307" xr:uid="{48F7BFE9-054D-462F-9856-21A4AE9C0E49}"/>
    <cellStyle name="Měna 2 6 6 2" xfId="754" xr:uid="{F15CC03C-648D-483A-9E2E-C2EE4C2C7D42}"/>
    <cellStyle name="Měna 2 6 6 2 2" xfId="1649" xr:uid="{42E156E7-0B6E-49BF-92DC-E18641531103}"/>
    <cellStyle name="Měna 2 6 6 3" xfId="1202" xr:uid="{EB3D2182-0B0C-453F-B4B5-1E295E3066C2}"/>
    <cellStyle name="Měna 2 6 7" xfId="506" xr:uid="{E8ACFCC2-85AD-4C4B-A67F-7E34B34D606B}"/>
    <cellStyle name="Měna 2 6 7 2" xfId="1401" xr:uid="{149B336B-2D54-4B0C-94AE-D37DA7543842}"/>
    <cellStyle name="Měna 2 6 8" xfId="953" xr:uid="{074AB95C-E6DD-4737-931D-810F929CBC5E}"/>
    <cellStyle name="Měna 2 7" xfId="73" xr:uid="{8A3EFBE6-C8B1-445B-833E-27AD9C67E1A9}"/>
    <cellStyle name="Měna 2 7 2" xfId="123" xr:uid="{527AD308-F9E9-4B4F-8D3E-79F1C8DC2296}"/>
    <cellStyle name="Měna 2 7 2 2" xfId="223" xr:uid="{005829E9-665D-4474-AC6D-3BCE3EFA9072}"/>
    <cellStyle name="Měna 2 7 2 2 2" xfId="473" xr:uid="{615DDB02-A859-4345-AF3F-FBD9B3C67F0E}"/>
    <cellStyle name="Měna 2 7 2 2 2 2" xfId="920" xr:uid="{79C15E13-B7F0-4DB0-A017-288120AEF85F}"/>
    <cellStyle name="Měna 2 7 2 2 2 2 2" xfId="1815" xr:uid="{52BAEB60-15F7-44B7-8D7F-B9C161F82934}"/>
    <cellStyle name="Měna 2 7 2 2 2 3" xfId="1368" xr:uid="{1DCD24FF-2238-4A7B-9060-F1BFC142E8F4}"/>
    <cellStyle name="Měna 2 7 2 2 3" xfId="672" xr:uid="{F018C175-634C-41D3-B798-11F8CB7D72B9}"/>
    <cellStyle name="Měna 2 7 2 2 3 2" xfId="1567" xr:uid="{BB43768F-C3B9-4A48-864E-548648BB1AC7}"/>
    <cellStyle name="Měna 2 7 2 2 4" xfId="1120" xr:uid="{C5DD4B67-9239-4271-BE99-6DBF59AE6CF9}"/>
    <cellStyle name="Měna 2 7 2 3" xfId="373" xr:uid="{31705947-4CD4-47AC-9762-6EE733BB36A4}"/>
    <cellStyle name="Měna 2 7 2 3 2" xfId="820" xr:uid="{E90BDD85-8415-405D-BFDB-BC25376FA904}"/>
    <cellStyle name="Měna 2 7 2 3 2 2" xfId="1715" xr:uid="{FF4EF038-C5E7-41A3-8976-93970B5F29C7}"/>
    <cellStyle name="Měna 2 7 2 3 3" xfId="1268" xr:uid="{86573F15-5C51-4EC8-A293-118857943C11}"/>
    <cellStyle name="Měna 2 7 2 4" xfId="572" xr:uid="{A3ABB8E9-73B3-4EBB-868E-56817A136B1F}"/>
    <cellStyle name="Měna 2 7 2 4 2" xfId="1467" xr:uid="{1576DF82-4D16-4F5B-BCBB-AB8AA4C6A577}"/>
    <cellStyle name="Měna 2 7 2 5" xfId="1020" xr:uid="{0C81C363-E52E-4AB9-8412-0F504D82B088}"/>
    <cellStyle name="Měna 2 7 3" xfId="173" xr:uid="{AF47201D-8ACC-446B-B657-5E31DF5CF481}"/>
    <cellStyle name="Měna 2 7 3 2" xfId="423" xr:uid="{1FEDB8BC-E0F1-411A-92DC-863F0957BADE}"/>
    <cellStyle name="Měna 2 7 3 2 2" xfId="870" xr:uid="{D15BDE82-5275-49AF-892E-BB03B5FA1B32}"/>
    <cellStyle name="Měna 2 7 3 2 2 2" xfId="1765" xr:uid="{ABD69EE0-37A8-42AA-AB82-6CBF8DFE34A6}"/>
    <cellStyle name="Měna 2 7 3 2 3" xfId="1318" xr:uid="{61961F42-6BB3-48E2-A2D7-5D2471D43B99}"/>
    <cellStyle name="Měna 2 7 3 3" xfId="622" xr:uid="{6F4E5F8E-BD93-4305-ADA9-1AF69CF2475D}"/>
    <cellStyle name="Měna 2 7 3 3 2" xfId="1517" xr:uid="{70E6EC6C-51DA-4847-BA26-EAF8774CFE1F}"/>
    <cellStyle name="Měna 2 7 3 4" xfId="1070" xr:uid="{14B70715-0093-493E-A05B-26602A7B62F5}"/>
    <cellStyle name="Měna 2 7 4" xfId="274" xr:uid="{F935A926-05D8-4451-A10F-1C19EDAB5747}"/>
    <cellStyle name="Měna 2 7 4 2" xfId="721" xr:uid="{4C4E6BE2-7535-4E51-9B59-7319CCBCAC12}"/>
    <cellStyle name="Měna 2 7 4 2 2" xfId="1616" xr:uid="{9254BA61-0C6C-4071-863A-611A6630475D}"/>
    <cellStyle name="Měna 2 7 4 3" xfId="1169" xr:uid="{05414142-DC9C-48F0-9137-B52C2807D774}"/>
    <cellStyle name="Měna 2 7 5" xfId="323" xr:uid="{935E6ABB-A268-4492-A6D9-233186B8CEA0}"/>
    <cellStyle name="Měna 2 7 5 2" xfId="770" xr:uid="{06A81507-F5D9-45B8-9248-D6A81A9D74F7}"/>
    <cellStyle name="Měna 2 7 5 2 2" xfId="1665" xr:uid="{5C61626D-1EE8-4BFB-8492-6E8156036F6C}"/>
    <cellStyle name="Měna 2 7 5 3" xfId="1218" xr:uid="{883A7347-C6CC-4CB6-A6D4-34E180084AC7}"/>
    <cellStyle name="Měna 2 7 6" xfId="522" xr:uid="{BBBD15F2-9B14-4BF0-B0B8-31C3EA33E03F}"/>
    <cellStyle name="Měna 2 7 6 2" xfId="1417" xr:uid="{3D6AEC88-1952-4E06-B5A7-C8CEDA9445FE}"/>
    <cellStyle name="Měna 2 7 7" xfId="970" xr:uid="{3F8AC11F-29D2-4742-B4CE-3C32A4FB1C10}"/>
    <cellStyle name="Měna 2 8" xfId="98" xr:uid="{6C480E26-50FF-4835-9101-0435442749AF}"/>
    <cellStyle name="Měna 2 8 2" xfId="198" xr:uid="{B89A01F3-871A-4F80-B240-DF95E2197BC5}"/>
    <cellStyle name="Měna 2 8 2 2" xfId="448" xr:uid="{A118AB79-AB52-417F-B669-DDC043F19730}"/>
    <cellStyle name="Měna 2 8 2 2 2" xfId="895" xr:uid="{9307617F-B180-4404-98D6-8750B99EAEFA}"/>
    <cellStyle name="Měna 2 8 2 2 2 2" xfId="1790" xr:uid="{735D6FD8-12AA-4FB2-91A6-38B817AF674C}"/>
    <cellStyle name="Měna 2 8 2 2 3" xfId="1343" xr:uid="{74C75E90-32FD-406A-83FB-AB15AB02CF29}"/>
    <cellStyle name="Měna 2 8 2 3" xfId="647" xr:uid="{E95E9263-8360-4526-B465-C88F95224A5E}"/>
    <cellStyle name="Měna 2 8 2 3 2" xfId="1542" xr:uid="{DA3B55F0-42D4-4DBB-8A7A-5D26F72E0791}"/>
    <cellStyle name="Měna 2 8 2 4" xfId="1095" xr:uid="{566A2B71-124D-4605-8B21-462879F597ED}"/>
    <cellStyle name="Měna 2 8 3" xfId="348" xr:uid="{6E28F12D-5028-4EB8-B93B-55B118D67B6B}"/>
    <cellStyle name="Měna 2 8 3 2" xfId="795" xr:uid="{7EDCBD3C-E759-4FDF-B99B-04D1932F2874}"/>
    <cellStyle name="Měna 2 8 3 2 2" xfId="1690" xr:uid="{EA6A96E6-C235-4672-A5D8-2AA58BD0F11C}"/>
    <cellStyle name="Měna 2 8 3 3" xfId="1243" xr:uid="{C3468F27-3EE4-4EF0-9664-22D0D99334F3}"/>
    <cellStyle name="Měna 2 8 4" xfId="547" xr:uid="{60AEBD27-0E12-4558-BF13-55A7DD137123}"/>
    <cellStyle name="Měna 2 8 4 2" xfId="1442" xr:uid="{B95CDCE7-5DCF-4F7B-8FAC-115A854B08CD}"/>
    <cellStyle name="Měna 2 8 5" xfId="995" xr:uid="{CB651798-4814-4609-AB78-7E3354270196}"/>
    <cellStyle name="Měna 2 9" xfId="148" xr:uid="{D4BAFB7C-4D64-44D1-A905-6285E25942AD}"/>
    <cellStyle name="Měna 2 9 2" xfId="398" xr:uid="{C6339C9E-F56D-4A98-B603-8C75924CF937}"/>
    <cellStyle name="Měna 2 9 2 2" xfId="845" xr:uid="{36FBA06D-F9ED-416A-A4D7-9F21714B6E2D}"/>
    <cellStyle name="Měna 2 9 2 2 2" xfId="1740" xr:uid="{8913FCD9-5A2B-49B9-BCFF-3F84968FF4FD}"/>
    <cellStyle name="Měna 2 9 2 3" xfId="1293" xr:uid="{F258D23B-B640-453C-B010-481A2C807E5C}"/>
    <cellStyle name="Měna 2 9 3" xfId="597" xr:uid="{8045F658-8B36-465F-AA0B-462A3A01E158}"/>
    <cellStyle name="Měna 2 9 3 2" xfId="1492" xr:uid="{39C0C1B2-915D-4ED5-883C-BEF592ACD991}"/>
    <cellStyle name="Měna 2 9 4" xfId="1045" xr:uid="{C669D184-E4C9-43D8-AD8D-EC64FEEEB3B6}"/>
    <cellStyle name="Měna 3" xfId="46" xr:uid="{F65E42D0-8B32-4294-BD22-B39C0662DE88}"/>
    <cellStyle name="Měna 3 2" xfId="82" xr:uid="{781D6E8A-30E0-459B-8527-C0EEAC721EFB}"/>
    <cellStyle name="Měna 3 2 2" xfId="132" xr:uid="{4E92533C-2AD1-46BF-8BB0-83610AC8F5F5}"/>
    <cellStyle name="Měna 3 2 2 2" xfId="232" xr:uid="{ED6905AE-6BD0-4046-8746-8959601F0A56}"/>
    <cellStyle name="Měna 3 2 2 2 2" xfId="482" xr:uid="{1C7D2E76-96D1-42C9-8D59-203C7039436B}"/>
    <cellStyle name="Měna 3 2 2 2 2 2" xfId="929" xr:uid="{4F7DCD7A-D0CB-4A55-8E8D-848B62C0E58D}"/>
    <cellStyle name="Měna 3 2 2 2 2 2 2" xfId="1824" xr:uid="{AF99CBD4-9943-4747-8EF0-1B8AA74F8B36}"/>
    <cellStyle name="Měna 3 2 2 2 2 3" xfId="1377" xr:uid="{DF395941-2250-492F-939B-82FD11955704}"/>
    <cellStyle name="Měna 3 2 2 2 3" xfId="681" xr:uid="{7987F16E-47A6-43B2-8754-6B56DD377AB7}"/>
    <cellStyle name="Měna 3 2 2 2 3 2" xfId="1576" xr:uid="{EC194673-E888-4D94-9DA9-302BEC3E3053}"/>
    <cellStyle name="Měna 3 2 2 2 4" xfId="1129" xr:uid="{053BF658-57C0-42B4-90B6-B77ECE6D37F9}"/>
    <cellStyle name="Měna 3 2 2 3" xfId="382" xr:uid="{177603A5-92F0-430E-B848-8244F4BC6960}"/>
    <cellStyle name="Měna 3 2 2 3 2" xfId="829" xr:uid="{38D7E038-230F-40EF-B105-31504567433E}"/>
    <cellStyle name="Měna 3 2 2 3 2 2" xfId="1724" xr:uid="{ECA6C2F7-850C-46DA-9EC5-A798D9A6D466}"/>
    <cellStyle name="Měna 3 2 2 3 3" xfId="1277" xr:uid="{FBE43893-43B5-4D6A-BC89-04DF7F160E27}"/>
    <cellStyle name="Měna 3 2 2 4" xfId="581" xr:uid="{7E6136A8-030B-4F4E-99A8-FDD7EA720A29}"/>
    <cellStyle name="Měna 3 2 2 4 2" xfId="1476" xr:uid="{4B3CB30F-6613-46F3-9D8C-A55CFF6711E5}"/>
    <cellStyle name="Měna 3 2 2 5" xfId="1029" xr:uid="{580465C7-203C-438F-A1C4-4FF801C84AD3}"/>
    <cellStyle name="Měna 3 2 3" xfId="182" xr:uid="{A76A1F65-3BE3-43EE-A514-1DDA6DBACF34}"/>
    <cellStyle name="Měna 3 2 3 2" xfId="432" xr:uid="{1571499B-031B-4511-A7BC-D05FDC2E715C}"/>
    <cellStyle name="Měna 3 2 3 2 2" xfId="879" xr:uid="{807438EA-30A9-43FC-B759-1905D1CC00FD}"/>
    <cellStyle name="Měna 3 2 3 2 2 2" xfId="1774" xr:uid="{F2E0E4CD-035E-4280-9133-17D78FA45B59}"/>
    <cellStyle name="Měna 3 2 3 2 3" xfId="1327" xr:uid="{7ECDBEFE-F91B-4629-BB5D-45EF7001B292}"/>
    <cellStyle name="Měna 3 2 3 3" xfId="631" xr:uid="{DFF9A209-4B07-4168-9024-8CD3CF0DFD0B}"/>
    <cellStyle name="Měna 3 2 3 3 2" xfId="1526" xr:uid="{564D6B39-74C7-408A-AAA7-55BD682F3FBB}"/>
    <cellStyle name="Měna 3 2 3 4" xfId="1079" xr:uid="{03F49781-69FA-4835-A30B-42DB09F21A80}"/>
    <cellStyle name="Měna 3 2 4" xfId="283" xr:uid="{60DC1EA2-DEF0-4B4A-BC69-2C7C5356C91D}"/>
    <cellStyle name="Měna 3 2 4 2" xfId="730" xr:uid="{7575B969-52B4-4675-A408-EEBDF6148234}"/>
    <cellStyle name="Měna 3 2 4 2 2" xfId="1625" xr:uid="{4B84BCB8-9EBE-43A1-B71A-4F5258E46038}"/>
    <cellStyle name="Měna 3 2 4 3" xfId="1178" xr:uid="{05257590-19F8-48DF-940D-6AA7E9965BD7}"/>
    <cellStyle name="Měna 3 2 5" xfId="332" xr:uid="{3586CE6E-5A7F-4B9D-9287-B69D225682F8}"/>
    <cellStyle name="Měna 3 2 5 2" xfId="779" xr:uid="{D6E6F7B9-72D0-4061-A815-4DDA21B56DCE}"/>
    <cellStyle name="Měna 3 2 5 2 2" xfId="1674" xr:uid="{BDE0A727-A297-416A-8A5D-8FCE7936A841}"/>
    <cellStyle name="Měna 3 2 5 3" xfId="1227" xr:uid="{7641C1F1-FF49-4E8A-97BE-5900DFEB36FF}"/>
    <cellStyle name="Měna 3 2 6" xfId="531" xr:uid="{7B1CB638-907C-4CE2-A296-A42D37908EAB}"/>
    <cellStyle name="Měna 3 2 6 2" xfId="1426" xr:uid="{B8C9B798-0F4F-44B9-A923-8B745371C5E9}"/>
    <cellStyle name="Měna 3 2 7" xfId="979" xr:uid="{E3513D70-C214-451D-BF32-80C1BF1758CF}"/>
    <cellStyle name="Měna 3 3" xfId="107" xr:uid="{FE578A08-F619-46E6-B6A6-7BD38EC4204A}"/>
    <cellStyle name="Měna 3 3 2" xfId="207" xr:uid="{D2E4C92C-E50F-400C-BAAA-B061C38C1700}"/>
    <cellStyle name="Měna 3 3 2 2" xfId="457" xr:uid="{89C80B2E-71BE-45CA-A0BD-D439B6899AAB}"/>
    <cellStyle name="Měna 3 3 2 2 2" xfId="904" xr:uid="{AC662448-CFA9-4A7B-A00C-F63A601F2BAF}"/>
    <cellStyle name="Měna 3 3 2 2 2 2" xfId="1799" xr:uid="{FAD280F5-20FC-447F-873D-5FC54F8180F4}"/>
    <cellStyle name="Měna 3 3 2 2 3" xfId="1352" xr:uid="{E7E92A6A-B267-4B38-AE51-CEFC368B9587}"/>
    <cellStyle name="Měna 3 3 2 3" xfId="656" xr:uid="{DEA6BC99-3D92-4312-8D11-5410F9ED844F}"/>
    <cellStyle name="Měna 3 3 2 3 2" xfId="1551" xr:uid="{6DA4A094-EBF0-4405-8E91-F34F795E7065}"/>
    <cellStyle name="Měna 3 3 2 4" xfId="1104" xr:uid="{6CDE772F-D33E-4134-B999-A328A0303E31}"/>
    <cellStyle name="Měna 3 3 3" xfId="357" xr:uid="{D9815059-655C-4D08-ACE2-2F78EE9B9D75}"/>
    <cellStyle name="Měna 3 3 3 2" xfId="804" xr:uid="{314AC036-B906-46C7-AE84-91CE40ADBC9F}"/>
    <cellStyle name="Měna 3 3 3 2 2" xfId="1699" xr:uid="{9FD4B6C1-05AC-401A-801A-13762823DEAE}"/>
    <cellStyle name="Měna 3 3 3 3" xfId="1252" xr:uid="{362CE222-A58D-4271-8250-9E18590B069F}"/>
    <cellStyle name="Měna 3 3 4" xfId="556" xr:uid="{18D6A18B-672D-4F85-99AA-306D5FE7E256}"/>
    <cellStyle name="Měna 3 3 4 2" xfId="1451" xr:uid="{8645CFF0-A3A4-4C56-8B48-F80F63940280}"/>
    <cellStyle name="Měna 3 3 5" xfId="1004" xr:uid="{A9B4C959-903D-4D96-B176-0CB37CCC38C0}"/>
    <cellStyle name="Měna 3 4" xfId="157" xr:uid="{807F316C-C014-4B82-946E-D2906D9496C0}"/>
    <cellStyle name="Měna 3 4 2" xfId="407" xr:uid="{0DF71DF3-716B-4456-AAB6-02B56202EFA7}"/>
    <cellStyle name="Měna 3 4 2 2" xfId="854" xr:uid="{13A7BD6F-6846-4597-9430-3DC6BFCF37A9}"/>
    <cellStyle name="Měna 3 4 2 2 2" xfId="1749" xr:uid="{7E216A79-B823-4C03-8531-BC99C1BF4A7A}"/>
    <cellStyle name="Měna 3 4 2 3" xfId="1302" xr:uid="{AC287BBD-F050-439C-B359-F0F0FFD37895}"/>
    <cellStyle name="Měna 3 4 3" xfId="606" xr:uid="{4855A1F2-F382-4113-91CB-D771A960D348}"/>
    <cellStyle name="Měna 3 4 3 2" xfId="1501" xr:uid="{962240E1-9260-47D4-A11E-3CD97A24F3DD}"/>
    <cellStyle name="Měna 3 4 4" xfId="1054" xr:uid="{FCFC035E-0383-4F5F-A37A-0C1E3C490D92}"/>
    <cellStyle name="Měna 3 5" xfId="257" xr:uid="{3E46221F-D3DE-446E-8DD5-8A1AC0F43953}"/>
    <cellStyle name="Měna 3 5 2" xfId="706" xr:uid="{81509ACB-6AE6-417A-9C86-A21A44E5B774}"/>
    <cellStyle name="Měna 3 5 2 2" xfId="1601" xr:uid="{4E84BC6F-D0CC-4F12-ACD3-9832078AF3BC}"/>
    <cellStyle name="Měna 3 5 3" xfId="1154" xr:uid="{1BDF20EA-EA75-422C-9F93-0E698D51E297}"/>
    <cellStyle name="Měna 3 6" xfId="308" xr:uid="{34EC4D23-2E84-477A-B901-E5D12C8DB30C}"/>
    <cellStyle name="Měna 3 6 2" xfId="755" xr:uid="{DADAEBF0-76F8-479D-A6B2-670F0057996F}"/>
    <cellStyle name="Měna 3 6 2 2" xfId="1650" xr:uid="{B39E061F-7D0A-492A-A985-EB799C211168}"/>
    <cellStyle name="Měna 3 6 3" xfId="1203" xr:uid="{D7F2B1FD-46E7-49CF-81AE-88E3B0687D0E}"/>
    <cellStyle name="Měna 3 7" xfId="507" xr:uid="{F0889FFF-5527-4833-8ED8-F6D72F2BA9C2}"/>
    <cellStyle name="Měna 3 7 2" xfId="1402" xr:uid="{9742DDF7-FF5D-4D82-8A95-AA20F935B0B4}"/>
    <cellStyle name="Měna 3 8" xfId="954" xr:uid="{C18E5A98-E772-41BD-BADB-CEE2D6BE8B5E}"/>
    <cellStyle name="Měna 4" xfId="70" xr:uid="{1781E8D4-2220-42FE-8368-A49F96C9E4F3}"/>
    <cellStyle name="Měna 4 2" xfId="95" xr:uid="{E6A45610-5449-413B-BFAA-2464FD4DA3F2}"/>
    <cellStyle name="Měna 4 2 2" xfId="145" xr:uid="{51BDBA86-E38F-4D45-A455-8AAF6F148CB4}"/>
    <cellStyle name="Měna 4 2 2 2" xfId="245" xr:uid="{0A46F6EF-F7A9-451E-B2B5-0EA623CF73C6}"/>
    <cellStyle name="Měna 4 2 2 2 2" xfId="495" xr:uid="{2C3A47F3-9917-4E23-B880-89A7ED4361BE}"/>
    <cellStyle name="Měna 4 2 2 2 2 2" xfId="942" xr:uid="{5FA79C18-877E-463B-B92F-C9C6B9D53662}"/>
    <cellStyle name="Měna 4 2 2 2 2 2 2" xfId="1837" xr:uid="{B7BC7445-BBFC-4544-AC36-495590AE9C95}"/>
    <cellStyle name="Měna 4 2 2 2 2 3" xfId="1390" xr:uid="{C7AD2E99-09C1-40A6-BB00-D5321282415A}"/>
    <cellStyle name="Měna 4 2 2 2 3" xfId="694" xr:uid="{2A4F2F1A-C2C5-48B7-8FBF-4A2AA311E656}"/>
    <cellStyle name="Měna 4 2 2 2 3 2" xfId="1589" xr:uid="{F1BBA229-9949-4731-83AE-0F74E77EA9FE}"/>
    <cellStyle name="Měna 4 2 2 2 4" xfId="1142" xr:uid="{0A3B481A-CB98-4E89-B831-D678774442C9}"/>
    <cellStyle name="Měna 4 2 2 3" xfId="395" xr:uid="{7B21D535-3706-43DC-A36E-FA50B0043C30}"/>
    <cellStyle name="Měna 4 2 2 3 2" xfId="842" xr:uid="{001B15AC-8FF4-4C68-AA08-52D91B0AED89}"/>
    <cellStyle name="Měna 4 2 2 3 2 2" xfId="1737" xr:uid="{D0301DF0-9EBC-45D0-B246-1C431B18E8C7}"/>
    <cellStyle name="Měna 4 2 2 3 3" xfId="1290" xr:uid="{F19B5C3E-0EFF-4A48-9D33-18BE69D176C0}"/>
    <cellStyle name="Měna 4 2 2 4" xfId="594" xr:uid="{C88EA410-EA1D-4323-8AEA-1B862E8BA785}"/>
    <cellStyle name="Měna 4 2 2 4 2" xfId="1489" xr:uid="{8D51316C-5E83-4AA7-9C58-9F7D1DA73498}"/>
    <cellStyle name="Měna 4 2 2 5" xfId="1042" xr:uid="{70C68368-433A-4547-A0BC-F7BC7CA8AE8B}"/>
    <cellStyle name="Měna 4 2 3" xfId="195" xr:uid="{EC62B0FA-1436-4565-8FFE-60BA44119F36}"/>
    <cellStyle name="Měna 4 2 3 2" xfId="445" xr:uid="{5D7F0D6A-A393-4B18-A9DD-2103A1ACB117}"/>
    <cellStyle name="Měna 4 2 3 2 2" xfId="892" xr:uid="{B047F2C1-8434-4A55-9279-0363CD2FCB59}"/>
    <cellStyle name="Měna 4 2 3 2 2 2" xfId="1787" xr:uid="{5D12F1BE-D7ED-41AA-A419-8E56E76EE9E3}"/>
    <cellStyle name="Měna 4 2 3 2 3" xfId="1340" xr:uid="{86094861-38A2-42C5-84E6-87A77F6EECBC}"/>
    <cellStyle name="Měna 4 2 3 3" xfId="644" xr:uid="{41C63CE5-6B71-495A-B64E-BA93CFED94EC}"/>
    <cellStyle name="Měna 4 2 3 3 2" xfId="1539" xr:uid="{16CF2885-447E-45BF-AF7E-A1AA61A2AFD0}"/>
    <cellStyle name="Měna 4 2 3 4" xfId="1092" xr:uid="{8E7E0252-56B4-48E7-AF33-3C8F4BFF7D54}"/>
    <cellStyle name="Měna 4 2 4" xfId="296" xr:uid="{6F294164-F25E-4A7E-8A93-0A2708A115AC}"/>
    <cellStyle name="Měna 4 2 4 2" xfId="743" xr:uid="{0DEC1328-BFAB-4BFD-979D-04A11D54E1DF}"/>
    <cellStyle name="Měna 4 2 4 2 2" xfId="1638" xr:uid="{B49B2243-9182-42DD-A41E-0B5C2D4B3275}"/>
    <cellStyle name="Měna 4 2 4 3" xfId="1191" xr:uid="{79735E9A-E7C7-4F1B-B25C-B66C9B938807}"/>
    <cellStyle name="Měna 4 2 5" xfId="345" xr:uid="{A1A00BBD-534E-4272-86F8-D7C2C4EBDD16}"/>
    <cellStyle name="Měna 4 2 5 2" xfId="792" xr:uid="{913C519A-324B-4416-8EE2-C4AAB112CAF9}"/>
    <cellStyle name="Měna 4 2 5 2 2" xfId="1687" xr:uid="{F442BC33-D8D1-44F7-A869-E2E0FC1939CD}"/>
    <cellStyle name="Měna 4 2 5 3" xfId="1240" xr:uid="{8259323E-9941-44A4-B8F8-67B09028F966}"/>
    <cellStyle name="Měna 4 2 6" xfId="544" xr:uid="{2AF62704-724B-49B6-ABB3-B7D25C60AC67}"/>
    <cellStyle name="Měna 4 2 6 2" xfId="1439" xr:uid="{EADA2E53-EF27-4F78-A112-F595A1E2F05F}"/>
    <cellStyle name="Měna 4 2 7" xfId="992" xr:uid="{4B8144BA-3E64-45BC-9FE8-0A5D0A2373B1}"/>
    <cellStyle name="Měna 4 3" xfId="120" xr:uid="{41B845EA-FF7E-426E-907D-AB17E420B78A}"/>
    <cellStyle name="Měna 4 3 2" xfId="220" xr:uid="{F2AD8B2D-4D4E-42EC-8994-0E5008124488}"/>
    <cellStyle name="Měna 4 3 2 2" xfId="470" xr:uid="{25AD65D3-9C5A-42E7-B070-6F9635D22196}"/>
    <cellStyle name="Měna 4 3 2 2 2" xfId="917" xr:uid="{08478465-632B-4898-B5D0-ACE02D08C3AF}"/>
    <cellStyle name="Měna 4 3 2 2 2 2" xfId="1812" xr:uid="{B5FBA4D2-5A14-43A0-8166-3BD1B8E4B668}"/>
    <cellStyle name="Měna 4 3 2 2 3" xfId="1365" xr:uid="{64AE295C-99E4-4EA3-A64B-42691304972D}"/>
    <cellStyle name="Měna 4 3 2 3" xfId="669" xr:uid="{128D18F4-B671-420F-B63A-046B27EC67FA}"/>
    <cellStyle name="Měna 4 3 2 3 2" xfId="1564" xr:uid="{813F8F31-F3A5-4EC8-94B1-3BDF17031C81}"/>
    <cellStyle name="Měna 4 3 2 4" xfId="1117" xr:uid="{C8F83965-9E0B-4333-8717-2162645471CE}"/>
    <cellStyle name="Měna 4 3 3" xfId="370" xr:uid="{1C297499-489D-49FB-8A2D-813F51A1311F}"/>
    <cellStyle name="Měna 4 3 3 2" xfId="817" xr:uid="{87F5DFCE-ABAE-4A6B-9CF4-4E429C093F71}"/>
    <cellStyle name="Měna 4 3 3 2 2" xfId="1712" xr:uid="{AD5FA156-E019-44C1-B014-0419EE8A1C62}"/>
    <cellStyle name="Měna 4 3 3 3" xfId="1265" xr:uid="{4D4CFE25-F080-4711-9741-1729CAA9A712}"/>
    <cellStyle name="Měna 4 3 4" xfId="569" xr:uid="{9B3393A5-8234-4B3D-A1DA-E914DA18368F}"/>
    <cellStyle name="Měna 4 3 4 2" xfId="1464" xr:uid="{AC6D0DF1-49F6-4573-AF22-AF65F5125774}"/>
    <cellStyle name="Měna 4 3 5" xfId="1017" xr:uid="{561BF7CA-0193-4AEA-8CA0-F93636FBC34F}"/>
    <cellStyle name="Měna 4 4" xfId="170" xr:uid="{46591031-41D3-4EB6-BEAD-A6EB98368789}"/>
    <cellStyle name="Měna 4 4 2" xfId="420" xr:uid="{7911FB2B-C684-4B43-950B-7859AB9F2F81}"/>
    <cellStyle name="Měna 4 4 2 2" xfId="867" xr:uid="{80821261-AD0A-4548-93C2-EF7F68FACC40}"/>
    <cellStyle name="Měna 4 4 2 2 2" xfId="1762" xr:uid="{56D1E268-EA1F-4707-BBBB-053800774E5E}"/>
    <cellStyle name="Měna 4 4 2 3" xfId="1315" xr:uid="{76199985-C86C-497E-86AC-6F215A8AE1C6}"/>
    <cellStyle name="Měna 4 4 3" xfId="619" xr:uid="{529343C2-AC33-4C57-9D5F-E7CEA0AFB822}"/>
    <cellStyle name="Měna 4 4 3 2" xfId="1514" xr:uid="{F0DA17E2-2F0F-4602-81A1-082ADD93403B}"/>
    <cellStyle name="Měna 4 4 4" xfId="1067" xr:uid="{B2438368-D62C-4F11-A5A7-3A86A1554FB7}"/>
    <cellStyle name="Měna 4 5" xfId="271" xr:uid="{CA2D3EA8-BDE3-443B-92AB-7B29C710B918}"/>
    <cellStyle name="Měna 4 5 2" xfId="718" xr:uid="{0F9C1FB5-E49A-4F8C-B617-A49FADE4C3BB}"/>
    <cellStyle name="Měna 4 5 2 2" xfId="1613" xr:uid="{D58DAA7C-AD04-4023-A72D-E2E6269211D4}"/>
    <cellStyle name="Měna 4 5 3" xfId="1166" xr:uid="{69CF05ED-169D-4002-9377-95DDB8CAA7FC}"/>
    <cellStyle name="Měna 4 6" xfId="320" xr:uid="{13381E59-3ACB-4C76-8652-63304C715215}"/>
    <cellStyle name="Měna 4 6 2" xfId="767" xr:uid="{DC202290-4768-48B8-9264-5A09EB579F94}"/>
    <cellStyle name="Měna 4 6 2 2" xfId="1662" xr:uid="{485E2597-989A-4EBA-84EF-2953D41CE504}"/>
    <cellStyle name="Měna 4 6 3" xfId="1215" xr:uid="{49B0CFAC-7856-41D7-AD38-C78EA0CBBCB1}"/>
    <cellStyle name="Měna 4 7" xfId="519" xr:uid="{E736B6D5-3C8C-401D-B75A-BDC24374B732}"/>
    <cellStyle name="Měna 4 7 2" xfId="1414" xr:uid="{A4EF99F3-013A-45C4-9697-3ED7FC877CBE}"/>
    <cellStyle name="Měna 4 8" xfId="967" xr:uid="{DC51789F-C655-440D-A5D7-FB6577362A72}"/>
    <cellStyle name="Měna 5" xfId="94" xr:uid="{02FCD230-9F55-4486-A480-C137C0E0F077}"/>
    <cellStyle name="Měna 5 2" xfId="144" xr:uid="{5759D463-368D-4FD5-B680-C962E4793AD8}"/>
    <cellStyle name="Měna 5 2 2" xfId="244" xr:uid="{6D65A911-68F9-4F40-8E1F-FB283B7DE624}"/>
    <cellStyle name="Měna 5 2 2 2" xfId="494" xr:uid="{4CED16A9-CE58-4FE2-9E5F-0150E5272D85}"/>
    <cellStyle name="Měna 5 2 2 2 2" xfId="941" xr:uid="{F6F98E82-35AB-4D43-8F3B-FD4A2D4E3F46}"/>
    <cellStyle name="Měna 5 2 2 2 2 2" xfId="1836" xr:uid="{902FB2DA-6FCB-47B7-82E5-5C559E53BD47}"/>
    <cellStyle name="Měna 5 2 2 2 3" xfId="1389" xr:uid="{04E1176D-94AB-47B3-A0DE-27F02B857042}"/>
    <cellStyle name="Měna 5 2 2 3" xfId="693" xr:uid="{71834634-F25A-4103-B217-281743A05012}"/>
    <cellStyle name="Měna 5 2 2 3 2" xfId="1588" xr:uid="{0CB6BCBE-81D9-41B3-84DD-1109727C20D6}"/>
    <cellStyle name="Měna 5 2 2 4" xfId="1141" xr:uid="{F7586007-3E39-448B-A848-5B35D048E822}"/>
    <cellStyle name="Měna 5 2 3" xfId="394" xr:uid="{A97A4F9A-463A-4FE2-86DC-41C2DD06FE3A}"/>
    <cellStyle name="Měna 5 2 3 2" xfId="841" xr:uid="{DFD487A6-4E24-4DE8-80D7-C8EC60F9400F}"/>
    <cellStyle name="Měna 5 2 3 2 2" xfId="1736" xr:uid="{D36074D7-7875-4275-8C16-9886676F14D4}"/>
    <cellStyle name="Měna 5 2 3 3" xfId="1289" xr:uid="{0CFAEE01-8A1B-4D14-B039-0D4E5A1AB64E}"/>
    <cellStyle name="Měna 5 2 4" xfId="593" xr:uid="{EBEC5043-AEE1-4FC9-8C47-DE1953D5A6AA}"/>
    <cellStyle name="Měna 5 2 4 2" xfId="1488" xr:uid="{EECF4F95-6D76-45B8-B1B9-2ABF3CDF5974}"/>
    <cellStyle name="Měna 5 2 5" xfId="1041" xr:uid="{99362EFB-4C01-42D0-88AB-0A02FCF747B9}"/>
    <cellStyle name="Měna 5 3" xfId="194" xr:uid="{B8853EB7-F91A-41E2-8E84-17BCB89F7448}"/>
    <cellStyle name="Měna 5 3 2" xfId="444" xr:uid="{C499B837-9C1C-4E35-A25C-AD9D53C31BEE}"/>
    <cellStyle name="Měna 5 3 2 2" xfId="891" xr:uid="{1EEF38B5-984D-4803-876E-E11B35B37487}"/>
    <cellStyle name="Měna 5 3 2 2 2" xfId="1786" xr:uid="{E30EDA95-15A9-4722-B4FC-E5E0CA087C77}"/>
    <cellStyle name="Měna 5 3 2 3" xfId="1339" xr:uid="{BA4FA071-71C4-45F3-843B-EFDE2FB3416C}"/>
    <cellStyle name="Měna 5 3 3" xfId="643" xr:uid="{FF0ACB43-3447-4200-B3B6-D66A637DE245}"/>
    <cellStyle name="Měna 5 3 3 2" xfId="1538" xr:uid="{BABCFB14-10F0-4B33-AEAF-BFDBDF912816}"/>
    <cellStyle name="Měna 5 3 4" xfId="1091" xr:uid="{D25B2DD3-961B-4B79-A065-B62C3895E8DC}"/>
    <cellStyle name="Měna 5 4" xfId="295" xr:uid="{5674DEC5-0F2C-4EFD-8B0F-CAEEBF6B41BB}"/>
    <cellStyle name="Měna 5 4 2" xfId="742" xr:uid="{43CC7230-91A6-4264-9A4F-E6C9FB180E2D}"/>
    <cellStyle name="Měna 5 4 2 2" xfId="1637" xr:uid="{5258ED02-35EC-4E5B-9D7C-E03281492A74}"/>
    <cellStyle name="Měna 5 4 3" xfId="1190" xr:uid="{78CCE0B9-C4BD-4E99-82D7-015DE5BBDBC6}"/>
    <cellStyle name="Měna 5 5" xfId="344" xr:uid="{B0B7256E-30A6-4FD2-BCFC-6274B604E243}"/>
    <cellStyle name="Měna 5 5 2" xfId="791" xr:uid="{E0BBA226-5B64-4F7F-96E0-7E5FC4F8CEF7}"/>
    <cellStyle name="Měna 5 5 2 2" xfId="1686" xr:uid="{0994EDB3-FFD3-47EA-A951-68CB595796DC}"/>
    <cellStyle name="Měna 5 5 3" xfId="1239" xr:uid="{A3A29FAE-FF0D-4CFA-9AC9-6AF630F6A210}"/>
    <cellStyle name="Měna 5 6" xfId="543" xr:uid="{EE31B57A-32A0-419A-B77D-A779D8E4710D}"/>
    <cellStyle name="Měna 5 6 2" xfId="1438" xr:uid="{28B62EB9-617F-4DAE-8A5D-031D897E960F}"/>
    <cellStyle name="Měna 5 7" xfId="991" xr:uid="{4C02B879-C457-42FF-9531-58264CB9EDDB}"/>
    <cellStyle name="Měna 6" xfId="119" xr:uid="{114813F2-19F8-4624-B819-6983643CCF73}"/>
    <cellStyle name="Měna 6 2" xfId="219" xr:uid="{C7F22E45-9991-4AB7-AEB7-B62A054B238A}"/>
    <cellStyle name="Měna 6 2 2" xfId="469" xr:uid="{041573BF-58F2-4113-95A8-BBF75CCC33D3}"/>
    <cellStyle name="Měna 6 2 2 2" xfId="916" xr:uid="{77C1875F-07E9-4C36-BDF5-69A0DC76D221}"/>
    <cellStyle name="Měna 6 2 2 2 2" xfId="1811" xr:uid="{D669BBDB-FD2F-44C6-9DFE-32226F56C3D4}"/>
    <cellStyle name="Měna 6 2 2 3" xfId="1364" xr:uid="{56A5F2E0-47A7-402D-A6F6-5BC151B191A2}"/>
    <cellStyle name="Měna 6 2 3" xfId="668" xr:uid="{C3803DF7-6E69-40CE-B2F1-F00F609D9E01}"/>
    <cellStyle name="Měna 6 2 3 2" xfId="1563" xr:uid="{33D7BC25-F9DF-4FC1-AA68-E8DF13285ED6}"/>
    <cellStyle name="Měna 6 2 4" xfId="1116" xr:uid="{3188D36F-A78A-41E0-8744-16483442C658}"/>
    <cellStyle name="Měna 6 3" xfId="369" xr:uid="{8DE1C4F6-14B5-4679-ADEF-8A06907962DD}"/>
    <cellStyle name="Měna 6 3 2" xfId="816" xr:uid="{76B1F139-B48D-46AC-BEA8-FA2E7CF75972}"/>
    <cellStyle name="Měna 6 3 2 2" xfId="1711" xr:uid="{0053D68D-8CA2-42CE-8BFF-D64DF85A776F}"/>
    <cellStyle name="Měna 6 3 3" xfId="1264" xr:uid="{F30E054A-6FCC-41E5-8D6C-3E1BFAB5E04E}"/>
    <cellStyle name="Měna 6 4" xfId="568" xr:uid="{E7F09995-C34D-461F-8164-7B85F26893C4}"/>
    <cellStyle name="Měna 6 4 2" xfId="1463" xr:uid="{77CB7512-32BD-4B6F-8CD8-ADB78ED4DEDC}"/>
    <cellStyle name="Měna 6 5" xfId="1016" xr:uid="{51A58A91-BD11-45D0-84E6-D0EA79D7BFEE}"/>
    <cellStyle name="Měna 7" xfId="169" xr:uid="{61B42EE6-32EC-4376-BCF5-5E51962E462C}"/>
    <cellStyle name="Měna 7 2" xfId="419" xr:uid="{24A24401-7DA2-42B0-B65F-A59558DB5066}"/>
    <cellStyle name="Měna 7 2 2" xfId="866" xr:uid="{E7398FDA-F766-4453-8BBF-8052184F9617}"/>
    <cellStyle name="Měna 7 2 2 2" xfId="1761" xr:uid="{A07B8110-D2A5-46EB-8ED9-A8F7A3CB56C4}"/>
    <cellStyle name="Měna 7 2 3" xfId="1314" xr:uid="{12175F9B-95AF-4FFC-839E-724FC75983F5}"/>
    <cellStyle name="Měna 7 3" xfId="618" xr:uid="{5332DE52-9420-4AA5-9541-0797AF7AAABA}"/>
    <cellStyle name="Měna 7 3 2" xfId="1513" xr:uid="{465702B8-FC48-4819-9E3E-E4DDBDEBD62A}"/>
    <cellStyle name="Měna 7 4" xfId="1066" xr:uid="{8D96D0E7-4D26-4671-A5A1-E255774D8B27}"/>
    <cellStyle name="Měna 8" xfId="966" xr:uid="{48739D7D-7251-4674-8CAF-F14AC85BF990}"/>
    <cellStyle name="měny 2 2" xfId="60" xr:uid="{012E98B1-74E7-4DB5-B7D3-B37019CCE583}"/>
    <cellStyle name="měny 2 2 2" xfId="91" xr:uid="{50A5E5DB-058E-4D92-9A17-31C0B726762D}"/>
    <cellStyle name="měny 2 2 2 2" xfId="141" xr:uid="{15D741BA-0C36-4257-97BE-8F3BD1DFC0F5}"/>
    <cellStyle name="měny 2 2 2 2 2" xfId="241" xr:uid="{DE8674BF-47F1-4FDD-B7C0-2A5D0C3DD727}"/>
    <cellStyle name="měny 2 2 2 2 2 2" xfId="491" xr:uid="{4B926CBB-2168-44A2-8212-23533BDFE602}"/>
    <cellStyle name="měny 2 2 2 2 2 2 2" xfId="938" xr:uid="{CCE775C1-9698-4A89-8FC7-1F8BC6A4222E}"/>
    <cellStyle name="měny 2 2 2 2 2 2 2 2" xfId="1833" xr:uid="{1A86F0DE-77C5-43EA-82A0-2C58E70315B7}"/>
    <cellStyle name="měny 2 2 2 2 2 2 3" xfId="1386" xr:uid="{0DDC90E2-473C-42C5-9695-3E4164AEDC8E}"/>
    <cellStyle name="měny 2 2 2 2 2 3" xfId="690" xr:uid="{244AC411-DA88-4DB4-8735-7A4C554C53C7}"/>
    <cellStyle name="měny 2 2 2 2 2 3 2" xfId="1585" xr:uid="{1967A112-02C4-454B-B688-B7CE81C98FB1}"/>
    <cellStyle name="měny 2 2 2 2 2 4" xfId="1138" xr:uid="{C4F3AF66-4EEA-40BF-A69A-11A49A76D9A7}"/>
    <cellStyle name="měny 2 2 2 2 3" xfId="391" xr:uid="{BDDE018C-072E-4EF1-93B3-2B10FB8D3EF0}"/>
    <cellStyle name="měny 2 2 2 2 3 2" xfId="838" xr:uid="{B04D944F-AC7B-419A-B51F-239D691AFEF2}"/>
    <cellStyle name="měny 2 2 2 2 3 2 2" xfId="1733" xr:uid="{B4FD8F5C-E5F4-4452-A714-D4DF74BD7E44}"/>
    <cellStyle name="měny 2 2 2 2 3 3" xfId="1286" xr:uid="{BE44EE46-FC51-4943-9B82-D1D7345DB3FB}"/>
    <cellStyle name="měny 2 2 2 2 4" xfId="590" xr:uid="{C3C3C981-6CC9-4EB9-AB09-623C00F92638}"/>
    <cellStyle name="měny 2 2 2 2 4 2" xfId="1485" xr:uid="{1805481D-F64D-47FC-9FEF-30F9E3B06680}"/>
    <cellStyle name="měny 2 2 2 2 5" xfId="1038" xr:uid="{BB649947-2C64-429E-BE5B-76497E0C692A}"/>
    <cellStyle name="měny 2 2 2 3" xfId="191" xr:uid="{144B5CD7-CFBB-4D2C-9E94-D6CE5F2C098B}"/>
    <cellStyle name="měny 2 2 2 3 2" xfId="441" xr:uid="{6D5ED315-C709-44F7-89F7-6C8836214EEF}"/>
    <cellStyle name="měny 2 2 2 3 2 2" xfId="888" xr:uid="{D8F14F78-B2EB-4AA6-B85D-56D83F9150D0}"/>
    <cellStyle name="měny 2 2 2 3 2 2 2" xfId="1783" xr:uid="{812B4EE2-6EF4-479C-9F72-5D0D9AA59A01}"/>
    <cellStyle name="měny 2 2 2 3 2 3" xfId="1336" xr:uid="{8F011C39-2CF3-45FF-B506-7A6DABDD336E}"/>
    <cellStyle name="měny 2 2 2 3 3" xfId="640" xr:uid="{CF5AEA94-D48E-4D2C-A952-44DEEF81C75F}"/>
    <cellStyle name="měny 2 2 2 3 3 2" xfId="1535" xr:uid="{A499D309-ACC6-49B5-B35A-CD195C55A583}"/>
    <cellStyle name="měny 2 2 2 3 4" xfId="1088" xr:uid="{A4A8F0B6-759A-41FA-80A2-5CB979A984EA}"/>
    <cellStyle name="měny 2 2 2 4" xfId="292" xr:uid="{8F6E733C-D0F9-470B-BDB1-4FF96E2C606B}"/>
    <cellStyle name="měny 2 2 2 4 2" xfId="739" xr:uid="{13D79CF5-F682-4330-B6E3-67E5C3E40B6D}"/>
    <cellStyle name="měny 2 2 2 4 2 2" xfId="1634" xr:uid="{890E6183-0E59-4779-BF70-CE1D9615FB34}"/>
    <cellStyle name="měny 2 2 2 4 3" xfId="1187" xr:uid="{4C37DF6D-9F8C-4A6F-A9EB-939BCD2FB9B1}"/>
    <cellStyle name="měny 2 2 2 5" xfId="341" xr:uid="{BFAE8E3E-F049-44C6-9D8D-468C1232E64E}"/>
    <cellStyle name="měny 2 2 2 5 2" xfId="788" xr:uid="{019D4177-5B5B-4E0B-A931-5BC6752AD471}"/>
    <cellStyle name="měny 2 2 2 5 2 2" xfId="1683" xr:uid="{15FCD730-B21B-453A-9B42-3D1A990C7C92}"/>
    <cellStyle name="měny 2 2 2 5 3" xfId="1236" xr:uid="{D045848D-7394-41C9-8758-4C853BCC9B8C}"/>
    <cellStyle name="měny 2 2 2 6" xfId="540" xr:uid="{346A6AA2-6D85-428E-9C62-9468CA4402D0}"/>
    <cellStyle name="měny 2 2 2 6 2" xfId="1435" xr:uid="{8395F430-1261-4192-A9C2-4741F644E2BE}"/>
    <cellStyle name="měny 2 2 2 7" xfId="988" xr:uid="{2CC22989-32FE-4033-A06F-294D2E456C3C}"/>
    <cellStyle name="měny 2 2 3" xfId="116" xr:uid="{FE3D4D6B-D4B6-46E4-AC4A-79F359810854}"/>
    <cellStyle name="měny 2 2 3 2" xfId="216" xr:uid="{0ECB9751-F72C-400D-937B-0D4749036813}"/>
    <cellStyle name="měny 2 2 3 2 2" xfId="466" xr:uid="{739D9F62-752F-44F5-8238-1C0E5136A604}"/>
    <cellStyle name="měny 2 2 3 2 2 2" xfId="913" xr:uid="{458FBA65-8BEF-49D7-BD4D-6A172ED9A6F5}"/>
    <cellStyle name="měny 2 2 3 2 2 2 2" xfId="1808" xr:uid="{C43B96E5-69C6-485A-BC32-815899F96752}"/>
    <cellStyle name="měny 2 2 3 2 2 3" xfId="1361" xr:uid="{6EB88F71-58DE-45B3-A377-B96533D9EF05}"/>
    <cellStyle name="měny 2 2 3 2 3" xfId="665" xr:uid="{303C231E-22D2-4015-AA14-C42EC59A6CD6}"/>
    <cellStyle name="měny 2 2 3 2 3 2" xfId="1560" xr:uid="{43B501B4-884E-4531-B214-B70CDB57FFE0}"/>
    <cellStyle name="měny 2 2 3 2 4" xfId="1113" xr:uid="{D699758F-BC09-494C-8B5C-5AC14D835821}"/>
    <cellStyle name="měny 2 2 3 3" xfId="366" xr:uid="{B2A5F17F-B596-4398-A9BD-54EA3E8B2321}"/>
    <cellStyle name="měny 2 2 3 3 2" xfId="813" xr:uid="{566B8E4C-9505-49A3-995F-0308165B01EA}"/>
    <cellStyle name="měny 2 2 3 3 2 2" xfId="1708" xr:uid="{1A7CF948-C692-4D85-87EE-EDEDE75CA168}"/>
    <cellStyle name="měny 2 2 3 3 3" xfId="1261" xr:uid="{8AA9D286-E4CC-40B7-B998-83781962DB94}"/>
    <cellStyle name="měny 2 2 3 4" xfId="565" xr:uid="{57F04B29-848D-42BF-9AC7-974E0ED99541}"/>
    <cellStyle name="měny 2 2 3 4 2" xfId="1460" xr:uid="{E5C53B1D-54A5-4066-9DE3-1D5EECCF9493}"/>
    <cellStyle name="měny 2 2 3 5" xfId="1013" xr:uid="{EE53CD8B-56A0-496F-B4B7-8BF9250405A6}"/>
    <cellStyle name="měny 2 2 4" xfId="166" xr:uid="{7DEF4BDC-342D-42FC-85A3-EE8C3DF5A4A1}"/>
    <cellStyle name="měny 2 2 4 2" xfId="416" xr:uid="{668D0B68-16CD-4C93-AA64-BC93A6C67E3D}"/>
    <cellStyle name="měny 2 2 4 2 2" xfId="863" xr:uid="{19A38119-BF45-4B72-B31C-A5C185FAE5D2}"/>
    <cellStyle name="měny 2 2 4 2 2 2" xfId="1758" xr:uid="{0D6D9A3D-DE50-4FC3-8EC6-828CE074D2D5}"/>
    <cellStyle name="měny 2 2 4 2 3" xfId="1311" xr:uid="{D37E8EBA-9AF6-4F20-BE87-F1CCD21AC691}"/>
    <cellStyle name="měny 2 2 4 3" xfId="615" xr:uid="{B9443CF5-6521-48A2-BBB1-204E4FD56347}"/>
    <cellStyle name="měny 2 2 4 3 2" xfId="1510" xr:uid="{2B93B541-FE27-42E6-807A-33E9E6C411ED}"/>
    <cellStyle name="měny 2 2 4 4" xfId="1063" xr:uid="{41461339-201F-4FBF-B980-3B7687A52B0B}"/>
    <cellStyle name="měny 2 2 5" xfId="266" xr:uid="{AD5006DA-0559-422E-847B-9245B44CC14D}"/>
    <cellStyle name="měny 2 2 5 2" xfId="715" xr:uid="{AA26E435-31C6-4DC8-8D96-F90454E90AAA}"/>
    <cellStyle name="měny 2 2 5 2 2" xfId="1610" xr:uid="{8A3DF63C-B4E0-4131-BAD5-87C10C93D66C}"/>
    <cellStyle name="měny 2 2 5 3" xfId="1163" xr:uid="{C32B66BB-4A49-43A9-A22B-CF18E5E1D343}"/>
    <cellStyle name="měny 2 2 6" xfId="317" xr:uid="{C80673C2-8382-493C-A772-654253A6B433}"/>
    <cellStyle name="měny 2 2 6 2" xfId="764" xr:uid="{CD388A79-A676-443F-A404-BE8BB17E0E58}"/>
    <cellStyle name="měny 2 2 6 2 2" xfId="1659" xr:uid="{AACEAF84-F1A9-48E0-B9F0-7398DCB62985}"/>
    <cellStyle name="měny 2 2 6 3" xfId="1212" xr:uid="{A2D3ADDC-C95D-441C-930E-3F8440A2F32D}"/>
    <cellStyle name="měny 2 2 7" xfId="516" xr:uid="{EFF5A00E-B059-4071-87CB-AC7FE92C0C1D}"/>
    <cellStyle name="měny 2 2 7 2" xfId="1411" xr:uid="{B8113305-FAF8-49EA-BE98-64C60F0060EE}"/>
    <cellStyle name="měny 2 2 8" xfId="963" xr:uid="{3E9E538A-E806-4A1E-AD33-6CC2AC78A2F1}"/>
    <cellStyle name="Normal_J35_Galerie HARFA_VV" xfId="12" xr:uid="{FDE0451D-D396-4C6D-8189-501A3BC3DB7F}"/>
    <cellStyle name="Normální" xfId="0" builtinId="0" customBuiltin="1"/>
    <cellStyle name="Normální 10" xfId="68" xr:uid="{D0553FFD-1F6B-4F7B-823A-9AA83F431436}"/>
    <cellStyle name="Normální 10 2" xfId="270" xr:uid="{1F331533-4BBA-48F0-88FB-487286F6B7A7}"/>
    <cellStyle name="Normální 11" xfId="72" xr:uid="{219D7387-3451-4793-AEAC-A8F370E5E94D}"/>
    <cellStyle name="Normální 11 2" xfId="97" xr:uid="{C2E50EBA-D4ED-48C0-8DD7-E3E5594DFA01}"/>
    <cellStyle name="Normální 11 2 2" xfId="147" xr:uid="{365933B4-9E3D-4D8D-9822-A56A69637AC0}"/>
    <cellStyle name="Normální 11 2 2 2" xfId="247" xr:uid="{755AF079-F726-419A-99B2-9ACE03BE0FF5}"/>
    <cellStyle name="Normální 11 2 2 2 2" xfId="497" xr:uid="{DF354D45-D2A2-4602-94AC-28CEA4294834}"/>
    <cellStyle name="Normální 11 2 2 2 2 2" xfId="944" xr:uid="{22FF6C2E-1C04-4644-9055-3A06A325C2E1}"/>
    <cellStyle name="Normální 11 2 2 2 2 2 2" xfId="1839" xr:uid="{10F79773-CC2C-4907-A38D-D408085387A7}"/>
    <cellStyle name="Normální 11 2 2 2 2 3" xfId="1392" xr:uid="{673217FE-F7A9-42DE-8F4B-657F26F919B4}"/>
    <cellStyle name="Normální 11 2 2 2 3" xfId="696" xr:uid="{A8496B68-93F2-45FF-B203-02BEEF778D5F}"/>
    <cellStyle name="Normální 11 2 2 2 3 2" xfId="1591" xr:uid="{2EF4B752-A49C-4CB2-9ECA-01ACA703D6CD}"/>
    <cellStyle name="Normální 11 2 2 2 4" xfId="1144" xr:uid="{A68A29E3-2611-4972-8D91-68F8EED38D3A}"/>
    <cellStyle name="Normální 11 2 2 3" xfId="397" xr:uid="{AF893FF3-FB8F-4345-9AD9-FD7EF43C95EE}"/>
    <cellStyle name="Normální 11 2 2 3 2" xfId="844" xr:uid="{70CA84E0-9801-49D9-A1C0-33125931BC9B}"/>
    <cellStyle name="Normální 11 2 2 3 2 2" xfId="1739" xr:uid="{FA80BE9C-1E9F-4EFA-9C45-474AB4A66E05}"/>
    <cellStyle name="Normální 11 2 2 3 3" xfId="1292" xr:uid="{E8DE83CA-A6C5-4AA4-835F-80718FCC38AD}"/>
    <cellStyle name="Normální 11 2 2 4" xfId="596" xr:uid="{80D7A0EB-4A52-4079-B633-935831D751D0}"/>
    <cellStyle name="Normální 11 2 2 4 2" xfId="1491" xr:uid="{AF9A1476-78AD-4A4D-91A3-327D0DD08B56}"/>
    <cellStyle name="Normální 11 2 2 5" xfId="1044" xr:uid="{DDB22F3C-D7CF-45DE-B02A-95917B2450B1}"/>
    <cellStyle name="Normální 11 2 3" xfId="197" xr:uid="{44B337F3-2091-403B-A301-2EB5EA5D28A4}"/>
    <cellStyle name="Normální 11 2 3 2" xfId="447" xr:uid="{E261AF35-B881-4FE6-A6D4-2315B12B095E}"/>
    <cellStyle name="Normální 11 2 3 2 2" xfId="894" xr:uid="{CD7DC88C-E5DD-4CE0-9A4A-CC6028C7F962}"/>
    <cellStyle name="Normální 11 2 3 2 2 2" xfId="1789" xr:uid="{C09A7494-4AF0-418E-87D8-DA1B133A0389}"/>
    <cellStyle name="Normální 11 2 3 2 3" xfId="1342" xr:uid="{79AD9EE6-6368-47AC-B35C-16DA09F4CED3}"/>
    <cellStyle name="Normální 11 2 3 3" xfId="646" xr:uid="{69423F09-58FD-41F6-A289-95A65575CAAF}"/>
    <cellStyle name="Normální 11 2 3 3 2" xfId="1541" xr:uid="{4CA0EAC6-5DB9-418D-A2E2-E91CE670A053}"/>
    <cellStyle name="Normální 11 2 3 4" xfId="1094" xr:uid="{0C36DACC-AED9-41AB-BFAC-AC8A9CA3DBA2}"/>
    <cellStyle name="Normální 11 2 4" xfId="298" xr:uid="{22E35186-CB90-49E3-9B72-A60F4B18D376}"/>
    <cellStyle name="Normální 11 2 4 2" xfId="745" xr:uid="{3A4EC3AB-6421-4192-9407-A81ECF8A2697}"/>
    <cellStyle name="Normální 11 2 4 2 2" xfId="1640" xr:uid="{4B0C871C-5CA9-4B95-8D30-195D6975EF72}"/>
    <cellStyle name="Normální 11 2 4 3" xfId="1193" xr:uid="{BA3A9847-A1EB-478D-9B3A-C458DB243A61}"/>
    <cellStyle name="Normální 11 2 5" xfId="347" xr:uid="{C23EE9AF-FC0E-4713-8DA0-AE0C4A7F87CE}"/>
    <cellStyle name="Normální 11 2 5 2" xfId="794" xr:uid="{963F43C6-8F1B-4C90-80A9-C404A3C0F29E}"/>
    <cellStyle name="Normální 11 2 5 2 2" xfId="1689" xr:uid="{3A1F6D4E-5352-4BC1-ADF6-2F5F55DAF349}"/>
    <cellStyle name="Normální 11 2 5 3" xfId="1242" xr:uid="{BD03453C-466B-41EB-B649-C453A6CB85D6}"/>
    <cellStyle name="Normální 11 2 6" xfId="546" xr:uid="{72CB1387-E469-4033-BED2-5CF3A2509321}"/>
    <cellStyle name="Normální 11 2 6 2" xfId="1441" xr:uid="{D9345023-C1F1-404E-8BCD-F67C384BE9AF}"/>
    <cellStyle name="Normální 11 2 7" xfId="994" xr:uid="{14C54264-AD98-4C55-A806-FBD5486AC31F}"/>
    <cellStyle name="Normální 11 3" xfId="122" xr:uid="{013E28B4-F219-4026-94EF-7FFD60D77E6E}"/>
    <cellStyle name="Normální 11 3 2" xfId="222" xr:uid="{FE362C53-7FE8-4FC8-A6B6-0CDE52A99FB9}"/>
    <cellStyle name="Normální 11 3 2 2" xfId="472" xr:uid="{CB91DB1B-55C5-4AF0-8D86-E31479959499}"/>
    <cellStyle name="Normální 11 3 2 2 2" xfId="919" xr:uid="{745A90B9-3BF4-4767-9AB7-8948EF66F3ED}"/>
    <cellStyle name="Normální 11 3 2 2 2 2" xfId="1814" xr:uid="{A96C53F6-449A-481D-B7CF-DC26B63E185C}"/>
    <cellStyle name="Normální 11 3 2 2 3" xfId="1367" xr:uid="{B295FED5-07EE-4778-BEA8-34367CEBCBBE}"/>
    <cellStyle name="Normální 11 3 2 3" xfId="671" xr:uid="{9E49DDF8-3936-40F8-841F-99DF84B560EC}"/>
    <cellStyle name="Normální 11 3 2 3 2" xfId="1566" xr:uid="{598B7856-3AE1-45F4-8591-FC5CE8C03CF5}"/>
    <cellStyle name="Normální 11 3 2 4" xfId="1119" xr:uid="{B85E57B6-4506-48C6-B0B4-F34828BA8E53}"/>
    <cellStyle name="Normální 11 3 3" xfId="372" xr:uid="{38FA00F4-7025-45E7-AC1F-8C7C9FC890F8}"/>
    <cellStyle name="Normální 11 3 3 2" xfId="819" xr:uid="{E43005C0-B013-40AB-B470-9C30D863C476}"/>
    <cellStyle name="Normální 11 3 3 2 2" xfId="1714" xr:uid="{904A8B4E-755E-4A86-B72D-6A8C87FDACBB}"/>
    <cellStyle name="Normální 11 3 3 3" xfId="1267" xr:uid="{B10FB1C5-713F-45D2-ACE4-E9A50C70B131}"/>
    <cellStyle name="Normální 11 3 4" xfId="571" xr:uid="{F186FEBB-EEDC-46E1-97F0-4FB79A9ED5F8}"/>
    <cellStyle name="Normální 11 3 4 2" xfId="1466" xr:uid="{03653C90-54E6-49F9-A681-CE22143E8CAF}"/>
    <cellStyle name="Normální 11 3 5" xfId="1019" xr:uid="{AB0A3E7A-8FB9-4A6D-8F33-29ACBC1B63F9}"/>
    <cellStyle name="Normální 11 4" xfId="172" xr:uid="{9745D972-0303-43D7-AEE9-8D2600A4E189}"/>
    <cellStyle name="Normální 11 4 2" xfId="422" xr:uid="{97A16507-122E-44B6-BC82-D7CD1FB76F96}"/>
    <cellStyle name="Normální 11 4 2 2" xfId="869" xr:uid="{C8DC0BD0-8D79-4123-9142-9042EF94E2EC}"/>
    <cellStyle name="Normální 11 4 2 2 2" xfId="1764" xr:uid="{C31F2B71-9A7D-422E-AAD8-B3738CEC457E}"/>
    <cellStyle name="Normální 11 4 2 3" xfId="1317" xr:uid="{36D33C04-9985-4CC5-A109-45954B7AA852}"/>
    <cellStyle name="Normální 11 4 3" xfId="621" xr:uid="{768547AC-54F2-43CF-9B92-448D1F86BF34}"/>
    <cellStyle name="Normální 11 4 3 2" xfId="1516" xr:uid="{7C285854-7079-479A-B485-AED1C9816B99}"/>
    <cellStyle name="Normální 11 4 4" xfId="1069" xr:uid="{F6E9F9ED-81E2-46D7-AB51-F22D77051EC4}"/>
    <cellStyle name="Normální 11 5" xfId="273" xr:uid="{A2E97A7E-46D4-444E-8332-2359560FA80B}"/>
    <cellStyle name="Normální 11 5 2" xfId="720" xr:uid="{BCD73DA9-CB02-4BB2-8CE4-D10E2A075C0A}"/>
    <cellStyle name="Normální 11 5 2 2" xfId="1615" xr:uid="{B8E25FEB-4E8F-44D8-9FA1-16D3BBA78A27}"/>
    <cellStyle name="Normální 11 5 3" xfId="1168" xr:uid="{3F245475-5B09-49AF-A7FA-BC500CFACCFC}"/>
    <cellStyle name="Normální 11 6" xfId="322" xr:uid="{6AADB9AF-2A47-4808-87DA-DDCFEF2A061C}"/>
    <cellStyle name="Normální 11 6 2" xfId="769" xr:uid="{54752517-4B9E-4991-9030-223D361DAE99}"/>
    <cellStyle name="Normální 11 6 2 2" xfId="1664" xr:uid="{F4D73925-BA0C-4C1C-A152-08F88986D68F}"/>
    <cellStyle name="Normální 11 6 3" xfId="1217" xr:uid="{C5E83413-E58F-4313-8A8E-A5CA5C3A8970}"/>
    <cellStyle name="Normální 11 7" xfId="521" xr:uid="{4F72A3EC-2170-43A5-BC96-1421FF77D1F4}"/>
    <cellStyle name="Normální 11 7 2" xfId="1416" xr:uid="{4231AD49-75AF-4C6E-AA9E-FA30F5CEEBD1}"/>
    <cellStyle name="Normální 11 8" xfId="969" xr:uid="{F69B8040-32CD-4B95-B793-B7C359629A87}"/>
    <cellStyle name="Normální 12" xfId="14" xr:uid="{9FD091D8-89EA-4BAA-909D-1904910E6203}"/>
    <cellStyle name="Normální 12 2" xfId="25" xr:uid="{9FD091D8-89EA-4BAA-909D-1904910E6203}"/>
    <cellStyle name="Normální 12 2 2" xfId="50" xr:uid="{B2E836D6-4176-4C4D-BC58-1EE6EEA1A4EA}"/>
    <cellStyle name="Normální 2" xfId="3" xr:uid="{F2408ADF-81D8-4775-903B-9F10700FAC74}"/>
    <cellStyle name="normální 2 2" xfId="17" xr:uid="{FA894A24-BC69-4416-9B47-536DAA482FEA}"/>
    <cellStyle name="normální 2 2 2" xfId="22" xr:uid="{FA894A24-BC69-4416-9B47-536DAA482FEA}"/>
    <cellStyle name="normální 2 2 2 2" xfId="48" xr:uid="{D7454BA3-7B04-49A8-89BA-B44A429B3B8F}"/>
    <cellStyle name="Normální 2 3" xfId="15" xr:uid="{1D061237-5EE3-4B7E-8598-8C7D4BC8F7FC}"/>
    <cellStyle name="Normální 2 3 2" xfId="36" xr:uid="{1D061237-5EE3-4B7E-8598-8C7D4BC8F7FC}"/>
    <cellStyle name="Normální 2 4" xfId="20" xr:uid="{1D061237-5EE3-4B7E-8598-8C7D4BC8F7FC}"/>
    <cellStyle name="Normální 2 4 2" xfId="38" xr:uid="{1D061237-5EE3-4B7E-8598-8C7D4BC8F7FC}"/>
    <cellStyle name="Normální 2 5" xfId="21" xr:uid="{1D061237-5EE3-4B7E-8598-8C7D4BC8F7FC}"/>
    <cellStyle name="Normální 2 5 2" xfId="41" xr:uid="{1D061237-5EE3-4B7E-8598-8C7D4BC8F7FC}"/>
    <cellStyle name="Normální 2 6" xfId="23" xr:uid="{1D061237-5EE3-4B7E-8598-8C7D4BC8F7FC}"/>
    <cellStyle name="Normální 2 6 2" xfId="37" xr:uid="{1D061237-5EE3-4B7E-8598-8C7D4BC8F7FC}"/>
    <cellStyle name="Normální 2 7" xfId="63" xr:uid="{84AB9430-BA9E-453B-BC56-C09EAA3FF8F5}"/>
    <cellStyle name="Normální 3" xfId="5" xr:uid="{C4F7194B-8C22-4C2D-996B-03B9E9136142}"/>
    <cellStyle name="Normální 3 2" xfId="18" xr:uid="{7AA2CE24-A005-4B68-B857-4202AD640656}"/>
    <cellStyle name="Normální 3 3" xfId="32" xr:uid="{C4F7194B-8C22-4C2D-996B-03B9E9136142}"/>
    <cellStyle name="Normální 3 3 2" xfId="54" xr:uid="{DF72DE8A-26FC-4FCE-8727-B0A66B8A4A79}"/>
    <cellStyle name="Normální 4" xfId="7" xr:uid="{AEA04F81-A1D4-4300-837C-89B8AF317ACD}"/>
    <cellStyle name="Normální 4 2" xfId="34" xr:uid="{AEA04F81-A1D4-4300-837C-89B8AF317ACD}"/>
    <cellStyle name="Normální 4 2 2 2" xfId="65" xr:uid="{B1A9459E-2BF0-4BE4-8B1A-A16DC2FBF2A5}"/>
    <cellStyle name="Normální 5" xfId="9" xr:uid="{5ED332DB-8286-4952-A96B-A313CD0FFF23}"/>
    <cellStyle name="Normální 5 2" xfId="44" xr:uid="{3AE84A00-E521-4B9B-A965-88574F1C40E1}"/>
    <cellStyle name="Normální 6" xfId="42" xr:uid="{B0BEB39C-210E-407F-BDB3-1EB1143F34E5}"/>
    <cellStyle name="Normální 6 2" xfId="45" xr:uid="{C57755A1-68DF-4A69-B53C-07A2771CC1E2}"/>
    <cellStyle name="Normální 6 3" xfId="57" xr:uid="{1C90441B-5ACA-4993-90A0-1C9A6ABC3222}"/>
    <cellStyle name="Normální 7" xfId="59" xr:uid="{7DEE933B-C7B2-4A1B-9AD0-96D2D2D7EB27}"/>
    <cellStyle name="Normální 8" xfId="61" xr:uid="{C95F1364-2BE0-4F1D-96AD-CD595168EF1A}"/>
    <cellStyle name="normální 80" xfId="11" xr:uid="{19942186-3C28-4F0C-8BA4-80F888E8162F}"/>
    <cellStyle name="Normální 9" xfId="66" xr:uid="{89E00E01-A775-4F52-A7A1-76C61AEE00EA}"/>
    <cellStyle name="Normální 9 2" xfId="268" xr:uid="{88C7341D-023E-49FC-896E-8F3C76288A93}"/>
    <cellStyle name="Procenta" xfId="2" builtinId="5"/>
  </cellStyles>
  <dxfs count="0"/>
  <tableStyles count="0"/>
  <colors>
    <mruColors>
      <color rgb="FFF0DB9E"/>
      <color rgb="FF3399FF"/>
      <color rgb="FFFFFFCC"/>
      <color rgb="FF50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032-ROP_Radlick&#225;%20Office%20Park/04-Data%20Transfer/OUT/RED%20GROUP_client/180522_Upravy%20dokumentace/Revize%20VV/Kotelna%20Park%20II.etapa%20VV%20ocen&#283;n&#253;_C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ILDpowerS\Templates\Rozpocty\Sablo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EXCEL\ROZP98\Rokyt\Roky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rius\company\_Akce\3130_Jedli&#269;k&#367;v%20&#250;stav\V&#253;stupy_2\RO_Dostavba%20Jedli&#269;kova%20&#250;stavu%20a%20&#353;kol%20-%20II.etap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_Akce/3130_Jedli&#269;k&#367;v%20&#250;stav/V&#253;stupy_2/RO_Dostavba%20Jedli&#269;kova%20&#250;stavu%20a%20&#353;kol%20-%20II.etap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AKTURA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SE_Lanskroun_KASTT\SCH_EL_Lanskroun_roz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CPS%20HK_KASTT\CPS%20HK_rozp&#269;e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nap/AppData/Local/Microsoft/Windows/Temporary%20Internet%20Files/Content.Outlook/PXTK1PVH/I34_Rekonstrukcee%20VO_R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TOM\Magic%20Hill\Do%20EC\Rozpo&#269;ty\SO%2001,%20SO%2002%20D.1.4.1-%20D.1.4.4.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4%20Ilbau\10.12.99%20Ilbau.%20Summary%20bill%20of%20quant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5\220205Data\Thalia_roz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a\server%20disk\ROZPOCTY\99_06\9906033a_VIN-DIV_VESELI-PRACOVN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Exeldok\Rozp2001\Bouzov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Program%20Files\Microsoft%20Office\Exeldok\ROZP99\netvor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kumenty\Dokumenty\Exeldok\Rozp2003\HotelWindSM_KASTT\marek\Dokumenty\Notebook\Dokumenty\Exeldok\Rozp2002\&#352;koda\roz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WINDOWS\TEMP\253energieMaR_PCR-Praha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WINDOWS\TEMP\&#269;.%2041%20Zelen&#253;%20ostrov%20roz.%20rozpo&#269;tu%20na%20DC%20(bez%20list.%20v&#253;stupu)\Rozpo&#269;et%20stavby%20dle%20DC\sa_SO51_4_vv_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XTY\Texty03\Nabidky\192Mikos_Vidoule_ne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Documents%20and%20Settings\Kossi\Dokumenty\pr&#225;ce\zak&#225;zky\konstrukce\Jitka-konstrukc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Documents%20and%20Settings\p14\Local%20Settings\Temp\&#352;t&#283;p&#225;n\cenov&#253;%20dokument%20vzor%20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nzipped\Rozpo&#269;et%20-%20OKsystem%202\Se&#353;it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livi\EXCEL\Projekt\Saldova\N&#225;vrh%20struktury-z%2008082006-coude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6\jola\WINDOWS\TEMP\Oferta%20-%20za&#322;.%20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Texty\Texty04\Nabidky\330energieMAR_Prelou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Akce\3130_Jedli&#269;k&#367;v%20&#250;stav\V&#253;stupy_2\RO_Dostavba%20Jedli&#269;kova%20&#250;stavu%20a%20&#353;kol%20-%20II.etap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la\c\My%20Documents\jola\OFERENCI\11%20Exbud\13.12.99.%20Exbud.%20List%20of%20unit%20rates.%20nr%209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&#269;.%2041%20Zelen&#253;%20ostrov%20roz.%20rozpo&#269;tu%20na%20DC%20(bez%20list.%20v&#253;stupu)/Rozpo&#269;et%20stavby%20dle%20DC/sa_SO51_4_vv_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NABIDKY\Administrativn&#237;%20budova%20-%20Oksystem\Rozpo&#269;et%20-%20OKsystem%202.kolo%20%20up&#345;esn&#283;n&#23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eauty\Documents%20and%20Settings\VaskoM\Local%20Settings\Temporary%20Internet%20Files\OLK3\276_specialisti\01-06%20-%20PROSEK%20POINT_V&#221;B&#282;R%20dod._v&#253;kaz-v&#253;m&#283;r_elekt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ATA\Rozpo&#269;et%20-%20vzo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iremn&#237;%20archiv%20a.s\Zak&#225;zky%20rok%202001\22%20Zelen&#253;%20ostrov%20SP\Kniha%20spec.+%20v&#253;kaz%20v&#253;m&#283;r%20TENDR%203.%20stavba\SO%2011.1%20A%20Architektonicko-stavebn&#237;%20autorizovan&#253;%20Helik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legro-srv\Allegro\MONT&#193;&#381;E\Cn\901-1000\993\pracovn&#237;\VV%20SD_Objekt%20Nov&#233;%20Spilky%20060504%20pracovn&#2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všeobecné_podmínky"/>
      <sheetName val="Rekapitulace"/>
      <sheetName val="Položkový rozpočet"/>
      <sheetName val="Legenda odkazů"/>
      <sheetName val="SO-100_GSM"/>
      <sheetName val="PS-510_TRAF"/>
      <sheetName val="SO100_UTCL"/>
      <sheetName val="SO100_VZT"/>
      <sheetName val="SO100_ZTI-P"/>
      <sheetName val="SO100_ZTI-SD"/>
      <sheetName val="SO100_ZTI-V"/>
      <sheetName val="SO100.1_VZT N1"/>
      <sheetName val="SO100.1_ZTI-N1"/>
      <sheetName val="SO100.1_VZT N2"/>
      <sheetName val="SO100.1_ZTI-N2"/>
      <sheetName val="SO100.1_VZT N4"/>
      <sheetName val="SO100.1_ZTI-N4"/>
      <sheetName val="SO100_VZT G"/>
      <sheetName val="SO100_GASTRO"/>
      <sheetName val="IO 165 SAD"/>
      <sheetName val="IO 166 AZS"/>
      <sheetName val="IO 170 KOM"/>
      <sheetName val="SO 100 KOM DZ"/>
      <sheetName val="IO 200"/>
      <sheetName val="IO 205_210_215_220_SO-120 zti"/>
      <sheetName val="IO 300"/>
      <sheetName val="IO 310"/>
      <sheetName val="IO 4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  <sheetName val="položky"/>
      <sheetName val="stavební část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  <sheetName val="DATA"/>
      <sheetName val="KOTELNA"/>
      <sheetName val="RKOTELNA"/>
      <sheetName val="KOT"/>
      <sheetName val="RKOT "/>
      <sheetName val="RKOT  (2)"/>
      <sheetName val="103"/>
      <sheetName val="R103"/>
      <sheetName val="obj. (2)"/>
      <sheetName val="obj. (3)"/>
      <sheetName val="stavební část"/>
      <sheetName val="ZS, VR"/>
      <sheetName val="Budova"/>
      <sheetName val="Venky"/>
      <sheetName val="položkový rozpočet"/>
    </sheetNames>
    <sheetDataSet>
      <sheetData sheetId="0" refreshError="1"/>
      <sheetData sheetId="1" refreshError="1">
        <row r="5">
          <cell r="A5" t="str">
            <v>KÓD</v>
          </cell>
          <cell r="B5" t="str">
            <v>TECHNICKÁ SPECIFIKACE</v>
          </cell>
          <cell r="D5" t="str">
            <v xml:space="preserve">DOD. </v>
          </cell>
          <cell r="E5" t="str">
            <v>MONT.</v>
          </cell>
        </row>
        <row r="6">
          <cell r="B6" t="str">
            <v>popis</v>
          </cell>
          <cell r="C6" t="str">
            <v>dodavatel</v>
          </cell>
          <cell r="D6" t="str">
            <v>jed.cena</v>
          </cell>
          <cell r="E6" t="str">
            <v>jed.cena</v>
          </cell>
        </row>
        <row r="7">
          <cell r="B7" t="str">
            <v>Měřící a regulační obvody</v>
          </cell>
        </row>
        <row r="8">
          <cell r="A8" t="str">
            <v>TG2</v>
          </cell>
          <cell r="B8" t="str">
            <v>Rokytnice</v>
          </cell>
          <cell r="C8" t="str">
            <v>SENSIT
Rožnov p. R.</v>
          </cell>
          <cell r="D8">
            <v>400</v>
          </cell>
          <cell r="E8">
            <v>19</v>
          </cell>
        </row>
        <row r="9">
          <cell r="A9" t="str">
            <v>SQ6bez</v>
          </cell>
          <cell r="B9" t="str">
            <v>Koncový spínač XCK - A118</v>
          </cell>
          <cell r="C9" t="str">
            <v>strojní
dodávka</v>
          </cell>
          <cell r="D9">
            <v>0</v>
          </cell>
          <cell r="E9">
            <v>0</v>
          </cell>
        </row>
        <row r="10">
          <cell r="A10" t="str">
            <v>SQ6</v>
          </cell>
          <cell r="B10" t="str">
            <v>Koncový spínač XCK - A118</v>
          </cell>
          <cell r="C10" t="str">
            <v>strojní
dodávka</v>
          </cell>
          <cell r="D10">
            <v>0</v>
          </cell>
          <cell r="E10">
            <v>70</v>
          </cell>
        </row>
        <row r="11">
          <cell r="A11" t="str">
            <v>M100</v>
          </cell>
          <cell r="B11" t="str">
            <v xml:space="preserve">Podávací dopravník  </v>
          </cell>
          <cell r="C11" t="str">
            <v>strojní
dodávka</v>
          </cell>
          <cell r="D11">
            <v>0</v>
          </cell>
          <cell r="E11">
            <v>80</v>
          </cell>
        </row>
        <row r="12">
          <cell r="A12" t="str">
            <v>M101</v>
          </cell>
          <cell r="B12" t="str">
            <v xml:space="preserve">Plnící dopravník  </v>
          </cell>
          <cell r="C12" t="str">
            <v>strojní
dodávka</v>
          </cell>
          <cell r="D12">
            <v>0</v>
          </cell>
          <cell r="E12">
            <v>80</v>
          </cell>
        </row>
        <row r="13">
          <cell r="A13" t="str">
            <v>Zt1</v>
          </cell>
          <cell r="B13" t="str">
            <v xml:space="preserve">Zapalovací tyč  </v>
          </cell>
          <cell r="C13" t="str">
            <v>strojní
dodávka</v>
          </cell>
          <cell r="D13">
            <v>0</v>
          </cell>
          <cell r="E13">
            <v>0</v>
          </cell>
        </row>
        <row r="14">
          <cell r="A14" t="str">
            <v>M105</v>
          </cell>
          <cell r="B14" t="str">
            <v>Primární ventilátor</v>
          </cell>
          <cell r="C14" t="str">
            <v>strojní
dodávka</v>
          </cell>
          <cell r="D14">
            <v>0</v>
          </cell>
          <cell r="E14">
            <v>80</v>
          </cell>
        </row>
        <row r="15">
          <cell r="A15" t="str">
            <v>M106</v>
          </cell>
          <cell r="B15" t="str">
            <v>Sekundární ventilátor</v>
          </cell>
          <cell r="C15" t="str">
            <v>strojní
dodávka</v>
          </cell>
          <cell r="D15">
            <v>0</v>
          </cell>
          <cell r="E15">
            <v>80</v>
          </cell>
        </row>
        <row r="16">
          <cell r="A16" t="str">
            <v>M110</v>
          </cell>
          <cell r="B16" t="str">
            <v>Spalinový ventilátor</v>
          </cell>
          <cell r="C16" t="str">
            <v>strojní
dodávka</v>
          </cell>
          <cell r="D16">
            <v>0</v>
          </cell>
          <cell r="E16">
            <v>80</v>
          </cell>
        </row>
        <row r="17">
          <cell r="A17" t="str">
            <v>B110</v>
          </cell>
          <cell r="B17" t="str">
            <v>Pákový pohon BELIMO</v>
          </cell>
          <cell r="C17" t="str">
            <v>strojní
dodávka</v>
          </cell>
          <cell r="D17">
            <v>0</v>
          </cell>
          <cell r="E17">
            <v>60</v>
          </cell>
        </row>
        <row r="18">
          <cell r="A18" t="str">
            <v>M102</v>
          </cell>
          <cell r="B18" t="str">
            <v xml:space="preserve">Rošt kotle </v>
          </cell>
          <cell r="C18" t="str">
            <v>strojní
dodávka</v>
          </cell>
          <cell r="D18">
            <v>0</v>
          </cell>
          <cell r="E18">
            <v>0</v>
          </cell>
        </row>
        <row r="19">
          <cell r="A19" t="str">
            <v>M109</v>
          </cell>
          <cell r="B19" t="str">
            <v>Popelový dopravník</v>
          </cell>
          <cell r="C19" t="str">
            <v>strojní
dodávka</v>
          </cell>
          <cell r="D19">
            <v>0</v>
          </cell>
          <cell r="E19">
            <v>80</v>
          </cell>
        </row>
        <row r="20">
          <cell r="A20" t="str">
            <v>M104</v>
          </cell>
          <cell r="B20" t="str">
            <v>Popelový vynašeč</v>
          </cell>
          <cell r="C20" t="str">
            <v>strojní
dodávka</v>
          </cell>
          <cell r="D20">
            <v>0</v>
          </cell>
          <cell r="E20">
            <v>0</v>
          </cell>
        </row>
        <row r="21">
          <cell r="A21" t="str">
            <v>M103</v>
          </cell>
          <cell r="B21" t="str">
            <v>Drtič popele</v>
          </cell>
          <cell r="C21" t="str">
            <v>strojní
dodávka</v>
          </cell>
          <cell r="D21">
            <v>0</v>
          </cell>
          <cell r="E21">
            <v>0</v>
          </cell>
        </row>
        <row r="22">
          <cell r="A22" t="str">
            <v>BP100</v>
          </cell>
          <cell r="B22" t="str">
            <v xml:space="preserve">Podtlakový snímač HUBA Controls
výstup 4 - 20 mA </v>
          </cell>
          <cell r="C22" t="str">
            <v>strojní
dodávka</v>
          </cell>
          <cell r="D22">
            <v>0</v>
          </cell>
          <cell r="E22">
            <v>0</v>
          </cell>
        </row>
        <row r="23">
          <cell r="A23" t="str">
            <v>BQ102</v>
          </cell>
          <cell r="B23" t="str">
            <v>Lambda sonda</v>
          </cell>
          <cell r="C23" t="str">
            <v>strojní
dodávka</v>
          </cell>
          <cell r="D23">
            <v>0</v>
          </cell>
          <cell r="E23">
            <v>0</v>
          </cell>
        </row>
        <row r="24">
          <cell r="A24" t="str">
            <v>termostat</v>
          </cell>
          <cell r="B24" t="str">
            <v xml:space="preserve">Termostat </v>
          </cell>
          <cell r="C24" t="str">
            <v>strojní
dodávka</v>
          </cell>
          <cell r="D24">
            <v>0</v>
          </cell>
          <cell r="E24">
            <v>0</v>
          </cell>
        </row>
        <row r="25">
          <cell r="A25" t="str">
            <v>SQ116</v>
          </cell>
          <cell r="B25" t="str">
            <v>Infrazávora</v>
          </cell>
          <cell r="C25" t="str">
            <v>strojní
dodávka</v>
          </cell>
          <cell r="D25">
            <v>0</v>
          </cell>
          <cell r="E25">
            <v>0</v>
          </cell>
        </row>
        <row r="26">
          <cell r="A26" t="str">
            <v>SQ2</v>
          </cell>
          <cell r="B26" t="str">
            <v>Indukční snímač XSU P12 PA370</v>
          </cell>
          <cell r="C26" t="str">
            <v>strojní
dodávka</v>
          </cell>
          <cell r="D26">
            <v>0</v>
          </cell>
          <cell r="E26">
            <v>70</v>
          </cell>
        </row>
        <row r="27">
          <cell r="A27" t="str">
            <v>M2</v>
          </cell>
          <cell r="B27" t="str">
            <v>Motor hydrauliky skladu štěpky</v>
          </cell>
          <cell r="C27" t="str">
            <v>strojní
dodávka</v>
          </cell>
          <cell r="D27">
            <v>0</v>
          </cell>
          <cell r="E27">
            <v>80</v>
          </cell>
        </row>
        <row r="28">
          <cell r="A28" t="str">
            <v>M4</v>
          </cell>
          <cell r="B28" t="str">
            <v>Vynášecí dopravník štěpky ze skladu paliva</v>
          </cell>
          <cell r="C28" t="str">
            <v>strojní
dodávka</v>
          </cell>
          <cell r="D28">
            <v>0</v>
          </cell>
          <cell r="E28">
            <v>80</v>
          </cell>
        </row>
        <row r="29">
          <cell r="A29" t="str">
            <v>M5</v>
          </cell>
          <cell r="B29" t="str">
            <v>Pásový dopravník štěpky ze skladu paliva</v>
          </cell>
          <cell r="C29" t="str">
            <v>strojní
dodávka</v>
          </cell>
          <cell r="D29">
            <v>0</v>
          </cell>
          <cell r="E29">
            <v>80</v>
          </cell>
        </row>
        <row r="30">
          <cell r="A30" t="str">
            <v>M6</v>
          </cell>
          <cell r="B30" t="str">
            <v xml:space="preserve">Motor hydrauliky mezizásobníku štěpky </v>
          </cell>
          <cell r="C30" t="str">
            <v>Groupe-Schneider</v>
          </cell>
          <cell r="D30">
            <v>0</v>
          </cell>
          <cell r="E30">
            <v>80</v>
          </cell>
        </row>
        <row r="31">
          <cell r="A31" t="str">
            <v>SA00</v>
          </cell>
          <cell r="B31" t="str">
            <v>Tlačítko T6 ve skříňce</v>
          </cell>
          <cell r="C31" t="str">
            <v>Groupe-Schneider</v>
          </cell>
          <cell r="D31">
            <v>350</v>
          </cell>
          <cell r="E31">
            <v>60</v>
          </cell>
        </row>
        <row r="32">
          <cell r="A32" t="str">
            <v>ATVFM3F3</v>
          </cell>
          <cell r="B32" t="str">
            <v>Frekvenční měnič Antivar 18, Telemecanique
typ ATV-18U54N4  CZ</v>
          </cell>
          <cell r="C32" t="str">
            <v>Groupe-Schneider</v>
          </cell>
          <cell r="D32">
            <v>21000</v>
          </cell>
          <cell r="E32">
            <v>600</v>
          </cell>
        </row>
        <row r="33">
          <cell r="A33" t="str">
            <v>ATVFM3F7,5</v>
          </cell>
          <cell r="B33" t="str">
            <v>Frekvenční měnič Antivar 18, Telemecanique
typ ATV-18D12N4  CZ</v>
          </cell>
          <cell r="C33" t="str">
            <v>Groupe-Schneider</v>
          </cell>
          <cell r="D33">
            <v>40600</v>
          </cell>
          <cell r="E33">
            <v>600</v>
          </cell>
        </row>
        <row r="34">
          <cell r="A34" t="str">
            <v>ESBE83P</v>
          </cell>
          <cell r="B34" t="str">
            <v xml:space="preserve">El. pohon ESBE 83P, 24 V, 50 Hz
řídící signál 0-10 V
</v>
          </cell>
          <cell r="C34" t="str">
            <v>REMAG trade</v>
          </cell>
          <cell r="D34">
            <v>5600</v>
          </cell>
          <cell r="E34">
            <v>60</v>
          </cell>
        </row>
        <row r="35">
          <cell r="A35" t="str">
            <v>1-BT1</v>
          </cell>
          <cell r="B35" t="str">
            <v>Odporový snímač teploty venkovní
NS 111.65
rozsah -30°C až 100°C
obj. č. 01 200 200</v>
          </cell>
          <cell r="C35" t="str">
            <v>SENSIT
Rožnov p. R.</v>
          </cell>
          <cell r="D35">
            <v>714</v>
          </cell>
          <cell r="E35">
            <v>19</v>
          </cell>
        </row>
        <row r="36">
          <cell r="A36" t="str">
            <v>M200</v>
          </cell>
          <cell r="B36" t="str">
            <v>Oběhové čerpadlo do systému ÚT
3 x 380/220 VAC</v>
          </cell>
          <cell r="C36" t="str">
            <v>strojní
dodávka</v>
          </cell>
          <cell r="D36">
            <v>0</v>
          </cell>
          <cell r="E36">
            <v>120</v>
          </cell>
        </row>
        <row r="37">
          <cell r="A37" t="str">
            <v>M115</v>
          </cell>
          <cell r="B37" t="str">
            <v>Oběhové čerpadlo kotlového okruhu
3 x 380/220 VAC</v>
          </cell>
          <cell r="C37" t="str">
            <v>strojní
dodávka</v>
          </cell>
          <cell r="D37">
            <v>0</v>
          </cell>
          <cell r="E37">
            <v>80</v>
          </cell>
        </row>
        <row r="38">
          <cell r="A38" t="str">
            <v>M55</v>
          </cell>
          <cell r="B38" t="str">
            <v>Doplňovací čerpadlo
3 x 380/220 VAC</v>
          </cell>
          <cell r="C38" t="str">
            <v>strojní
dodávka</v>
          </cell>
          <cell r="D38">
            <v>0</v>
          </cell>
          <cell r="E38">
            <v>80</v>
          </cell>
        </row>
        <row r="39">
          <cell r="A39" t="str">
            <v>PPN2.35</v>
          </cell>
          <cell r="B39" t="str">
            <v>Pákový servopohon PPN2 35.04.09
220V/50Hz, mikrospínače SO, SZ
bez výst. signálu, třmen se spojkou</v>
          </cell>
          <cell r="C39" t="str">
            <v>Ekorex+
Nová Paka</v>
          </cell>
          <cell r="D39">
            <v>4200</v>
          </cell>
          <cell r="E39">
            <v>120</v>
          </cell>
        </row>
        <row r="40">
          <cell r="A40" t="str">
            <v>1-M1</v>
          </cell>
          <cell r="B40" t="str">
            <v>Směšovací ventil 3G40, DN40, PN 6
s el. pohonem ESBE 62P, řízený 0-10V</v>
          </cell>
          <cell r="C40" t="str">
            <v xml:space="preserve">Eko-Ekviterm </v>
          </cell>
          <cell r="D40">
            <v>5070</v>
          </cell>
          <cell r="E40">
            <v>50</v>
          </cell>
        </row>
        <row r="41">
          <cell r="A41" t="str">
            <v>1-M1</v>
          </cell>
          <cell r="B41" t="str">
            <v>Směšovací ventil 3G50, DN50, PN 6
s el. pohonem ESBE 62P, řízený 0-10V</v>
          </cell>
          <cell r="C41" t="str">
            <v xml:space="preserve">Eko-Ekviterm </v>
          </cell>
          <cell r="D41">
            <v>5840</v>
          </cell>
          <cell r="E41">
            <v>50</v>
          </cell>
        </row>
        <row r="42">
          <cell r="A42" t="str">
            <v>6-M1</v>
          </cell>
          <cell r="B42" t="str">
            <v>Oběhové čerpadlo top .vody
3 x 380/220 V</v>
          </cell>
          <cell r="D42">
            <v>0</v>
          </cell>
          <cell r="E42">
            <v>60</v>
          </cell>
        </row>
        <row r="43">
          <cell r="A43" t="str">
            <v>2-BT1.1
2-BT1.2</v>
          </cell>
          <cell r="B43" t="str">
            <v>Odporový snímač teploty do potrubí
NS 131.65 - 220
rozsah -30°C až 250°C
obj. č. 01 630 200</v>
          </cell>
          <cell r="C43" t="str">
            <v>SENSIT
Rožnov p. R.</v>
          </cell>
          <cell r="D43">
            <v>978</v>
          </cell>
          <cell r="E43">
            <v>19</v>
          </cell>
        </row>
        <row r="44">
          <cell r="A44" t="str">
            <v>2-BT1</v>
          </cell>
          <cell r="B44" t="str">
            <v>Příložné odporové čidlo
NS 141.65
rozsah 0°C až 130°C
obj. Č. 01 700 200</v>
          </cell>
          <cell r="C44" t="str">
            <v>SENSIT
Rožnov p. R.</v>
          </cell>
          <cell r="D44">
            <v>750</v>
          </cell>
          <cell r="E44">
            <v>19</v>
          </cell>
        </row>
        <row r="45">
          <cell r="A45" t="str">
            <v>TG2</v>
          </cell>
          <cell r="B45" t="str">
            <v>Snímač teploty TG2, Ni 1000,L 50mm, M10x1,5
kabel 3 m</v>
          </cell>
          <cell r="C45" t="str">
            <v>SENSIT
Rožnov p. R.</v>
          </cell>
          <cell r="D45">
            <v>620</v>
          </cell>
          <cell r="E45">
            <v>19</v>
          </cell>
        </row>
        <row r="46">
          <cell r="A46" t="str">
            <v>11262J2</v>
          </cell>
          <cell r="B46" t="str">
            <v>405 112 625 712
Odporový snímač teploty s jímkou
jednoduchý ve dvouvodičovém zapojení - J2
provedení T 13
materiál jímky 12 022
ponor 160 mm</v>
          </cell>
          <cell r="C46" t="str">
            <v>ZPA
Nová Paka</v>
          </cell>
          <cell r="D46">
            <v>1370</v>
          </cell>
          <cell r="E46">
            <v>19</v>
          </cell>
        </row>
        <row r="47">
          <cell r="A47" t="str">
            <v>11255</v>
          </cell>
          <cell r="B47" t="str">
            <v>405 112 555 712
Odporový snímač teploty s ochrannou trubkou
jednoduchý
ponor 500 mm</v>
          </cell>
          <cell r="C47" t="str">
            <v>ZPA
Nová Paka</v>
          </cell>
          <cell r="D47">
            <v>1010</v>
          </cell>
          <cell r="E47">
            <v>19</v>
          </cell>
        </row>
        <row r="48">
          <cell r="A48" t="str">
            <v>11255up</v>
          </cell>
          <cell r="B48" t="str">
            <v>405 919 400 215
Upevňovací příruba</v>
          </cell>
          <cell r="C48" t="str">
            <v>ZPA
Nová Paka</v>
          </cell>
          <cell r="D48">
            <v>210</v>
          </cell>
          <cell r="E48">
            <v>15</v>
          </cell>
        </row>
        <row r="49">
          <cell r="A49" t="str">
            <v>prPt100h</v>
          </cell>
          <cell r="B49" t="str">
            <v>Převodník pro Pt 100 do hlavice
rozsah 0 až 400 stC
vstup Pt 100
výstup 4-20 mA</v>
          </cell>
          <cell r="C49" t="str">
            <v>Ekorex Lázně
Bohdaneč</v>
          </cell>
          <cell r="D49">
            <v>1500</v>
          </cell>
          <cell r="E49">
            <v>25</v>
          </cell>
        </row>
        <row r="50">
          <cell r="A50" t="str">
            <v>RV103,DN15,PTN2,2V</v>
          </cell>
          <cell r="B50" t="str">
            <v>RV 103 ERB 4311-16/150-15, Kv 4</v>
          </cell>
          <cell r="C50" t="str">
            <v>LDM 
Č. Třebová</v>
          </cell>
          <cell r="D50">
            <v>7640</v>
          </cell>
          <cell r="E50">
            <v>80</v>
          </cell>
        </row>
        <row r="51">
          <cell r="A51" t="str">
            <v>RV103,DN25,PTN2,2V</v>
          </cell>
          <cell r="B51" t="str">
            <v>RV 103 ERB 4311-16/150-25, Kv 10</v>
          </cell>
          <cell r="C51" t="str">
            <v>LDM 
Č. Třebová</v>
          </cell>
          <cell r="D51">
            <v>7940</v>
          </cell>
          <cell r="E51">
            <v>80</v>
          </cell>
        </row>
        <row r="52">
          <cell r="A52" t="str">
            <v>RV103,DN32,PTN2,2V</v>
          </cell>
          <cell r="B52" t="str">
            <v>RV 103 ERB 4311-16/150-32, Kv 16</v>
          </cell>
          <cell r="C52" t="str">
            <v>LDM 
Č. Třebová</v>
          </cell>
          <cell r="D52">
            <v>8330</v>
          </cell>
          <cell r="E52">
            <v>80</v>
          </cell>
        </row>
        <row r="53">
          <cell r="A53" t="str">
            <v>RV103,DN50,PTN2,2V</v>
          </cell>
          <cell r="B53" t="str">
            <v>RV 103 ERB 4311-16/150-50, Kv 40</v>
          </cell>
          <cell r="C53" t="str">
            <v>LDM 
Č. Třebová</v>
          </cell>
          <cell r="D53">
            <v>10020</v>
          </cell>
          <cell r="E53">
            <v>80</v>
          </cell>
        </row>
        <row r="54">
          <cell r="A54" t="str">
            <v>RV102,DN15,PTN2,2V</v>
          </cell>
          <cell r="B54" t="str">
            <v>RV 102 ERB 1311-16/150-15, Kv 4</v>
          </cell>
          <cell r="C54" t="str">
            <v>LDM 
Č. Třebová</v>
          </cell>
          <cell r="D54">
            <v>6960</v>
          </cell>
          <cell r="E54">
            <v>80</v>
          </cell>
        </row>
        <row r="55">
          <cell r="A55" t="str">
            <v>RV102,DN32,PTN2,2V</v>
          </cell>
          <cell r="B55" t="str">
            <v>RV 102 ERB 1311-16/150-32, Kv 16</v>
          </cell>
          <cell r="C55" t="str">
            <v>LDM 
Č. Třebová</v>
          </cell>
          <cell r="D55">
            <v>7510</v>
          </cell>
          <cell r="E55">
            <v>80</v>
          </cell>
        </row>
        <row r="56">
          <cell r="A56" t="str">
            <v>RV102,DN32,END,2V</v>
          </cell>
          <cell r="B56" t="str">
            <v>RV 102 END 1511 16/150-15, Kv 4</v>
          </cell>
          <cell r="C56" t="str">
            <v>LDM 
Č. Třebová</v>
          </cell>
          <cell r="D56">
            <v>2950</v>
          </cell>
          <cell r="E56">
            <v>80</v>
          </cell>
        </row>
        <row r="57">
          <cell r="A57" t="str">
            <v>RV102,DN32,END,2V
PP</v>
          </cell>
          <cell r="B57" t="str">
            <v>Regulační ventil RV 102, DN 15, PN 16
RV 102 END 1511-16/150-15
s el. pohonem PICO 524 65, 220 V/50 Hz
provedení závitové dvoucestné přímé
materiál tělesa mosaz
průtočná charakteristika lineární, Kvs = 4 m3/h</v>
          </cell>
          <cell r="C57" t="str">
            <v>LDM 
Č. Třebová</v>
          </cell>
          <cell r="D57">
            <v>2950</v>
          </cell>
          <cell r="E57">
            <v>80</v>
          </cell>
        </row>
        <row r="58">
          <cell r="A58" t="str">
            <v>RV201,DN80,ENC</v>
          </cell>
          <cell r="B58" t="str">
            <v>Regulační ventil RV 210 E, DN 80, PN 16
RV 210 ENC 1413 L1 - 16/220 - 80
s el. pohonem Zepadyn
se signalizačními spínači SO, SZ
bez odporového vysílače
příruba s hrubou těsnící lištou
materiál tělesa tvárná litina
těsnění v sedle kov - kov
ucpávka PTFE
pr</v>
          </cell>
          <cell r="C58" t="str">
            <v>LDM 
Č. Třebová</v>
          </cell>
          <cell r="D58">
            <v>15000</v>
          </cell>
          <cell r="E58">
            <v>80</v>
          </cell>
        </row>
        <row r="59">
          <cell r="A59" t="str">
            <v>2</v>
          </cell>
          <cell r="B59" t="str">
            <v>vývodka GP 9</v>
          </cell>
          <cell r="C59" t="str">
            <v>Elektram</v>
          </cell>
          <cell r="D59">
            <v>5</v>
          </cell>
        </row>
        <row r="60">
          <cell r="A60" t="str">
            <v>klvp</v>
          </cell>
          <cell r="B60" t="str">
            <v>Pohon klapky reg. výkonu kotle</v>
          </cell>
          <cell r="C60" t="str">
            <v>stávající</v>
          </cell>
          <cell r="D60">
            <v>5.3</v>
          </cell>
          <cell r="E60">
            <v>80</v>
          </cell>
        </row>
        <row r="61">
          <cell r="A61" t="str">
            <v>MKVLT</v>
          </cell>
          <cell r="B61" t="str">
            <v>Měnič kmitočtu VLT 3522
demontáž a montáž vč. nastavení</v>
          </cell>
          <cell r="C61" t="str">
            <v>stávající</v>
          </cell>
          <cell r="D61">
            <v>5.6</v>
          </cell>
          <cell r="E61">
            <v>1100</v>
          </cell>
        </row>
        <row r="62">
          <cell r="A62" t="str">
            <v>5</v>
          </cell>
          <cell r="B62" t="str">
            <v>Indikační svítidlo HDS-95 G/R</v>
          </cell>
          <cell r="C62" t="str">
            <v>Eleco</v>
          </cell>
          <cell r="D62">
            <v>119</v>
          </cell>
        </row>
        <row r="63">
          <cell r="A63" t="str">
            <v>6</v>
          </cell>
          <cell r="B63" t="str">
            <v>Stiskací hlavice černá T10A</v>
          </cell>
          <cell r="C63" t="str">
            <v>Groupe-Schneider</v>
          </cell>
          <cell r="D63">
            <v>54</v>
          </cell>
        </row>
        <row r="64">
          <cell r="A64" t="str">
            <v>7</v>
          </cell>
          <cell r="B64" t="str">
            <v>Ovládací hlavice trojpolohová T10 B ČE</v>
          </cell>
          <cell r="C64" t="str">
            <v>Groupe-Schneider</v>
          </cell>
          <cell r="D64">
            <v>69</v>
          </cell>
        </row>
        <row r="65">
          <cell r="A65" t="str">
            <v>kl,DN150,PPN12</v>
          </cell>
          <cell r="B65" t="str">
            <v>Klapka DN 150, PN 16
se servopohonem PPN 12
s mikrospínači SO, SZ
médium : top. voda 105 stC/0,9 MPa
              max. tlak. dif. 0,8 MPa</v>
          </cell>
          <cell r="C65" t="str">
            <v>MaR Plus</v>
          </cell>
          <cell r="D65">
            <v>12500</v>
          </cell>
          <cell r="E65">
            <v>140</v>
          </cell>
        </row>
        <row r="66">
          <cell r="A66" t="str">
            <v>9</v>
          </cell>
          <cell r="B66" t="str">
            <v>Přepínací jednotka T10 Z 111 Z</v>
          </cell>
          <cell r="C66" t="str">
            <v>Groupe-Schneider</v>
          </cell>
          <cell r="D66">
            <v>51</v>
          </cell>
        </row>
        <row r="67">
          <cell r="A67" t="str">
            <v xml:space="preserve">RTK </v>
          </cell>
          <cell r="B67" t="str">
            <v>405 611 266 052
Regulátor teploty kapilárový
provedení T23
kontakty v provedení "A"
rozsah 70 až 140 stC
kapilára 2,5 m
405 961 014 116
Mosazná ochranná jímka</v>
          </cell>
          <cell r="C67" t="str">
            <v>ZPA Ekoreg
Ústí n/L</v>
          </cell>
          <cell r="D67">
            <v>1250</v>
          </cell>
          <cell r="E67">
            <v>70</v>
          </cell>
        </row>
        <row r="68">
          <cell r="A68" t="str">
            <v xml:space="preserve">RTK3090 </v>
          </cell>
          <cell r="B68" t="str">
            <v>405 611 266 042
Regulátor teploty kapilárový
provedení T23
kontakty v provedení "A"
rozsah 30 až 90 stC
kapilára 2,5 m
405 961 014 116
Mosazná ochranná jímka</v>
          </cell>
          <cell r="C68" t="str">
            <v>ZPA Ekoreg
Ústí n/L</v>
          </cell>
          <cell r="D68">
            <v>1250</v>
          </cell>
          <cell r="E68">
            <v>70</v>
          </cell>
        </row>
        <row r="69">
          <cell r="A69" t="str">
            <v>RTKB</v>
          </cell>
          <cell r="B69" t="str">
            <v>405 611 266 152
Regulátor teploty kapilárový
provedení T23
kontakty v provedení "B"
rozsah 70 až 140 stC
kapilára 2,5 m
405 961 014 116
Mosazná ochranná jímka</v>
          </cell>
          <cell r="C69" t="str">
            <v>ZPA Ekoreg
Ústí n/L</v>
          </cell>
          <cell r="D69">
            <v>1250</v>
          </cell>
          <cell r="E69">
            <v>70</v>
          </cell>
        </row>
        <row r="70">
          <cell r="A70" t="str">
            <v>RTP</v>
          </cell>
          <cell r="B70" t="str">
            <v>405 611 136 114
Regulátor teploty prostorový
provedení T23
kontakty v provedení "B"
rozsah 20 až 60 stC</v>
          </cell>
          <cell r="C70" t="str">
            <v>ZPA Ekoreg
Ústí n/L</v>
          </cell>
          <cell r="D70">
            <v>1150</v>
          </cell>
          <cell r="E70">
            <v>70</v>
          </cell>
        </row>
        <row r="71">
          <cell r="A71" t="str">
            <v>RTL</v>
          </cell>
          <cell r="B71" t="str">
            <v>405 612 146 043
Regulátor tlaku vlnovcový
provedení T 23
kontakty v provedení "A"
rozsah 0,16 až 1,6 MPa</v>
          </cell>
          <cell r="C71" t="str">
            <v>ZPA Ekoreg
Ústí n/L</v>
          </cell>
          <cell r="D71">
            <v>1010</v>
          </cell>
          <cell r="E71">
            <v>70</v>
          </cell>
        </row>
        <row r="72">
          <cell r="A72" t="str">
            <v>RTL400</v>
          </cell>
          <cell r="B72" t="str">
            <v>405 612 146 032
Regulátor tlaku vlnovcový
provedení T 23
kontakty v provedení "A"
rozsah 40 až 400 kPa</v>
          </cell>
          <cell r="C72" t="str">
            <v>ZPA Ekoreg
Ústí n/L</v>
          </cell>
          <cell r="D72">
            <v>1010</v>
          </cell>
          <cell r="E72">
            <v>70</v>
          </cell>
        </row>
        <row r="73">
          <cell r="A73" t="str">
            <v>RTLB</v>
          </cell>
          <cell r="B73" t="str">
            <v>405 612 146 143
Regulátor tlaku vlnovcový
provedení T 23
kontakty v provedení "B"
rozsah 0,16 až 1,6 MPa</v>
          </cell>
          <cell r="C73" t="str">
            <v>ZPA Ekoreg
Ústí n/L</v>
          </cell>
          <cell r="D73">
            <v>1010</v>
          </cell>
          <cell r="E73">
            <v>70</v>
          </cell>
        </row>
        <row r="74">
          <cell r="A74" t="str">
            <v>indif51</v>
          </cell>
          <cell r="B74" t="str">
            <v>Snímač tlakové diference INDIF 51</v>
          </cell>
          <cell r="C74" t="str">
            <v>ZPA
Nová Paka</v>
          </cell>
          <cell r="D74">
            <v>398</v>
          </cell>
          <cell r="E74">
            <v>150</v>
          </cell>
        </row>
        <row r="75">
          <cell r="A75" t="str">
            <v>PVS</v>
          </cell>
          <cell r="B75" t="str">
            <v>Pěticestná ventilová souprava</v>
          </cell>
          <cell r="C75" t="str">
            <v>ZPA
Nová Paka</v>
          </cell>
          <cell r="D75">
            <v>150</v>
          </cell>
          <cell r="E75">
            <v>80</v>
          </cell>
        </row>
        <row r="76">
          <cell r="A76" t="str">
            <v>19</v>
          </cell>
          <cell r="B76" t="str">
            <v>Stykač 3.f. 24VAC/LC1/LLC2-K06</v>
          </cell>
          <cell r="C76" t="str">
            <v>Groupe-Schneider</v>
          </cell>
          <cell r="D76">
            <v>210</v>
          </cell>
        </row>
        <row r="77">
          <cell r="A77" t="str">
            <v>20</v>
          </cell>
          <cell r="B77" t="str">
            <v>Relé 2.párové RT II/2 464 524 Schrack</v>
          </cell>
          <cell r="C77" t="str">
            <v>Schrack</v>
          </cell>
          <cell r="D77">
            <v>145</v>
          </cell>
        </row>
        <row r="78">
          <cell r="A78" t="str">
            <v>NS111</v>
          </cell>
          <cell r="B78" t="str">
            <v>Odporový snímač teploty venkovní
typ NS 111.65
rozsah -30°C až 100°C
obj. č. 01 200 200</v>
          </cell>
          <cell r="C78" t="str">
            <v>SENSIT
Rožnov p. R.</v>
          </cell>
          <cell r="D78">
            <v>714</v>
          </cell>
          <cell r="E78">
            <v>19</v>
          </cell>
        </row>
        <row r="79">
          <cell r="A79" t="str">
            <v>NS131-100</v>
          </cell>
          <cell r="B79" t="str">
            <v>Odporový snímač teploty do potrubí
typ NS 131.65 - 100
rozsah -30°C až 250°C
obj. č. 01 610 200</v>
          </cell>
          <cell r="C79" t="str">
            <v>SENSIT
Rožnov p. R.</v>
          </cell>
          <cell r="D79">
            <v>930</v>
          </cell>
          <cell r="E79">
            <v>19</v>
          </cell>
        </row>
        <row r="80">
          <cell r="A80" t="str">
            <v>NS131-160</v>
          </cell>
          <cell r="B80" t="str">
            <v>Odporový snímač teploty do potrubí
typ NS 131.65 - 160
rozsah -30°C až 250°C
obj. č. 01 620 200</v>
          </cell>
          <cell r="C80" t="str">
            <v>SENSIT
Rožnov p. R.</v>
          </cell>
          <cell r="D80">
            <v>954</v>
          </cell>
          <cell r="E80">
            <v>19</v>
          </cell>
        </row>
        <row r="81">
          <cell r="A81" t="str">
            <v>NS131</v>
          </cell>
          <cell r="B81" t="str">
            <v xml:space="preserve">Snímač teploty do potrubí NS 131.65 - 220
</v>
          </cell>
          <cell r="C81" t="str">
            <v>SENSIT
Rožnov p. R.</v>
          </cell>
          <cell r="D81">
            <v>978</v>
          </cell>
          <cell r="E81">
            <v>19</v>
          </cell>
        </row>
        <row r="82">
          <cell r="A82" t="str">
            <v>NS131-220</v>
          </cell>
          <cell r="B82" t="str">
            <v>Odporový snímač teploty do potrubí
typ NS 131.65 - 220
rozsah -30°C až 250°C
obj. č. 01 630 200</v>
          </cell>
          <cell r="C82" t="str">
            <v>SENSIT
Rožnov p. R.</v>
          </cell>
          <cell r="D82">
            <v>978</v>
          </cell>
          <cell r="E82">
            <v>19</v>
          </cell>
        </row>
        <row r="83">
          <cell r="A83" t="str">
            <v>NS131-220,pr</v>
          </cell>
          <cell r="B83" t="str">
            <v>Odporový snímač teploty do potrubí
typ NS 131.65 - 220
prodloužený stonek
rozsah -30°C až 250°C
obj. č. 01 730 200</v>
          </cell>
          <cell r="C83" t="str">
            <v>SENSIT
Rožnov p. R.</v>
          </cell>
          <cell r="D83">
            <v>1550</v>
          </cell>
          <cell r="E83">
            <v>19</v>
          </cell>
        </row>
        <row r="84">
          <cell r="A84" t="str">
            <v>NS141</v>
          </cell>
          <cell r="B84" t="str">
            <v>Odporový snímač teploty příložný s hlavicí
typ NS 141.65
rozsah 0°C až 130°C
obj. č. 01 700 200</v>
          </cell>
          <cell r="C84" t="str">
            <v>SENSIT
Rožnov p. R.</v>
          </cell>
          <cell r="D84">
            <v>750</v>
          </cell>
          <cell r="E84">
            <v>19</v>
          </cell>
        </row>
        <row r="85">
          <cell r="A85" t="str">
            <v>NS151</v>
          </cell>
          <cell r="B85" t="str">
            <v xml:space="preserve">Příložný snímač teploty NS 151.65 
</v>
          </cell>
          <cell r="C85" t="str">
            <v>SENSIT
Rožnov p. R.</v>
          </cell>
          <cell r="D85">
            <v>593</v>
          </cell>
          <cell r="E85">
            <v>19</v>
          </cell>
        </row>
        <row r="86">
          <cell r="A86" t="str">
            <v>VZH431/S</v>
          </cell>
          <cell r="B86" t="str">
            <v>405 613 466 002
Vyhodnocovací zařízení kontinuální VZH 431/S
výstup 4…20 mA</v>
          </cell>
          <cell r="C86" t="str">
            <v>ZPA Ekoreg
Ústí n/L</v>
          </cell>
          <cell r="D86">
            <v>2090</v>
          </cell>
          <cell r="E86">
            <v>120</v>
          </cell>
        </row>
        <row r="87">
          <cell r="A87" t="str">
            <v>VZH231/2M</v>
          </cell>
          <cell r="B87" t="str">
            <v>40 11124 901040
Vyhodnocovací zařízení kontinuální VZH 231/2M
1. mez minimum, 2. mez maximum
výstup 4…20 mA</v>
          </cell>
          <cell r="C87" t="str">
            <v>ZPA Ekoreg
Ústí n/L</v>
          </cell>
          <cell r="D87">
            <v>4100</v>
          </cell>
          <cell r="E87">
            <v>150</v>
          </cell>
        </row>
        <row r="88">
          <cell r="A88" t="str">
            <v xml:space="preserve">MS11Ff10N </v>
          </cell>
          <cell r="B88" t="str">
            <v>405 613 176 008/N
Měřící sonda tyčová izolovaná polyetylenem PE
typ MS 11 Ff 1015/N
materiál šroubení hliníková slitina
snímač v hlavici
délka elektrody 1,5 m
upevňovací závit M 36x2
materiál šroubení hliníková slitina</v>
          </cell>
          <cell r="C88" t="str">
            <v>ZPA Ekoreg
Ústí n/L</v>
          </cell>
          <cell r="D88">
            <v>2960</v>
          </cell>
          <cell r="E88">
            <v>90</v>
          </cell>
        </row>
        <row r="89">
          <cell r="A89" t="str">
            <v xml:space="preserve">MS11Ff10 </v>
          </cell>
          <cell r="B89" t="str">
            <v>405 613 106 712/NS 
Měřící sonda tyčová izolovaná polyetylenem PE
typ MS 11 Ff 1015/NS
materiál šroubení hliníková slitina
snímač v hlavici
délka elektrody 1,5 m
upevňovací závit M 36x2
materiál šroubení hliníková slitina</v>
          </cell>
          <cell r="C89" t="str">
            <v>ZPA Ekoreg
Ústí n/L</v>
          </cell>
          <cell r="D89">
            <v>3320</v>
          </cell>
          <cell r="E89">
            <v>90</v>
          </cell>
        </row>
        <row r="90">
          <cell r="A90" t="str">
            <v>PRKOMAL</v>
          </cell>
          <cell r="B90" t="str">
            <v>405 961 154 816
Montážní příruba kompletní
hliníková slitina</v>
          </cell>
          <cell r="C90" t="str">
            <v>ZPA Ekoreg
Ústí n/L</v>
          </cell>
          <cell r="D90">
            <v>380</v>
          </cell>
        </row>
        <row r="91">
          <cell r="A91" t="str">
            <v>PRSP</v>
          </cell>
          <cell r="B91" t="str">
            <v>405 961 006 216
Montážní příruba speciální</v>
          </cell>
          <cell r="C91" t="str">
            <v>ZPA Ekoreg
Ústí n/L</v>
          </cell>
          <cell r="D91">
            <v>250</v>
          </cell>
        </row>
        <row r="92">
          <cell r="A92" t="str">
            <v>KK,PPN2</v>
          </cell>
          <cell r="B92" t="str">
            <v>Kulový kohout Giacomini DN 25, PN 25
R 850/3/PPN/25/185 - 25
s el. pohonem PPN2 35.02.09/230VAC
bez mikrospínačů SO, SZ
bez vysílače polohy</v>
          </cell>
          <cell r="C92" t="str">
            <v>LDM 
Č. Třebová</v>
          </cell>
          <cell r="D92">
            <v>4220</v>
          </cell>
          <cell r="E92">
            <v>80</v>
          </cell>
        </row>
        <row r="93">
          <cell r="A93" t="str">
            <v xml:space="preserve">2-M1.1
2-M1.2
</v>
          </cell>
          <cell r="B93" t="str">
            <v>Kulový kohout Giacomini DN 32, PN 25
s el. pohonem PPN2 35.04.07.20/230VAC
se sig. SO,SZ, bez vysílače</v>
          </cell>
          <cell r="C93" t="str">
            <v>Ekorex
Nová Paka</v>
          </cell>
          <cell r="D93">
            <v>4070</v>
          </cell>
          <cell r="E93">
            <v>50</v>
          </cell>
        </row>
        <row r="94">
          <cell r="B94" t="str">
            <v>Řídící systém</v>
          </cell>
        </row>
        <row r="95">
          <cell r="A95" t="str">
            <v>1</v>
          </cell>
          <cell r="B95" t="str">
            <v>Regulátor DX 9100 - 8154</v>
          </cell>
          <cell r="C95" t="str">
            <v>Johnson 
Controls</v>
          </cell>
          <cell r="D95">
            <v>35549</v>
          </cell>
        </row>
        <row r="96">
          <cell r="D96" t="str">
            <v>celkem</v>
          </cell>
        </row>
        <row r="97">
          <cell r="A97" t="str">
            <v>3G32</v>
          </cell>
          <cell r="B97" t="str">
            <v>Směšovací klapka 3G32</v>
          </cell>
          <cell r="C97" t="str">
            <v>strojní
dodávka</v>
          </cell>
        </row>
        <row r="98">
          <cell r="A98" t="str">
            <v>PPN2</v>
          </cell>
          <cell r="B98" t="str">
            <v xml:space="preserve">Pákový servopohon PPN2 35.04.09
220V/50Hz, mikrospínače SO, SZ
bez výst. signálu, třmen se spojkou
</v>
          </cell>
          <cell r="C98" t="str">
            <v>Ekorex+
Nová Paka</v>
          </cell>
          <cell r="D98">
            <v>3550</v>
          </cell>
          <cell r="E98">
            <v>140</v>
          </cell>
        </row>
        <row r="99">
          <cell r="A99" t="str">
            <v>UNIPRES81</v>
          </cell>
          <cell r="B99" t="str">
            <v>405 114 811 343/64N3/2
Snímač tlaku UNIPRES 81</v>
          </cell>
          <cell r="C99" t="str">
            <v>ZPA
Nová Paka</v>
          </cell>
          <cell r="D99">
            <v>6570</v>
          </cell>
          <cell r="E99">
            <v>53</v>
          </cell>
        </row>
        <row r="100">
          <cell r="A100" t="str">
            <v>UNIPRES81
PP</v>
          </cell>
          <cell r="B100" t="str">
            <v>405 114 811 343/65N3/2
Tenzometrický snímač tlaku UNIPRES 81
připojení vnější závit M 20 x 1,5
kabelový vývod
výstup 4…20 mA
rozsah 0…1000 kPa
neověřený
základní chyba 0,6 %
kabel 3 m</v>
          </cell>
          <cell r="C100" t="str">
            <v>ZPA
Nová Paka</v>
          </cell>
          <cell r="D100">
            <v>6570</v>
          </cell>
          <cell r="E100">
            <v>53</v>
          </cell>
        </row>
        <row r="101">
          <cell r="A101" t="str">
            <v>TL.V.</v>
          </cell>
          <cell r="B101" t="str">
            <v>405 962 212 171
Uzavírací ventil nárožní</v>
          </cell>
          <cell r="C101" t="str">
            <v>ZPA
Nová Paka</v>
          </cell>
          <cell r="D101">
            <v>1200</v>
          </cell>
          <cell r="E101">
            <v>30</v>
          </cell>
        </row>
        <row r="102">
          <cell r="A102" t="str">
            <v>TL.V.
PP</v>
          </cell>
          <cell r="B102" t="str">
            <v>405 962 212 171
Uzavírací ventil nárožní
standardní provedení
materiál navař. kuželek a nátrubků  uhlíkatá ocel
vstup navařovací kuželka 12/6,5 mm
výstup nátrubek pro manometrické šroubení
s maticí M20x1,5
materiál těsnících kroužků viton</v>
          </cell>
          <cell r="C102" t="str">
            <v>ZPA
Nová Paka</v>
          </cell>
          <cell r="D102">
            <v>1670</v>
          </cell>
          <cell r="E102">
            <v>30</v>
          </cell>
        </row>
        <row r="103">
          <cell r="A103" t="str">
            <v>3VE4</v>
          </cell>
          <cell r="B103" t="str">
            <v>Elektromagnetický ventil 3VE4DF, DN 2</v>
          </cell>
          <cell r="C103" t="str">
            <v>ZPA Prešov</v>
          </cell>
          <cell r="D103">
            <v>750</v>
          </cell>
          <cell r="E103">
            <v>50</v>
          </cell>
        </row>
        <row r="104">
          <cell r="A104" t="str">
            <v>SVG10</v>
          </cell>
          <cell r="B104" t="str">
            <v>Elektromagnetický ventil SVG 10, DN 10</v>
          </cell>
          <cell r="C104" t="str">
            <v>Remagg
Vyškov</v>
          </cell>
          <cell r="D104">
            <v>735</v>
          </cell>
          <cell r="E104">
            <v>50</v>
          </cell>
        </row>
        <row r="105">
          <cell r="A105" t="str">
            <v>SVG20</v>
          </cell>
          <cell r="B105" t="str">
            <v>Elektromagnetický ventil SVG 20, 220 V</v>
          </cell>
          <cell r="C105" t="str">
            <v>Remagg
Vyškov</v>
          </cell>
          <cell r="D105">
            <v>1087</v>
          </cell>
          <cell r="E105">
            <v>50</v>
          </cell>
        </row>
        <row r="106">
          <cell r="A106" t="str">
            <v>ISTA,DN25F</v>
          </cell>
          <cell r="B106" t="str">
            <v>Měřič tepla SENSONIC WMZ 7F-3,5/T1
s vodoměrem DN 25, PN 16, 1l/imp.</v>
          </cell>
          <cell r="C106" t="str">
            <v>Raab Karcher</v>
          </cell>
          <cell r="D106">
            <v>18493</v>
          </cell>
          <cell r="E106">
            <v>180</v>
          </cell>
        </row>
        <row r="107">
          <cell r="A107" t="str">
            <v>ISTA,DN40</v>
          </cell>
          <cell r="B107" t="str">
            <v>Měřič tepla SENSONIC WMZ 20-10/T25
s vodoměrem DN 40, PN 16, 25l/imp.</v>
          </cell>
          <cell r="C107" t="str">
            <v>Raab Karcher</v>
          </cell>
          <cell r="D107">
            <v>26379</v>
          </cell>
          <cell r="E107">
            <v>180</v>
          </cell>
        </row>
        <row r="108">
          <cell r="A108" t="str">
            <v>ISTA,DN25</v>
          </cell>
          <cell r="B108" t="str">
            <v>Měřič tepla SENSONIC WMZ 7-3,5/T1
s vodoměrem DN 25, PN 16, 1l/imp.</v>
          </cell>
          <cell r="C108" t="str">
            <v>Raab Karcher</v>
          </cell>
          <cell r="D108">
            <v>17561</v>
          </cell>
          <cell r="E108">
            <v>180</v>
          </cell>
        </row>
        <row r="109">
          <cell r="A109" t="str">
            <v>ISTA,DN32</v>
          </cell>
          <cell r="B109" t="str">
            <v>Měřič tepla SENSONIC WMZ 10-6/T1
s vodoměrem DN 32, PN 16, 1l/imp.</v>
          </cell>
          <cell r="C109" t="str">
            <v>Raab Karcher</v>
          </cell>
          <cell r="D109">
            <v>17561</v>
          </cell>
          <cell r="E109">
            <v>180</v>
          </cell>
        </row>
        <row r="110">
          <cell r="A110" t="str">
            <v>mt200,40</v>
          </cell>
          <cell r="B110" t="str">
            <v>1 405 611 246 922
Měřič spotřeby tepla MT 200, DN 40
kabel ind. čidla 6 m
teploměry 8 m, jímka 50 mm
návarky dlouhé
materiál výstelky Teflon</v>
          </cell>
          <cell r="C110" t="str">
            <v>EESA
Lomnice n.P.</v>
          </cell>
          <cell r="D110">
            <v>27870</v>
          </cell>
          <cell r="E110">
            <v>450</v>
          </cell>
        </row>
        <row r="111">
          <cell r="A111" t="str">
            <v>mt200,150</v>
          </cell>
          <cell r="B111" t="str">
            <v>1 405 611 256 822
Měřič spotřeby tepla MT 200, DN 150
kabel ind. čidla 6 m
teploměry 8 m, jímka 100 mm
návarky dlouhé
materiál výstelky Teflon
ověření do Qmax = 300 m3/h</v>
          </cell>
          <cell r="C111" t="str">
            <v>EESA
Lomnice n.P.</v>
          </cell>
          <cell r="D111">
            <v>32700</v>
          </cell>
          <cell r="E111">
            <v>450</v>
          </cell>
        </row>
        <row r="112">
          <cell r="B112" t="str">
            <v>Kabelový žlab 62x50 vč. víka</v>
          </cell>
          <cell r="C112" t="str">
            <v>Elektram</v>
          </cell>
          <cell r="D112">
            <v>105</v>
          </cell>
          <cell r="E112">
            <v>46.6</v>
          </cell>
        </row>
        <row r="113">
          <cell r="B113" t="str">
            <v>Koleno kabelového žlabu 62x50 vč. víka</v>
          </cell>
          <cell r="C113" t="str">
            <v>Elektram</v>
          </cell>
          <cell r="D113">
            <v>137</v>
          </cell>
          <cell r="E113">
            <v>30.5</v>
          </cell>
        </row>
        <row r="114">
          <cell r="A114" t="str">
            <v>MTUV-VYST.</v>
          </cell>
          <cell r="B114" t="str">
            <v>Bezpotenciálový kontaktní výstup pro energii
typ č. 18572</v>
          </cell>
          <cell r="C114" t="str">
            <v>Raab Karcher</v>
          </cell>
          <cell r="D114">
            <v>2252</v>
          </cell>
          <cell r="E114">
            <v>50</v>
          </cell>
        </row>
        <row r="115">
          <cell r="A115" t="str">
            <v>MTOP</v>
          </cell>
          <cell r="B115" t="str">
            <v>Indukční měřič tepla THERMEOS</v>
          </cell>
          <cell r="C115" t="str">
            <v>stávající</v>
          </cell>
          <cell r="D115">
            <v>0</v>
          </cell>
          <cell r="E115">
            <v>230</v>
          </cell>
        </row>
        <row r="116">
          <cell r="B116" t="str">
            <v>Spojka kabelového žlabu 62</v>
          </cell>
          <cell r="C116" t="str">
            <v>Elektram</v>
          </cell>
          <cell r="D116">
            <v>2.4</v>
          </cell>
          <cell r="E116">
            <v>0</v>
          </cell>
        </row>
        <row r="117">
          <cell r="A117" t="str">
            <v>čtop3</v>
          </cell>
          <cell r="B117" t="str">
            <v>Oběhové čerpadlo top .vody
3 x 380/220 V</v>
          </cell>
          <cell r="C117" t="str">
            <v>strojní
dodávka</v>
          </cell>
          <cell r="D117">
            <v>0</v>
          </cell>
          <cell r="E117">
            <v>80</v>
          </cell>
        </row>
        <row r="118">
          <cell r="A118" t="str">
            <v>čtuv3</v>
          </cell>
          <cell r="B118" t="str">
            <v>Cirkulační čerpadlo TUV
3 x 380/220 VAC</v>
          </cell>
          <cell r="C118" t="str">
            <v>strojní
dodávka</v>
          </cell>
          <cell r="D118">
            <v>0</v>
          </cell>
          <cell r="E118">
            <v>80</v>
          </cell>
        </row>
        <row r="119">
          <cell r="B119" t="str">
            <v>Lišta PVC 40x40 vč. víka</v>
          </cell>
          <cell r="C119" t="str">
            <v>Elektram</v>
          </cell>
          <cell r="D119">
            <v>33</v>
          </cell>
          <cell r="E119">
            <v>8</v>
          </cell>
        </row>
        <row r="120">
          <cell r="A120" t="str">
            <v>ah1</v>
          </cell>
          <cell r="B120" t="str">
            <v>Úprava pro signalizaci provoz. pohotovosti</v>
          </cell>
          <cell r="C120" t="str">
            <v>ENERGIE MaR</v>
          </cell>
          <cell r="D120">
            <v>3500</v>
          </cell>
          <cell r="E120">
            <v>4.8</v>
          </cell>
        </row>
        <row r="121">
          <cell r="A121" t="str">
            <v>ah2</v>
          </cell>
          <cell r="B121" t="str">
            <v>Úprava zapojení - motáž, demontáž</v>
          </cell>
          <cell r="C121" t="str">
            <v>ENERGIE MaR</v>
          </cell>
          <cell r="D121">
            <v>28</v>
          </cell>
          <cell r="E121">
            <v>400</v>
          </cell>
        </row>
        <row r="122">
          <cell r="B122" t="str">
            <v>Pancéřová trubka PZ 21</v>
          </cell>
          <cell r="C122" t="str">
            <v>Elektram</v>
          </cell>
          <cell r="D122">
            <v>37</v>
          </cell>
          <cell r="E122">
            <v>8.4499999999999993</v>
          </cell>
        </row>
        <row r="123">
          <cell r="B123" t="str">
            <v>Vodič CY 6mm2 ŽZ</v>
          </cell>
          <cell r="C123" t="str">
            <v>Elektram</v>
          </cell>
          <cell r="D123">
            <v>8.9</v>
          </cell>
          <cell r="E123">
            <v>5.2</v>
          </cell>
        </row>
        <row r="124">
          <cell r="B124" t="str">
            <v>Zemnící svorky vč. CU pásků</v>
          </cell>
          <cell r="C124" t="str">
            <v>Elektram</v>
          </cell>
          <cell r="D124">
            <v>11</v>
          </cell>
          <cell r="E124">
            <v>4.5</v>
          </cell>
        </row>
        <row r="125">
          <cell r="A125" t="str">
            <v>TG2</v>
          </cell>
          <cell r="B125" t="str">
            <v>Ponorné čidlo teploty Ni 1000/6180ppm
v nerezovém pouzdru TG2
délka 50 mm, závit M10x1,5</v>
          </cell>
          <cell r="C125" t="str">
            <v>SENSIT
Rožnov p. R.</v>
          </cell>
          <cell r="D125">
            <v>400</v>
          </cell>
          <cell r="E125">
            <v>19</v>
          </cell>
        </row>
        <row r="126">
          <cell r="D126" t="str">
            <v>celkem</v>
          </cell>
        </row>
        <row r="128">
          <cell r="A128" t="str">
            <v>1-BT1</v>
          </cell>
          <cell r="B128" t="str">
            <v>Odporový snímač teploty venkovní
NS 111.65
rozsah -30°C až 100°C
obj. č. 01 200 200</v>
          </cell>
          <cell r="C128" t="str">
            <v>SENSIT
Rožnov p. R.</v>
          </cell>
          <cell r="D128">
            <v>714</v>
          </cell>
          <cell r="E128">
            <v>19</v>
          </cell>
        </row>
        <row r="129">
          <cell r="A129" t="str">
            <v>1-BT2</v>
          </cell>
          <cell r="B129" t="str">
            <v>Odporový snímač teploty do potrubí
NS 131.65 - 100
rozsah -30°C až 250°C
obj. č. 01 610 200</v>
          </cell>
          <cell r="C129" t="str">
            <v>SENSIT
Rožnov p. R.</v>
          </cell>
          <cell r="D129">
            <v>930</v>
          </cell>
          <cell r="E129">
            <v>19</v>
          </cell>
        </row>
        <row r="130">
          <cell r="A130" t="str">
            <v>1-BT3</v>
          </cell>
          <cell r="B130" t="str">
            <v>Odporový snímač teploty prostorový
NS 101.30
rozsah -30°C až 100°C
obj. č. 01 100 200</v>
          </cell>
          <cell r="C130" t="str">
            <v>SENSIT
Rožnov p. R.</v>
          </cell>
          <cell r="D130">
            <v>432</v>
          </cell>
          <cell r="E130">
            <v>19</v>
          </cell>
        </row>
        <row r="131">
          <cell r="A131" t="str">
            <v>1-M1</v>
          </cell>
          <cell r="B131" t="str">
            <v>Směšovací ventil 3G25, DN25, PN 6
s el. pohonem ESBE 62P, řízený 0-10V</v>
          </cell>
          <cell r="C131" t="str">
            <v xml:space="preserve">Eko-Ekviterm </v>
          </cell>
          <cell r="D131">
            <v>4890</v>
          </cell>
          <cell r="E131">
            <v>50</v>
          </cell>
        </row>
        <row r="132">
          <cell r="A132" t="str">
            <v>1-M1</v>
          </cell>
          <cell r="B132" t="str">
            <v>Směšovací ventil 3G32, DN32 PN 6
s el. pohonem ESBE 62P, řízený 0-10V</v>
          </cell>
          <cell r="C132" t="str">
            <v xml:space="preserve">Eko-Ekviterm </v>
          </cell>
          <cell r="D132">
            <v>4950</v>
          </cell>
          <cell r="E132">
            <v>50</v>
          </cell>
        </row>
        <row r="133">
          <cell r="A133" t="str">
            <v>1-M1</v>
          </cell>
          <cell r="B133" t="str">
            <v>Směšovací ventil 3G40, DN40, PN 6
s el. pohonem ESBE 62P, řízený 0-10V</v>
          </cell>
          <cell r="C133" t="str">
            <v xml:space="preserve">Eko-Ekviterm </v>
          </cell>
          <cell r="D133">
            <v>5070</v>
          </cell>
          <cell r="E133">
            <v>50</v>
          </cell>
        </row>
        <row r="134">
          <cell r="A134" t="str">
            <v>1-M1</v>
          </cell>
          <cell r="B134" t="str">
            <v>Směšovací ventil 3G50, DN50, PN 6
s el. pohonem ESBE 62P, řízený 0-10V</v>
          </cell>
          <cell r="C134" t="str">
            <v xml:space="preserve">Eko-Ekviterm </v>
          </cell>
          <cell r="D134">
            <v>5840</v>
          </cell>
          <cell r="E134">
            <v>50</v>
          </cell>
        </row>
        <row r="136">
          <cell r="A136" t="str">
            <v>6-M1</v>
          </cell>
          <cell r="B136" t="str">
            <v>Oběhové čerpadlo top .vody
3 x 380/220 V</v>
          </cell>
          <cell r="D136">
            <v>0</v>
          </cell>
          <cell r="E136">
            <v>60</v>
          </cell>
        </row>
        <row r="137">
          <cell r="A137" t="str">
            <v>2-BT1.1
2-BT1.2</v>
          </cell>
          <cell r="B137" t="str">
            <v>Odporový snímač teploty do potrubí
NS 131.65 - 220
rozsah -30°C až 250°C
obj. č. 01 630 200</v>
          </cell>
          <cell r="C137" t="str">
            <v>SENSIT
Rožnov p. R.</v>
          </cell>
          <cell r="D137">
            <v>978</v>
          </cell>
          <cell r="E137">
            <v>19</v>
          </cell>
        </row>
        <row r="138">
          <cell r="A138" t="str">
            <v>2-BT1</v>
          </cell>
          <cell r="B138" t="str">
            <v>Příložné odporové čidlo
NS 141.65
rozsah 0°C až 130°C
obj. Č. 01 700 200</v>
          </cell>
          <cell r="C138" t="str">
            <v>SENSIT
Rožnov p. R.</v>
          </cell>
          <cell r="D138">
            <v>750</v>
          </cell>
          <cell r="E138">
            <v>19</v>
          </cell>
        </row>
        <row r="139">
          <cell r="A139" t="str">
            <v xml:space="preserve">2-M1.1
2-M1.2
</v>
          </cell>
          <cell r="B139" t="str">
            <v>Kulový kohout Giacomini DN 25, PN 25
s el. pohonem PPN2 20.04.07.20/230VAC
se sig. SO,SZ, bez vysílače</v>
          </cell>
          <cell r="C139" t="str">
            <v>Ekorex
Nová Paka</v>
          </cell>
          <cell r="D139">
            <v>3860</v>
          </cell>
          <cell r="E139">
            <v>50</v>
          </cell>
        </row>
        <row r="140">
          <cell r="A140" t="str">
            <v xml:space="preserve">2-M1.1
2-M1.2
</v>
          </cell>
          <cell r="B140" t="str">
            <v>Kulový kohout Giacomini DN 32, PN 25
s el. pohonem PPN2 35.04.07.20/230VAC
se sig. SO,SZ, bez vysílače</v>
          </cell>
          <cell r="C140" t="str">
            <v>Ekorex
Nová Paka</v>
          </cell>
          <cell r="D140">
            <v>4070</v>
          </cell>
          <cell r="E140">
            <v>50</v>
          </cell>
        </row>
        <row r="141">
          <cell r="A141" t="str">
            <v xml:space="preserve">2-M1.1
2-M1.2
</v>
          </cell>
          <cell r="B141" t="str">
            <v>Kulový kohout Giacomini DN 40, PN 25
s el. pohonem PPN2 65.04.07.00/230VAC
se sig. SO,SZ, bez vysílače</v>
          </cell>
          <cell r="C141" t="str">
            <v>Ekorex
Nová Paka</v>
          </cell>
          <cell r="D141">
            <v>7790</v>
          </cell>
          <cell r="E141">
            <v>50</v>
          </cell>
        </row>
        <row r="142">
          <cell r="A142" t="str">
            <v xml:space="preserve">2-M1.1
2-M1.2
</v>
          </cell>
          <cell r="B142" t="str">
            <v>Kulový kohout Giacomini DN 50, PN25
s el. pohonem PPN2 65.04.07.00/230VAC
se sig. SO,SZ, bez vysílače</v>
          </cell>
          <cell r="C142" t="str">
            <v>Ekorex
Nová Paka</v>
          </cell>
          <cell r="D142">
            <v>7980</v>
          </cell>
          <cell r="E142">
            <v>50</v>
          </cell>
        </row>
        <row r="143">
          <cell r="A143" t="str">
            <v>3-YV1
4-YV1</v>
          </cell>
          <cell r="B143" t="str">
            <v>Dvoucestný elektromagnetický ventil DN 20
typ EVPE 2020.01, 220 VAC</v>
          </cell>
          <cell r="C143" t="str">
            <v>PEVEKO
Boršice u B.</v>
          </cell>
          <cell r="D143">
            <v>1200</v>
          </cell>
          <cell r="E143">
            <v>50</v>
          </cell>
        </row>
        <row r="144">
          <cell r="A144" t="str">
            <v>3-YV1
4-YV1</v>
          </cell>
          <cell r="B144" t="str">
            <v>Dvoucestný elektromagnetický ventil DN 30 
typ EVPE 2030.01, 220 VAC</v>
          </cell>
          <cell r="C144" t="str">
            <v>PEVEKO
Boršice u B.</v>
          </cell>
          <cell r="D144">
            <v>1600</v>
          </cell>
          <cell r="E144">
            <v>50</v>
          </cell>
        </row>
        <row r="145">
          <cell r="A145" t="str">
            <v>3-YV1
4-YV1</v>
          </cell>
          <cell r="B145" t="str">
            <v>Dvoucestný elektromagnetický ventil DN 40 
typ EVPE 2040.01, 220 VAC</v>
          </cell>
          <cell r="C145" t="str">
            <v>PEVEKO
Boršice u B.</v>
          </cell>
          <cell r="D145">
            <v>1900</v>
          </cell>
          <cell r="E145">
            <v>50</v>
          </cell>
        </row>
        <row r="146">
          <cell r="A146" t="str">
            <v>7-M1</v>
          </cell>
          <cell r="B146" t="str">
            <v>Cirkulační čerpadlo TUV
220 VAC</v>
          </cell>
          <cell r="E146">
            <v>40</v>
          </cell>
        </row>
        <row r="147">
          <cell r="A147" t="str">
            <v>7-M1</v>
          </cell>
          <cell r="B147" t="str">
            <v>Cirkulační čerpadlo TUV
3 x 380/220 VAC</v>
          </cell>
          <cell r="E147">
            <v>60</v>
          </cell>
        </row>
        <row r="148">
          <cell r="A148" t="str">
            <v>7-M1</v>
          </cell>
          <cell r="B148" t="str">
            <v>Nabíjecí čerpadlo TUV
220 VAC</v>
          </cell>
          <cell r="E148">
            <v>40</v>
          </cell>
        </row>
        <row r="155">
          <cell r="B155" t="str">
            <v>Rozvaděč RD2</v>
          </cell>
        </row>
        <row r="156">
          <cell r="A156" t="str">
            <v>r3</v>
          </cell>
          <cell r="B156" t="str">
            <v>Rozvaděčová skříň 2000x2400x400</v>
          </cell>
          <cell r="C156" t="str">
            <v>Schrack</v>
          </cell>
          <cell r="D156">
            <v>38000</v>
          </cell>
          <cell r="E156">
            <v>900</v>
          </cell>
        </row>
        <row r="157">
          <cell r="A157" t="str">
            <v>r2</v>
          </cell>
          <cell r="B157" t="str">
            <v>Rozvaděčová skříň 2000x800x400</v>
          </cell>
          <cell r="C157" t="str">
            <v>ZPA Pečky</v>
          </cell>
          <cell r="D157">
            <v>14000</v>
          </cell>
          <cell r="E157">
            <v>550</v>
          </cell>
        </row>
        <row r="158">
          <cell r="A158" t="str">
            <v>r1</v>
          </cell>
          <cell r="B158" t="str">
            <v>Rozvaděčová skříň 210x675x450</v>
          </cell>
          <cell r="C158" t="str">
            <v>atyp</v>
          </cell>
          <cell r="D158">
            <v>0</v>
          </cell>
          <cell r="E158">
            <v>0</v>
          </cell>
        </row>
        <row r="159">
          <cell r="A159" t="str">
            <v>v1</v>
          </cell>
        </row>
        <row r="160">
          <cell r="A160" t="str">
            <v>v9</v>
          </cell>
          <cell r="B160" t="str">
            <v>vývodka GP 9</v>
          </cell>
          <cell r="C160" t="str">
            <v>Elektram</v>
          </cell>
          <cell r="D160">
            <v>5</v>
          </cell>
        </row>
        <row r="161">
          <cell r="A161" t="str">
            <v>v11</v>
          </cell>
          <cell r="B161" t="str">
            <v>vývodka GP 11</v>
          </cell>
          <cell r="C161" t="str">
            <v>Elektram</v>
          </cell>
          <cell r="D161">
            <v>5.3</v>
          </cell>
        </row>
        <row r="162">
          <cell r="A162" t="str">
            <v>v13</v>
          </cell>
          <cell r="B162" t="str">
            <v>vývodka GP 13.5</v>
          </cell>
          <cell r="C162" t="str">
            <v>Elektram</v>
          </cell>
          <cell r="D162">
            <v>5.6</v>
          </cell>
        </row>
        <row r="163">
          <cell r="A163" t="str">
            <v>v16</v>
          </cell>
          <cell r="B163" t="str">
            <v>vývodka GP 16</v>
          </cell>
          <cell r="C163" t="str">
            <v>Elektram</v>
          </cell>
          <cell r="D163">
            <v>7.6</v>
          </cell>
        </row>
        <row r="164">
          <cell r="A164" t="str">
            <v>v29</v>
          </cell>
          <cell r="B164" t="str">
            <v>vývodka GP 29</v>
          </cell>
          <cell r="C164" t="str">
            <v>Elektram</v>
          </cell>
          <cell r="D164">
            <v>14</v>
          </cell>
        </row>
        <row r="166">
          <cell r="A166" t="str">
            <v>sv2,5</v>
          </cell>
          <cell r="B166" t="str">
            <v>Svorka řadová - šedá M2,5/5</v>
          </cell>
          <cell r="C166" t="str">
            <v>Entrelec</v>
          </cell>
          <cell r="D166">
            <v>12</v>
          </cell>
        </row>
        <row r="167">
          <cell r="A167" t="str">
            <v>sv2,5m</v>
          </cell>
          <cell r="B167" t="str">
            <v>Svorka řadová - světle modrá M2,5/5.N</v>
          </cell>
          <cell r="C167" t="str">
            <v>Entrelec</v>
          </cell>
          <cell r="D167">
            <v>13</v>
          </cell>
        </row>
        <row r="168">
          <cell r="A168" t="str">
            <v>sv2,5ž</v>
          </cell>
          <cell r="B168" t="str">
            <v>Svorka řadová - žlutozelená M2,5/5.P</v>
          </cell>
          <cell r="C168" t="str">
            <v>Entrelec</v>
          </cell>
          <cell r="D168">
            <v>44</v>
          </cell>
        </row>
        <row r="170">
          <cell r="A170" t="str">
            <v>sv4</v>
          </cell>
          <cell r="B170" t="str">
            <v>Svorka řadová - šedá M4/6</v>
          </cell>
          <cell r="C170" t="str">
            <v>Entrelec</v>
          </cell>
          <cell r="D170">
            <v>12.2</v>
          </cell>
        </row>
        <row r="171">
          <cell r="A171" t="str">
            <v>sv4m</v>
          </cell>
          <cell r="B171" t="str">
            <v>Svorka řadová - světle modrá M4/6.N</v>
          </cell>
          <cell r="C171" t="str">
            <v>Entrelec</v>
          </cell>
          <cell r="D171">
            <v>13.2</v>
          </cell>
        </row>
        <row r="172">
          <cell r="A172" t="str">
            <v>sv4ž</v>
          </cell>
          <cell r="B172" t="str">
            <v>Svorka řadová - žlutozelená M4/6.P</v>
          </cell>
          <cell r="C172" t="str">
            <v>Entrelec</v>
          </cell>
          <cell r="D172">
            <v>44</v>
          </cell>
        </row>
        <row r="174">
          <cell r="A174" t="str">
            <v>svj</v>
          </cell>
          <cell r="B174" t="str">
            <v>Svorka rozjišťovací M4/8SF</v>
          </cell>
          <cell r="C174" t="str">
            <v>Entrelec</v>
          </cell>
          <cell r="D174">
            <v>49</v>
          </cell>
        </row>
        <row r="176">
          <cell r="A176" t="str">
            <v>žG/R</v>
          </cell>
          <cell r="B176" t="str">
            <v>Indikační svítidlo HDS-95/G/R</v>
          </cell>
          <cell r="C176" t="str">
            <v>Eleco</v>
          </cell>
          <cell r="D176">
            <v>119</v>
          </cell>
        </row>
        <row r="177">
          <cell r="A177" t="str">
            <v>žG230</v>
          </cell>
          <cell r="B177" t="str">
            <v>Indikační svítidlo HDS-95/G, 230 VAC</v>
          </cell>
          <cell r="C177" t="str">
            <v>Eleco</v>
          </cell>
          <cell r="D177">
            <v>119</v>
          </cell>
        </row>
        <row r="178">
          <cell r="A178" t="str">
            <v>žG24</v>
          </cell>
          <cell r="B178" t="str">
            <v>Indikační svítidlo HDS-95/G, 24 VDC</v>
          </cell>
          <cell r="C178" t="str">
            <v>Eleco</v>
          </cell>
          <cell r="D178">
            <v>119</v>
          </cell>
        </row>
        <row r="179">
          <cell r="A179" t="str">
            <v>žR</v>
          </cell>
          <cell r="B179" t="str">
            <v>Indikační svítidlo HDS-95/R</v>
          </cell>
          <cell r="C179" t="str">
            <v>Eleco</v>
          </cell>
          <cell r="D179">
            <v>119</v>
          </cell>
        </row>
        <row r="180">
          <cell r="A180" t="str">
            <v>T10stisk</v>
          </cell>
          <cell r="B180" t="str">
            <v>Stiskací hlavice černá T10A</v>
          </cell>
          <cell r="C180" t="str">
            <v>Groupe-Schneider</v>
          </cell>
          <cell r="D180">
            <v>54</v>
          </cell>
        </row>
        <row r="181">
          <cell r="A181" t="str">
            <v>T103pol</v>
          </cell>
          <cell r="B181" t="str">
            <v>Ovládací hlavice trojpolohová T10 B ČE</v>
          </cell>
          <cell r="C181" t="str">
            <v>Groupe-Schneider</v>
          </cell>
          <cell r="D181">
            <v>69</v>
          </cell>
        </row>
        <row r="182">
          <cell r="A182" t="str">
            <v>T102pol</v>
          </cell>
          <cell r="B182" t="str">
            <v xml:space="preserve">Ovládací hlavice dvojpolohová T10 G ČE </v>
          </cell>
          <cell r="C182" t="str">
            <v>Groupe-Schneider</v>
          </cell>
          <cell r="D182">
            <v>67</v>
          </cell>
        </row>
        <row r="183">
          <cell r="A183" t="str">
            <v>přepj</v>
          </cell>
          <cell r="B183" t="str">
            <v>Přepínací jednotka T10 Z 111 Z</v>
          </cell>
          <cell r="C183" t="str">
            <v>Groupe-Schneider</v>
          </cell>
          <cell r="D183">
            <v>51</v>
          </cell>
        </row>
        <row r="184">
          <cell r="A184" t="str">
            <v>spinj</v>
          </cell>
          <cell r="B184" t="str">
            <v>Spínací jednotka T10 Z 011 Y</v>
          </cell>
          <cell r="C184" t="str">
            <v>Groupe-Schneider</v>
          </cell>
          <cell r="D184">
            <v>43</v>
          </cell>
        </row>
        <row r="185">
          <cell r="A185" t="str">
            <v>spoj</v>
          </cell>
          <cell r="B185" t="str">
            <v>Spojovací díl T10 SD 3</v>
          </cell>
          <cell r="C185" t="str">
            <v>Groupe-Schneider</v>
          </cell>
          <cell r="D185">
            <v>5.5</v>
          </cell>
        </row>
        <row r="187">
          <cell r="A187" t="str">
            <v>hlvyp</v>
          </cell>
          <cell r="B187" t="str">
            <v xml:space="preserve">Hlavní vypínač 3f/16A </v>
          </cell>
          <cell r="C187" t="str">
            <v>Končar</v>
          </cell>
          <cell r="D187">
            <v>343</v>
          </cell>
        </row>
        <row r="194">
          <cell r="A194" t="str">
            <v>Hlj</v>
          </cell>
          <cell r="B194" t="str">
            <v>Hlavní jistič BA 51 - 37 s pom. cívkou</v>
          </cell>
          <cell r="C194" t="str">
            <v>OEZ Letohrad</v>
          </cell>
          <cell r="D194">
            <v>4000</v>
          </cell>
        </row>
        <row r="196">
          <cell r="A196" t="str">
            <v>MS2,5-4</v>
          </cell>
          <cell r="B196" t="str">
            <v>Motorový spouštěč 2,5-4 A</v>
          </cell>
          <cell r="C196" t="str">
            <v>Schrack</v>
          </cell>
          <cell r="D196">
            <v>850</v>
          </cell>
        </row>
        <row r="197">
          <cell r="A197" t="str">
            <v>MS4-6,3</v>
          </cell>
          <cell r="B197" t="str">
            <v>Motorový spouštěč 4-6,3 A</v>
          </cell>
          <cell r="C197" t="str">
            <v>Schrack</v>
          </cell>
          <cell r="D197">
            <v>850</v>
          </cell>
        </row>
        <row r="198">
          <cell r="A198" t="str">
            <v>MS6,3-10</v>
          </cell>
          <cell r="B198" t="str">
            <v>Motorový spouštěč 6,3-10</v>
          </cell>
          <cell r="C198" t="str">
            <v>Schrack</v>
          </cell>
          <cell r="D198">
            <v>850</v>
          </cell>
        </row>
        <row r="199">
          <cell r="A199" t="str">
            <v>MS25-40</v>
          </cell>
          <cell r="B199" t="str">
            <v>Motorový spouštěč 25-40</v>
          </cell>
          <cell r="C199" t="str">
            <v>Schrack</v>
          </cell>
          <cell r="D199">
            <v>900</v>
          </cell>
        </row>
        <row r="204">
          <cell r="A204" t="str">
            <v>j0,4</v>
          </cell>
          <cell r="B204" t="str">
            <v>Jednopólový jistič LSN 0,4A/K</v>
          </cell>
          <cell r="C204" t="str">
            <v>OEZ Letohrad</v>
          </cell>
          <cell r="D204">
            <v>200</v>
          </cell>
        </row>
        <row r="205">
          <cell r="A205" t="str">
            <v>j4</v>
          </cell>
          <cell r="B205" t="str">
            <v>Jednopólový jistič Schrack 4A/C</v>
          </cell>
          <cell r="C205" t="str">
            <v>Schrack</v>
          </cell>
          <cell r="D205">
            <v>121</v>
          </cell>
        </row>
        <row r="206">
          <cell r="A206" t="str">
            <v>j6</v>
          </cell>
          <cell r="B206" t="str">
            <v>Jednopólový jistič Schrack 6A/C</v>
          </cell>
          <cell r="C206" t="str">
            <v>Schrack</v>
          </cell>
          <cell r="D206">
            <v>108</v>
          </cell>
        </row>
        <row r="207">
          <cell r="A207" t="str">
            <v>j2x3</v>
          </cell>
          <cell r="B207" t="str">
            <v>Třípólový jistič Schrack 2A/C</v>
          </cell>
          <cell r="C207" t="str">
            <v>Schrack</v>
          </cell>
          <cell r="D207">
            <v>346</v>
          </cell>
        </row>
        <row r="208">
          <cell r="A208" t="str">
            <v>j4x3</v>
          </cell>
          <cell r="B208" t="str">
            <v>Třípólový jistič Schrack 4A/C</v>
          </cell>
          <cell r="C208" t="str">
            <v>Schrack</v>
          </cell>
          <cell r="D208">
            <v>346</v>
          </cell>
        </row>
        <row r="209">
          <cell r="A209" t="str">
            <v>j6x3</v>
          </cell>
          <cell r="B209" t="str">
            <v>Třípólový jistič Schrack 6A/C</v>
          </cell>
          <cell r="C209" t="str">
            <v>Schrack</v>
          </cell>
          <cell r="D209">
            <v>346</v>
          </cell>
        </row>
        <row r="210">
          <cell r="A210" t="str">
            <v>j16x3</v>
          </cell>
          <cell r="B210" t="str">
            <v>Třípólový jistič Schrack 16A/C</v>
          </cell>
          <cell r="C210" t="str">
            <v>Schrack</v>
          </cell>
          <cell r="D210">
            <v>346</v>
          </cell>
        </row>
        <row r="211">
          <cell r="A211" t="str">
            <v>j25x3</v>
          </cell>
          <cell r="B211" t="str">
            <v>Třípólový jistič Schrack 25A/C</v>
          </cell>
          <cell r="C211" t="str">
            <v>Schrack</v>
          </cell>
          <cell r="D211">
            <v>346</v>
          </cell>
        </row>
        <row r="212">
          <cell r="A212" t="str">
            <v>j25x3</v>
          </cell>
          <cell r="B212" t="str">
            <v>Třípólový jistič Schrack 25A/C</v>
          </cell>
          <cell r="C212" t="str">
            <v>Schrack</v>
          </cell>
          <cell r="D212">
            <v>346</v>
          </cell>
        </row>
        <row r="213">
          <cell r="A213" t="str">
            <v>pm</v>
          </cell>
          <cell r="B213" t="str">
            <v>Pomocný spínač BD-H1, 1Z+1R</v>
          </cell>
          <cell r="C213" t="str">
            <v>Schrack</v>
          </cell>
          <cell r="D213">
            <v>150</v>
          </cell>
        </row>
        <row r="214">
          <cell r="A214" t="str">
            <v>st</v>
          </cell>
          <cell r="B214" t="str">
            <v>Stykač 3.f. 24VAC/LC1/LLC2-K06</v>
          </cell>
          <cell r="C214" t="str">
            <v>Groupe-Schneider</v>
          </cell>
          <cell r="D214">
            <v>210</v>
          </cell>
        </row>
        <row r="215">
          <cell r="A215" t="str">
            <v>stht</v>
          </cell>
          <cell r="B215" t="str">
            <v>Stykačová kombinace K2Y 40 S 230</v>
          </cell>
          <cell r="C215" t="str">
            <v>Schrack</v>
          </cell>
          <cell r="D215">
            <v>3760</v>
          </cell>
        </row>
        <row r="216">
          <cell r="B216" t="str">
            <v>Pomocný spínač 1Z+1R</v>
          </cell>
          <cell r="C216" t="str">
            <v>Schrack</v>
          </cell>
          <cell r="D216">
            <v>150</v>
          </cell>
        </row>
        <row r="217">
          <cell r="A217" t="str">
            <v>r2p</v>
          </cell>
          <cell r="B217" t="str">
            <v>Relé 2.párové RT II/2 464 524 Schrack</v>
          </cell>
          <cell r="C217" t="str">
            <v>Schrack</v>
          </cell>
          <cell r="D217">
            <v>145</v>
          </cell>
        </row>
        <row r="218">
          <cell r="A218" t="str">
            <v>pr2p</v>
          </cell>
          <cell r="B218" t="str">
            <v>Patice 2.párové RP 78 625 Schrack</v>
          </cell>
          <cell r="C218" t="str">
            <v>Schrack</v>
          </cell>
          <cell r="D218">
            <v>120</v>
          </cell>
        </row>
        <row r="219">
          <cell r="A219" t="str">
            <v>čr</v>
          </cell>
          <cell r="B219" t="str">
            <v>Časové relé</v>
          </cell>
          <cell r="C219" t="str">
            <v>Schrack</v>
          </cell>
          <cell r="D219">
            <v>800</v>
          </cell>
        </row>
        <row r="220">
          <cell r="A220" t="str">
            <v>lim</v>
          </cell>
          <cell r="B220" t="str">
            <v>Limitér analogových signálů LT1-1a</v>
          </cell>
          <cell r="C220" t="str">
            <v>DA Ostrava</v>
          </cell>
          <cell r="D220">
            <v>1675</v>
          </cell>
        </row>
        <row r="221">
          <cell r="A221" t="str">
            <v>alert8.1</v>
          </cell>
          <cell r="B221" t="str">
            <v>40 07003 901001
Poruchová signalizace ALERT 8.1
barva červená</v>
          </cell>
          <cell r="C221" t="str">
            <v>ZPA Ekoreg
Ústí n/L</v>
          </cell>
          <cell r="D221">
            <v>2450</v>
          </cell>
        </row>
        <row r="222">
          <cell r="A222" t="str">
            <v>z3a</v>
          </cell>
          <cell r="B222" t="str">
            <v>Zdroj bezpečného napětí 230VAC/24VAC 75W</v>
          </cell>
          <cell r="C222" t="str">
            <v>Comel</v>
          </cell>
          <cell r="D222">
            <v>341</v>
          </cell>
        </row>
        <row r="223">
          <cell r="A223" t="str">
            <v>z4a</v>
          </cell>
          <cell r="B223" t="str">
            <v>Zdroj bezpečného napětí 230VAC/24VAC 100W</v>
          </cell>
          <cell r="C223" t="str">
            <v>Comel</v>
          </cell>
          <cell r="D223">
            <v>600</v>
          </cell>
        </row>
        <row r="224">
          <cell r="A224" t="str">
            <v>prOV100</v>
          </cell>
          <cell r="B224" t="str">
            <v>Převodník odporového signálu
typ GR - 00.01.42
vstup OV 100
výstup 4-20 mA</v>
          </cell>
          <cell r="C224" t="str">
            <v>Ekorex Lázně
Bohdaneč</v>
          </cell>
          <cell r="D224">
            <v>1400</v>
          </cell>
        </row>
        <row r="225">
          <cell r="A225" t="str">
            <v>prPt100</v>
          </cell>
          <cell r="B225" t="str">
            <v>Převodník pro Pt 100 na lištu DIN 
typ GP - 32.00.40
rozsah 0 až 400 stC
vstup Pt 100
výstup 4-20 mA</v>
          </cell>
          <cell r="C225" t="str">
            <v>Ekorex Lázně
Bohdaneč</v>
          </cell>
          <cell r="D225">
            <v>1400</v>
          </cell>
        </row>
        <row r="226">
          <cell r="A226" t="str">
            <v>z1a</v>
          </cell>
          <cell r="B226" t="str">
            <v>Stabilizovaný napájecí zdroj 230VAC/24VDC, 1A</v>
          </cell>
          <cell r="C226" t="str">
            <v>Axima</v>
          </cell>
          <cell r="D226">
            <v>1664</v>
          </cell>
        </row>
        <row r="227">
          <cell r="A227" t="str">
            <v>zs01</v>
          </cell>
          <cell r="B227" t="str">
            <v xml:space="preserve">Stabilizovaný zdroj ZS 01 230VAC/24VDC </v>
          </cell>
          <cell r="C227" t="str">
            <v>JSP
Nová Paka</v>
          </cell>
          <cell r="D227">
            <v>900</v>
          </cell>
        </row>
        <row r="228">
          <cell r="A228" t="str">
            <v>zs0110V</v>
          </cell>
          <cell r="B228" t="str">
            <v>Stabilizivaný zdroj ZS 01, 230 VAC/10 VDC</v>
          </cell>
          <cell r="C228" t="str">
            <v>JSP
Nová Paka</v>
          </cell>
          <cell r="D228">
            <v>900</v>
          </cell>
        </row>
        <row r="229">
          <cell r="A229" t="str">
            <v>zás</v>
          </cell>
          <cell r="B229" t="str">
            <v>Světelná zásuvka 230VAC/10A na DIN lištu</v>
          </cell>
          <cell r="C229" t="str">
            <v>Comel</v>
          </cell>
          <cell r="D229">
            <v>125</v>
          </cell>
        </row>
        <row r="230">
          <cell r="A230" t="str">
            <v>Osv</v>
          </cell>
          <cell r="B230" t="str">
            <v>Osvětlení</v>
          </cell>
          <cell r="C230" t="str">
            <v>ostatní</v>
          </cell>
          <cell r="D230">
            <v>1800</v>
          </cell>
        </row>
        <row r="231">
          <cell r="A231" t="str">
            <v xml:space="preserve">elměr </v>
          </cell>
          <cell r="B231" t="str">
            <v>Elektroměr třífázový, CEr15467</v>
          </cell>
          <cell r="C231" t="str">
            <v>Merlin&amp;G</v>
          </cell>
          <cell r="D231">
            <v>4470</v>
          </cell>
        </row>
        <row r="232">
          <cell r="A232" t="str">
            <v>krel</v>
          </cell>
          <cell r="B232" t="str">
            <v>Krabice Schiller vč. těsnění pro elektroměr</v>
          </cell>
          <cell r="C232" t="str">
            <v>Elektram</v>
          </cell>
          <cell r="D232">
            <v>340</v>
          </cell>
        </row>
        <row r="233">
          <cell r="A233" t="str">
            <v>ptr</v>
          </cell>
          <cell r="B233" t="str">
            <v>Proudový transformátor 50/5 A, 15577</v>
          </cell>
          <cell r="C233" t="str">
            <v>Merlin&amp;G</v>
          </cell>
          <cell r="D233">
            <v>448</v>
          </cell>
        </row>
        <row r="235">
          <cell r="A235" t="str">
            <v>dtr</v>
          </cell>
          <cell r="B235" t="str">
            <v>Přepěťová ochrana na datové vedení DTR1/12</v>
          </cell>
          <cell r="C235" t="str">
            <v>HAKEL</v>
          </cell>
          <cell r="D235">
            <v>1200</v>
          </cell>
        </row>
        <row r="236">
          <cell r="A236" t="str">
            <v>pik</v>
          </cell>
          <cell r="B236" t="str">
            <v>Přepěťová ochrana s vf. Filtrem PI-K4</v>
          </cell>
          <cell r="C236" t="str">
            <v>HAKEL</v>
          </cell>
          <cell r="D236">
            <v>2500</v>
          </cell>
        </row>
        <row r="237">
          <cell r="A237" t="str">
            <v>pIII/1</v>
          </cell>
          <cell r="B237" t="str">
            <v>Přepěťová ochrana PIII/1</v>
          </cell>
          <cell r="C237" t="str">
            <v>HAKEL</v>
          </cell>
          <cell r="D237">
            <v>2100</v>
          </cell>
        </row>
        <row r="238">
          <cell r="A238" t="str">
            <v>PIL</v>
          </cell>
          <cell r="B238" t="str">
            <v>Oddělovací impedance PI-L</v>
          </cell>
          <cell r="C238" t="str">
            <v>HAKEL</v>
          </cell>
          <cell r="D238">
            <v>800</v>
          </cell>
        </row>
        <row r="239">
          <cell r="A239" t="str">
            <v>š50</v>
          </cell>
          <cell r="B239" t="str">
            <v>Štítek plast 50x105 mm</v>
          </cell>
          <cell r="C239" t="str">
            <v>ostatní</v>
          </cell>
          <cell r="D239">
            <v>45</v>
          </cell>
        </row>
        <row r="240">
          <cell r="A240" t="str">
            <v>š10</v>
          </cell>
          <cell r="B240" t="str">
            <v>Štítek plast 10x50 mm</v>
          </cell>
          <cell r="C240" t="str">
            <v>ostatní</v>
          </cell>
          <cell r="D240">
            <v>15</v>
          </cell>
        </row>
        <row r="241">
          <cell r="A241" t="str">
            <v>vod</v>
          </cell>
          <cell r="B241" t="str">
            <v>Vodiče rozvaděče</v>
          </cell>
          <cell r="C241" t="str">
            <v>ostatní</v>
          </cell>
          <cell r="D241">
            <v>8</v>
          </cell>
        </row>
        <row r="242">
          <cell r="A242" t="str">
            <v>ost</v>
          </cell>
          <cell r="B242" t="str">
            <v>Ostatní materiál</v>
          </cell>
          <cell r="C242" t="str">
            <v>ostatní</v>
          </cell>
          <cell r="D242">
            <v>400</v>
          </cell>
        </row>
        <row r="243">
          <cell r="A243" t="str">
            <v>mont</v>
          </cell>
          <cell r="B243" t="str">
            <v>Montáž rozvaděče</v>
          </cell>
          <cell r="C243" t="str">
            <v>Energie MaR</v>
          </cell>
          <cell r="D243">
            <v>150</v>
          </cell>
        </row>
        <row r="245">
          <cell r="B245" t="str">
            <v>Řídící systém</v>
          </cell>
        </row>
        <row r="246">
          <cell r="A246" t="str">
            <v>ns950ram6</v>
          </cell>
          <cell r="B246" t="str">
            <v>Rozšiřovací rám pro 6 pozic RM-13</v>
          </cell>
          <cell r="C246" t="str">
            <v>Teco</v>
          </cell>
          <cell r="D246">
            <v>4550</v>
          </cell>
        </row>
        <row r="247">
          <cell r="A247" t="str">
            <v>ns950kryt</v>
          </cell>
          <cell r="B247" t="str">
            <v>Kryt prázdné pozice DUM-02</v>
          </cell>
          <cell r="C247" t="str">
            <v>Teco</v>
          </cell>
          <cell r="D247">
            <v>105</v>
          </cell>
        </row>
        <row r="248">
          <cell r="A248" t="str">
            <v>ns950zdroj</v>
          </cell>
          <cell r="B248" t="str">
            <v>Napájecí zdroj  AC-60W/230</v>
          </cell>
          <cell r="C248" t="str">
            <v>Teco</v>
          </cell>
          <cell r="D248">
            <v>5750</v>
          </cell>
        </row>
        <row r="249">
          <cell r="A249" t="str">
            <v>ns950CPM-1D</v>
          </cell>
          <cell r="B249" t="str">
            <v>Centrální jednotka CPM-1D</v>
          </cell>
          <cell r="C249" t="str">
            <v>Teco</v>
          </cell>
          <cell r="D249">
            <v>18900</v>
          </cell>
        </row>
        <row r="250">
          <cell r="A250" t="str">
            <v>ns950eeprom32</v>
          </cell>
          <cell r="B250" t="str">
            <v>Paměť EEPROM 32 kB</v>
          </cell>
          <cell r="C250" t="str">
            <v>Teco</v>
          </cell>
          <cell r="D250">
            <v>490</v>
          </cell>
        </row>
        <row r="251">
          <cell r="A251" t="str">
            <v>ns950</v>
          </cell>
          <cell r="B251" t="str">
            <v>Přídavná jednotka SC-11, rozšíř. sériové kanály</v>
          </cell>
          <cell r="C251" t="str">
            <v>Teco</v>
          </cell>
          <cell r="D251">
            <v>5450</v>
          </cell>
        </row>
        <row r="252">
          <cell r="A252" t="str">
            <v>ns950mr04</v>
          </cell>
          <cell r="B252" t="str">
            <v>Sériové rozhraní MR-04 RS 485 PIGGYBACK</v>
          </cell>
          <cell r="C252" t="str">
            <v>Teco</v>
          </cell>
          <cell r="D252">
            <v>480</v>
          </cell>
        </row>
        <row r="253">
          <cell r="A253" t="str">
            <v>ns950IB48</v>
          </cell>
          <cell r="B253" t="str">
            <v>Vstupní binární jednotka IB-48</v>
          </cell>
          <cell r="C253" t="str">
            <v>Teco</v>
          </cell>
          <cell r="D253">
            <v>7250</v>
          </cell>
        </row>
        <row r="254">
          <cell r="A254" t="str">
            <v>ns950OS27</v>
          </cell>
          <cell r="B254" t="str">
            <v>Výstupní binární jednotka OS-27</v>
          </cell>
          <cell r="C254" t="str">
            <v>Teco</v>
          </cell>
          <cell r="D254">
            <v>9450</v>
          </cell>
        </row>
        <row r="255">
          <cell r="A255" t="str">
            <v>ns950IT04</v>
          </cell>
          <cell r="B255" t="str">
            <v>Analogová jednotka IT-04</v>
          </cell>
          <cell r="C255" t="str">
            <v>Teco</v>
          </cell>
          <cell r="D255">
            <v>12770</v>
          </cell>
        </row>
        <row r="256">
          <cell r="A256" t="str">
            <v>ns950IT15</v>
          </cell>
          <cell r="B256" t="str">
            <v>Analogová jednotka IT-15</v>
          </cell>
          <cell r="C256" t="str">
            <v>Teco</v>
          </cell>
          <cell r="D256">
            <v>7200</v>
          </cell>
        </row>
        <row r="257">
          <cell r="A257" t="str">
            <v>ns950XL45</v>
          </cell>
          <cell r="B257" t="str">
            <v>Externí svorkovnice XL-45</v>
          </cell>
          <cell r="C257" t="str">
            <v>Teco</v>
          </cell>
          <cell r="D257">
            <v>940</v>
          </cell>
        </row>
        <row r="258">
          <cell r="A258" t="str">
            <v>ns950XL45kab</v>
          </cell>
          <cell r="B258" t="str">
            <v>Kabel spojení XL-45..IB48, OS-27, 3m</v>
          </cell>
          <cell r="C258" t="str">
            <v>Teco</v>
          </cell>
          <cell r="D258">
            <v>1350</v>
          </cell>
        </row>
        <row r="259">
          <cell r="A259" t="str">
            <v>ID04</v>
          </cell>
          <cell r="B259" t="str">
            <v>Operátorský panel ID-04, LCD 4x20, RS-232</v>
          </cell>
          <cell r="C259" t="str">
            <v>Teco</v>
          </cell>
          <cell r="D259">
            <v>6900</v>
          </cell>
        </row>
        <row r="260">
          <cell r="A260" t="str">
            <v>ID04kab</v>
          </cell>
          <cell r="B260" t="str">
            <v>Kabel pro ID-04</v>
          </cell>
          <cell r="C260" t="str">
            <v>Teco</v>
          </cell>
          <cell r="D260">
            <v>950</v>
          </cell>
        </row>
        <row r="261">
          <cell r="A261" t="str">
            <v>NS950PCkab</v>
          </cell>
          <cell r="B261" t="str">
            <v xml:space="preserve">Kabel pro komunikaci </v>
          </cell>
          <cell r="C261" t="str">
            <v>Teco</v>
          </cell>
          <cell r="D261">
            <v>980</v>
          </cell>
        </row>
        <row r="262">
          <cell r="A262" t="str">
            <v>PS25/24</v>
          </cell>
          <cell r="B262" t="str">
            <v>Napájecí zdroj  PS-25/24, 230 VAC/24 VDC, 1 A</v>
          </cell>
          <cell r="C262" t="str">
            <v>Teco</v>
          </cell>
          <cell r="D262">
            <v>1680</v>
          </cell>
        </row>
        <row r="264">
          <cell r="A264" t="str">
            <v>dx2</v>
          </cell>
          <cell r="B264" t="str">
            <v>Regulátor DX 9100 - 8454</v>
          </cell>
          <cell r="C264" t="str">
            <v>Johnson 
Controls</v>
          </cell>
          <cell r="D264">
            <v>47403</v>
          </cell>
        </row>
        <row r="265">
          <cell r="A265" t="str">
            <v>dx2ms</v>
          </cell>
          <cell r="B265" t="str">
            <v>Montážní souprava do panelu</v>
          </cell>
          <cell r="C265" t="str">
            <v>Johnson 
Controls</v>
          </cell>
          <cell r="D265">
            <v>5887</v>
          </cell>
        </row>
        <row r="266">
          <cell r="A266" t="str">
            <v>dxlcd</v>
          </cell>
          <cell r="B266" t="str">
            <v>DX LCD Displej - DT-9100-8004</v>
          </cell>
          <cell r="C266" t="str">
            <v>Johnson 
Controls</v>
          </cell>
          <cell r="D266">
            <v>28000</v>
          </cell>
        </row>
        <row r="267">
          <cell r="B267" t="str">
            <v>Rokytnice</v>
          </cell>
        </row>
        <row r="277">
          <cell r="A277" t="str">
            <v>řs204</v>
          </cell>
          <cell r="B277" t="str">
            <v>Regulátor TR 204</v>
          </cell>
          <cell r="C277" t="str">
            <v>Tecont</v>
          </cell>
          <cell r="D277">
            <v>26500</v>
          </cell>
        </row>
        <row r="278">
          <cell r="A278" t="str">
            <v>řs201</v>
          </cell>
          <cell r="B278" t="str">
            <v>Regulátor TR 201</v>
          </cell>
          <cell r="C278" t="str">
            <v>Tecont</v>
          </cell>
          <cell r="D278">
            <v>19500</v>
          </cell>
        </row>
        <row r="279">
          <cell r="A279" t="str">
            <v>řs203</v>
          </cell>
          <cell r="B279" t="str">
            <v>Regulátor TR 203</v>
          </cell>
          <cell r="C279" t="str">
            <v>Tecont</v>
          </cell>
          <cell r="D279">
            <v>23500</v>
          </cell>
        </row>
        <row r="281">
          <cell r="B281" t="str">
            <v>Software</v>
          </cell>
        </row>
        <row r="282">
          <cell r="A282" t="str">
            <v>řs204sw</v>
          </cell>
          <cell r="B282" t="str">
            <v>Software pro TR204</v>
          </cell>
          <cell r="C282" t="str">
            <v>Energie MaR</v>
          </cell>
          <cell r="D282">
            <v>14000</v>
          </cell>
        </row>
        <row r="283">
          <cell r="A283" t="str">
            <v>řs202sw</v>
          </cell>
          <cell r="B283" t="str">
            <v>Software pro TR202</v>
          </cell>
          <cell r="C283" t="str">
            <v>Energie MaR</v>
          </cell>
          <cell r="D283">
            <v>4400</v>
          </cell>
        </row>
        <row r="284">
          <cell r="A284" t="str">
            <v>řs203sw</v>
          </cell>
          <cell r="B284" t="str">
            <v>Software pro TR203</v>
          </cell>
          <cell r="C284" t="str">
            <v>Energie MaR</v>
          </cell>
          <cell r="D284">
            <v>5600</v>
          </cell>
        </row>
        <row r="285">
          <cell r="A285" t="str">
            <v>řs201swSTO</v>
          </cell>
          <cell r="B285" t="str">
            <v>Software pro TR201</v>
          </cell>
          <cell r="C285" t="str">
            <v>Energie MaR</v>
          </cell>
          <cell r="D285">
            <v>4200</v>
          </cell>
        </row>
        <row r="286">
          <cell r="A286" t="str">
            <v>řs203swSTO+VRS</v>
          </cell>
          <cell r="B286" t="str">
            <v>Software pro TR203</v>
          </cell>
          <cell r="C286" t="str">
            <v>Energie MaR</v>
          </cell>
          <cell r="D286">
            <v>5200</v>
          </cell>
        </row>
        <row r="287">
          <cell r="A287" t="str">
            <v>NS950SW</v>
          </cell>
          <cell r="B287" t="str">
            <v>Software pro NS 950</v>
          </cell>
          <cell r="C287" t="str">
            <v>Energie MaR</v>
          </cell>
          <cell r="D287">
            <v>39000</v>
          </cell>
        </row>
        <row r="288">
          <cell r="A288" t="str">
            <v>DX</v>
          </cell>
          <cell r="B288" t="str">
            <v>Software pro DX 9100</v>
          </cell>
          <cell r="C288" t="str">
            <v>Energie MaR</v>
          </cell>
          <cell r="D288">
            <v>18000</v>
          </cell>
        </row>
        <row r="289">
          <cell r="A289" t="str">
            <v>dt</v>
          </cell>
          <cell r="B289" t="str">
            <v>Software pro DT 9100</v>
          </cell>
          <cell r="C289" t="str">
            <v>Energie MaR</v>
          </cell>
          <cell r="D289">
            <v>6000</v>
          </cell>
        </row>
        <row r="291">
          <cell r="B291" t="str">
            <v>Spojovací části</v>
          </cell>
        </row>
        <row r="292">
          <cell r="A292" t="str">
            <v>jq2x08</v>
          </cell>
          <cell r="B292" t="str">
            <v>JQTQ 2x0,8</v>
          </cell>
          <cell r="C292" t="str">
            <v>Elektram/kab</v>
          </cell>
          <cell r="D292">
            <v>10.7</v>
          </cell>
          <cell r="E292">
            <v>2.5</v>
          </cell>
        </row>
        <row r="293">
          <cell r="A293" t="str">
            <v>jq4x08</v>
          </cell>
          <cell r="B293" t="str">
            <v>JQTQ 4x0,8</v>
          </cell>
          <cell r="C293" t="str">
            <v>Elektram/kab</v>
          </cell>
          <cell r="D293">
            <v>15.7</v>
          </cell>
          <cell r="E293">
            <v>2.5</v>
          </cell>
        </row>
        <row r="294">
          <cell r="A294" t="str">
            <v>j4</v>
          </cell>
          <cell r="B294" t="str">
            <v>JYTY 4x1</v>
          </cell>
          <cell r="C294" t="str">
            <v>Elektram/kab</v>
          </cell>
          <cell r="D294">
            <v>16.100000000000001</v>
          </cell>
          <cell r="E294">
            <v>2.5</v>
          </cell>
        </row>
        <row r="295">
          <cell r="A295" t="str">
            <v>j7</v>
          </cell>
          <cell r="B295" t="str">
            <v>JYTY 7x1</v>
          </cell>
          <cell r="C295" t="str">
            <v>Elektram/kab</v>
          </cell>
          <cell r="D295">
            <v>23.6</v>
          </cell>
          <cell r="E295">
            <v>2.5</v>
          </cell>
        </row>
        <row r="296">
          <cell r="A296" t="str">
            <v>cs2x1d</v>
          </cell>
          <cell r="B296" t="str">
            <v>CYSY 2x1D</v>
          </cell>
          <cell r="C296" t="str">
            <v>Elektram/kab</v>
          </cell>
          <cell r="D296">
            <v>6.5</v>
          </cell>
          <cell r="E296">
            <v>2.5</v>
          </cell>
        </row>
        <row r="297">
          <cell r="A297" t="str">
            <v>cs2x1a</v>
          </cell>
          <cell r="B297" t="str">
            <v>CYSY 2x1A</v>
          </cell>
          <cell r="C297" t="str">
            <v>Elektram/kab</v>
          </cell>
          <cell r="D297">
            <v>6.5</v>
          </cell>
          <cell r="E297">
            <v>2.5</v>
          </cell>
        </row>
        <row r="298">
          <cell r="A298" t="str">
            <v>cs3x1a</v>
          </cell>
          <cell r="B298" t="str">
            <v>CYSY 3x1A</v>
          </cell>
          <cell r="C298" t="str">
            <v>Elektram/kab</v>
          </cell>
          <cell r="D298">
            <v>8.5</v>
          </cell>
          <cell r="E298">
            <v>2.5</v>
          </cell>
        </row>
        <row r="299">
          <cell r="A299" t="str">
            <v>cs3x1c</v>
          </cell>
          <cell r="B299" t="str">
            <v>CYSY 3x1C</v>
          </cell>
          <cell r="C299" t="str">
            <v>Elektram/kab</v>
          </cell>
          <cell r="D299">
            <v>8.1999999999999993</v>
          </cell>
          <cell r="E299">
            <v>2.5</v>
          </cell>
        </row>
        <row r="300">
          <cell r="A300" t="str">
            <v>cs4x1b</v>
          </cell>
          <cell r="B300" t="str">
            <v>CYSY 4x1B</v>
          </cell>
          <cell r="C300" t="str">
            <v>Elektram/kab</v>
          </cell>
          <cell r="D300">
            <v>10.199999999999999</v>
          </cell>
          <cell r="E300">
            <v>2.5</v>
          </cell>
        </row>
        <row r="301">
          <cell r="A301" t="str">
            <v>cs4x1c</v>
          </cell>
          <cell r="B301" t="str">
            <v>CYSY 4x1C</v>
          </cell>
          <cell r="C301" t="str">
            <v>Elektram/kab</v>
          </cell>
          <cell r="D301">
            <v>10.199999999999999</v>
          </cell>
          <cell r="E301">
            <v>3.5</v>
          </cell>
        </row>
        <row r="302">
          <cell r="A302" t="str">
            <v>cs4x1d</v>
          </cell>
          <cell r="B302" t="str">
            <v>CYSY 4x1D</v>
          </cell>
          <cell r="C302" t="str">
            <v>Elektram/kab</v>
          </cell>
          <cell r="D302">
            <v>10.199999999999999</v>
          </cell>
          <cell r="E302">
            <v>2.5</v>
          </cell>
        </row>
        <row r="304">
          <cell r="A304" t="str">
            <v>cs5x1c</v>
          </cell>
          <cell r="B304" t="str">
            <v>CYSY 5x1C</v>
          </cell>
          <cell r="C304" t="str">
            <v>Elektram/kab</v>
          </cell>
          <cell r="D304">
            <v>13</v>
          </cell>
          <cell r="E304">
            <v>2.5</v>
          </cell>
        </row>
        <row r="305">
          <cell r="A305" t="str">
            <v>cs7x1c</v>
          </cell>
          <cell r="B305" t="str">
            <v>CYSY 7x1C</v>
          </cell>
          <cell r="C305" t="str">
            <v>Elektram/kab</v>
          </cell>
          <cell r="D305">
            <v>16.5</v>
          </cell>
          <cell r="E305">
            <v>2.5</v>
          </cell>
        </row>
        <row r="306">
          <cell r="A306" t="str">
            <v>c3x1c</v>
          </cell>
          <cell r="B306" t="str">
            <v>CYKY 3x1,5C</v>
          </cell>
          <cell r="C306" t="str">
            <v>Elektram/kab</v>
          </cell>
          <cell r="D306">
            <v>8.5</v>
          </cell>
          <cell r="E306">
            <v>2.5</v>
          </cell>
        </row>
        <row r="307">
          <cell r="A307" t="str">
            <v>c4x1b</v>
          </cell>
          <cell r="B307" t="str">
            <v>CYKY 4x1,5B</v>
          </cell>
          <cell r="C307" t="str">
            <v>Elektram/kab</v>
          </cell>
          <cell r="D307">
            <v>10.6</v>
          </cell>
          <cell r="E307">
            <v>2.5</v>
          </cell>
        </row>
        <row r="308">
          <cell r="A308" t="str">
            <v>c7x1c</v>
          </cell>
          <cell r="B308" t="str">
            <v>CYKY 7x1,5C</v>
          </cell>
          <cell r="C308" t="str">
            <v>Elektram/kab</v>
          </cell>
          <cell r="D308">
            <v>17.2</v>
          </cell>
          <cell r="E308">
            <v>2.5</v>
          </cell>
        </row>
        <row r="309">
          <cell r="A309" t="str">
            <v>c19x1c</v>
          </cell>
          <cell r="B309" t="str">
            <v>CYKY 19x1,5C</v>
          </cell>
          <cell r="C309" t="str">
            <v>Elektram/kab</v>
          </cell>
          <cell r="D309">
            <v>50.4</v>
          </cell>
          <cell r="E309">
            <v>2.5</v>
          </cell>
        </row>
        <row r="310">
          <cell r="A310" t="str">
            <v>c5x2,5c</v>
          </cell>
          <cell r="B310" t="str">
            <v>CYKY 5x2,5C</v>
          </cell>
          <cell r="C310" t="str">
            <v>Elektram/kab</v>
          </cell>
          <cell r="D310">
            <v>20</v>
          </cell>
          <cell r="E310">
            <v>2.5</v>
          </cell>
        </row>
        <row r="311">
          <cell r="A311" t="str">
            <v>c4x6b</v>
          </cell>
          <cell r="B311" t="str">
            <v>CYKY 4x6B</v>
          </cell>
          <cell r="C311" t="str">
            <v>Elektram/kab</v>
          </cell>
          <cell r="D311">
            <v>34</v>
          </cell>
          <cell r="E311">
            <v>2.5</v>
          </cell>
        </row>
        <row r="313">
          <cell r="A313" t="str">
            <v>sy</v>
          </cell>
          <cell r="B313" t="str">
            <v>SYKFY 5x2x0,5</v>
          </cell>
          <cell r="C313" t="str">
            <v>Elektram/kab</v>
          </cell>
          <cell r="D313">
            <v>8.3000000000000007</v>
          </cell>
          <cell r="E313">
            <v>2.5</v>
          </cell>
        </row>
        <row r="314">
          <cell r="A314" t="str">
            <v>uk4</v>
          </cell>
          <cell r="B314" t="str">
            <v>Ukončení kabelu do 4x4mm2</v>
          </cell>
          <cell r="C314" t="str">
            <v>Energie MaR</v>
          </cell>
          <cell r="D314">
            <v>0</v>
          </cell>
          <cell r="E314">
            <v>13.2</v>
          </cell>
        </row>
        <row r="315">
          <cell r="A315" t="str">
            <v>uk5</v>
          </cell>
          <cell r="B315" t="str">
            <v>Ukončení kabelu do 5x4mm2</v>
          </cell>
          <cell r="C315" t="str">
            <v>Energie MaR</v>
          </cell>
          <cell r="D315">
            <v>0</v>
          </cell>
          <cell r="E315">
            <v>19.8</v>
          </cell>
        </row>
        <row r="316">
          <cell r="A316" t="str">
            <v>uk7</v>
          </cell>
          <cell r="B316" t="str">
            <v>Ukončení kabelu do 7x4mm3</v>
          </cell>
          <cell r="C316" t="str">
            <v>Energie MaR</v>
          </cell>
          <cell r="D316">
            <v>0</v>
          </cell>
          <cell r="E316">
            <v>25</v>
          </cell>
        </row>
        <row r="317">
          <cell r="A317" t="str">
            <v>uk19</v>
          </cell>
          <cell r="B317" t="str">
            <v>Ukončení kabelu do 19x4mm4</v>
          </cell>
          <cell r="C317" t="str">
            <v>Energie MaR</v>
          </cell>
          <cell r="D317">
            <v>0</v>
          </cell>
          <cell r="E317">
            <v>48</v>
          </cell>
        </row>
        <row r="318">
          <cell r="A318" t="str">
            <v>ukst4</v>
          </cell>
          <cell r="B318" t="str">
            <v>Ukončení stíněného kabelu do 4x1mm2</v>
          </cell>
          <cell r="C318" t="str">
            <v>Energie MaR</v>
          </cell>
          <cell r="D318">
            <v>0</v>
          </cell>
          <cell r="E318">
            <v>32</v>
          </cell>
        </row>
        <row r="319">
          <cell r="A319" t="str">
            <v>žl250x100</v>
          </cell>
          <cell r="B319" t="str">
            <v>Kabelový žlab 250x100 vč. víka</v>
          </cell>
          <cell r="C319" t="str">
            <v>Elektram</v>
          </cell>
          <cell r="D319">
            <v>320</v>
          </cell>
          <cell r="E319">
            <v>46.6</v>
          </cell>
        </row>
        <row r="320">
          <cell r="A320" t="str">
            <v>kžl250x100</v>
          </cell>
          <cell r="B320" t="str">
            <v>Koleno kabelového žlabu 250x100 vč. víka</v>
          </cell>
          <cell r="C320" t="str">
            <v>Elektram</v>
          </cell>
          <cell r="D320">
            <v>270</v>
          </cell>
          <cell r="E320">
            <v>30.5</v>
          </cell>
        </row>
        <row r="321">
          <cell r="A321" t="str">
            <v>tžl250x100</v>
          </cell>
          <cell r="B321" t="str">
            <v>T kus kab. žlabu250x100 vč. víka</v>
          </cell>
          <cell r="C321" t="str">
            <v>Elektram</v>
          </cell>
          <cell r="D321">
            <v>410</v>
          </cell>
          <cell r="E321">
            <v>30.5</v>
          </cell>
        </row>
        <row r="322">
          <cell r="A322" t="str">
            <v>nž250</v>
          </cell>
          <cell r="B322" t="str">
            <v>Nosník kabelového žlabu 250</v>
          </cell>
          <cell r="C322" t="str">
            <v>Elektram</v>
          </cell>
          <cell r="D322">
            <v>37</v>
          </cell>
          <cell r="E322">
            <v>0</v>
          </cell>
        </row>
        <row r="323">
          <cell r="A323" t="str">
            <v>žl125x100</v>
          </cell>
          <cell r="B323" t="str">
            <v>Kabelový žlab 125x100 vč. víka</v>
          </cell>
          <cell r="C323" t="str">
            <v>Elektram</v>
          </cell>
          <cell r="D323">
            <v>180</v>
          </cell>
          <cell r="E323">
            <v>46.6</v>
          </cell>
        </row>
        <row r="324">
          <cell r="A324" t="str">
            <v>kžl125x100</v>
          </cell>
          <cell r="B324" t="str">
            <v>Koleno kabelového žlabu 125x100 vč. víka</v>
          </cell>
          <cell r="C324" t="str">
            <v>Elektram</v>
          </cell>
          <cell r="D324">
            <v>190</v>
          </cell>
          <cell r="E324">
            <v>30.5</v>
          </cell>
        </row>
        <row r="325">
          <cell r="A325" t="str">
            <v>tžl125x100</v>
          </cell>
          <cell r="B325" t="str">
            <v>T kus kab. žlabu125x100 vč. víka</v>
          </cell>
          <cell r="C325" t="str">
            <v>Elektram</v>
          </cell>
          <cell r="D325">
            <v>195</v>
          </cell>
          <cell r="E325">
            <v>30.5</v>
          </cell>
        </row>
        <row r="326">
          <cell r="A326" t="str">
            <v>žl125</v>
          </cell>
          <cell r="B326" t="str">
            <v>Kabelový žlab 125x50 vč. víka</v>
          </cell>
          <cell r="C326" t="str">
            <v>Elektram</v>
          </cell>
          <cell r="D326">
            <v>155</v>
          </cell>
          <cell r="E326">
            <v>46.6</v>
          </cell>
        </row>
        <row r="327">
          <cell r="A327" t="str">
            <v>kžl125</v>
          </cell>
          <cell r="B327" t="str">
            <v>Koleno kabelového žlabu 125x50 vč. víka</v>
          </cell>
          <cell r="C327" t="str">
            <v>Elektram</v>
          </cell>
          <cell r="D327">
            <v>175</v>
          </cell>
          <cell r="E327">
            <v>30.5</v>
          </cell>
        </row>
        <row r="328">
          <cell r="A328" t="str">
            <v>tžl125</v>
          </cell>
          <cell r="B328" t="str">
            <v>T kus kab. žlabu125x50 vč. víka</v>
          </cell>
          <cell r="C328" t="str">
            <v>Elektram</v>
          </cell>
          <cell r="D328">
            <v>182</v>
          </cell>
          <cell r="E328">
            <v>30.5</v>
          </cell>
        </row>
        <row r="329">
          <cell r="A329" t="str">
            <v>nž125</v>
          </cell>
          <cell r="B329" t="str">
            <v>Nosník kabelového žlabu 125</v>
          </cell>
          <cell r="C329" t="str">
            <v>Elektram</v>
          </cell>
          <cell r="D329">
            <v>31</v>
          </cell>
          <cell r="E329">
            <v>0</v>
          </cell>
        </row>
        <row r="330">
          <cell r="A330" t="str">
            <v>sžl100</v>
          </cell>
          <cell r="B330" t="str">
            <v>Spojka kabelového žlabu 100</v>
          </cell>
          <cell r="C330" t="str">
            <v>Elektram</v>
          </cell>
          <cell r="D330">
            <v>4.5999999999999996</v>
          </cell>
          <cell r="E330">
            <v>0</v>
          </cell>
        </row>
        <row r="331">
          <cell r="A331" t="str">
            <v>žl50</v>
          </cell>
          <cell r="B331" t="str">
            <v>Kabelový žlab 62x50 vč. víka</v>
          </cell>
          <cell r="C331" t="str">
            <v>Elektram</v>
          </cell>
          <cell r="D331">
            <v>105</v>
          </cell>
          <cell r="E331">
            <v>46.6</v>
          </cell>
        </row>
        <row r="332">
          <cell r="A332" t="str">
            <v>kžl50</v>
          </cell>
          <cell r="B332" t="str">
            <v>Koleno kabelového žlabu 62x50 vč. víka</v>
          </cell>
          <cell r="C332" t="str">
            <v>Elektram</v>
          </cell>
          <cell r="D332">
            <v>137</v>
          </cell>
          <cell r="E332">
            <v>30.5</v>
          </cell>
        </row>
        <row r="333">
          <cell r="A333" t="str">
            <v>tžl50</v>
          </cell>
          <cell r="B333" t="str">
            <v>T kus kab. žlabu 62x50 vč. víka</v>
          </cell>
          <cell r="C333" t="str">
            <v>Elektram</v>
          </cell>
          <cell r="D333">
            <v>145.9</v>
          </cell>
          <cell r="E333">
            <v>30.5</v>
          </cell>
        </row>
        <row r="334">
          <cell r="A334" t="str">
            <v>nž62</v>
          </cell>
          <cell r="B334" t="str">
            <v>Nosník kabelového žlabu 62</v>
          </cell>
          <cell r="C334" t="str">
            <v>Elektram</v>
          </cell>
          <cell r="D334">
            <v>15.6</v>
          </cell>
          <cell r="E334">
            <v>0</v>
          </cell>
        </row>
        <row r="335">
          <cell r="A335" t="str">
            <v>sžl62</v>
          </cell>
          <cell r="B335" t="str">
            <v>Spojka kabelového žlabu 62</v>
          </cell>
          <cell r="C335" t="str">
            <v>Elektram</v>
          </cell>
          <cell r="D335">
            <v>2.4</v>
          </cell>
          <cell r="E335">
            <v>0</v>
          </cell>
        </row>
        <row r="336">
          <cell r="A336" t="str">
            <v>PVC16x16</v>
          </cell>
          <cell r="B336" t="str">
            <v>Lišta PVC 16x16 vč. víka</v>
          </cell>
          <cell r="C336" t="str">
            <v>Elektram</v>
          </cell>
          <cell r="D336">
            <v>11</v>
          </cell>
          <cell r="E336">
            <v>6</v>
          </cell>
        </row>
        <row r="337">
          <cell r="A337" t="str">
            <v>PVC40x20</v>
          </cell>
          <cell r="B337" t="str">
            <v>Lišta PVC 40x20 vč. víka</v>
          </cell>
          <cell r="C337" t="str">
            <v>Elektram</v>
          </cell>
          <cell r="D337">
            <v>20</v>
          </cell>
          <cell r="E337">
            <v>7</v>
          </cell>
        </row>
        <row r="338">
          <cell r="A338" t="str">
            <v>PVC40x40</v>
          </cell>
          <cell r="B338" t="str">
            <v>Lišta PVC 40x40 vč. víka</v>
          </cell>
          <cell r="C338" t="str">
            <v>Elektram</v>
          </cell>
          <cell r="D338">
            <v>33</v>
          </cell>
          <cell r="E338">
            <v>8</v>
          </cell>
        </row>
        <row r="339">
          <cell r="A339" t="str">
            <v>PZ13</v>
          </cell>
          <cell r="B339" t="str">
            <v>Pancéřová trubka PZ 13,5</v>
          </cell>
          <cell r="C339" t="str">
            <v>Elektram</v>
          </cell>
          <cell r="D339">
            <v>26.5</v>
          </cell>
          <cell r="E339">
            <v>4.8</v>
          </cell>
        </row>
        <row r="340">
          <cell r="A340" t="str">
            <v>PZ16</v>
          </cell>
          <cell r="B340" t="str">
            <v>Pancéřová trubka PZ 16</v>
          </cell>
          <cell r="C340" t="str">
            <v>Elektram</v>
          </cell>
          <cell r="D340">
            <v>28</v>
          </cell>
          <cell r="E340">
            <v>5</v>
          </cell>
        </row>
        <row r="341">
          <cell r="A341" t="str">
            <v>PZ21</v>
          </cell>
          <cell r="B341" t="str">
            <v>Pancéřová trubka PZ 21</v>
          </cell>
          <cell r="C341" t="str">
            <v>Elektram</v>
          </cell>
          <cell r="D341">
            <v>37</v>
          </cell>
          <cell r="E341">
            <v>8.4499999999999993</v>
          </cell>
        </row>
        <row r="342">
          <cell r="A342" t="str">
            <v>CY6</v>
          </cell>
          <cell r="B342" t="str">
            <v>Vodič CY 6mm2 ŽZ</v>
          </cell>
          <cell r="C342" t="str">
            <v>Elektram</v>
          </cell>
          <cell r="D342">
            <v>8.9</v>
          </cell>
          <cell r="E342">
            <v>5.2</v>
          </cell>
        </row>
        <row r="343">
          <cell r="A343" t="str">
            <v>Zsv</v>
          </cell>
          <cell r="B343" t="str">
            <v>Zemnící svorky vč. CU pásků</v>
          </cell>
          <cell r="C343" t="str">
            <v>Elektram</v>
          </cell>
          <cell r="D343">
            <v>11</v>
          </cell>
          <cell r="E343">
            <v>4.5</v>
          </cell>
        </row>
        <row r="344">
          <cell r="A344" t="str">
            <v>H</v>
          </cell>
          <cell r="B344" t="str">
            <v>Upevňovací bod hmoždinkou</v>
          </cell>
          <cell r="C344" t="str">
            <v>Energie MaR</v>
          </cell>
          <cell r="D344">
            <v>4.5</v>
          </cell>
          <cell r="E344">
            <v>2.1</v>
          </cell>
        </row>
        <row r="345">
          <cell r="A345" t="str">
            <v>Jokl</v>
          </cell>
          <cell r="B345" t="str">
            <v>Profil Jokl 35x35 (perforovaný)</v>
          </cell>
          <cell r="C345" t="str">
            <v>ostatní</v>
          </cell>
          <cell r="D345">
            <v>45</v>
          </cell>
          <cell r="E345">
            <v>46</v>
          </cell>
        </row>
        <row r="346">
          <cell r="A346" t="str">
            <v>Přesun</v>
          </cell>
          <cell r="B346" t="str">
            <v>Přesun hmot</v>
          </cell>
          <cell r="C346" t="str">
            <v>ostatní</v>
          </cell>
          <cell r="E346">
            <v>120</v>
          </cell>
        </row>
        <row r="347">
          <cell r="A347" t="str">
            <v>propkrab</v>
          </cell>
          <cell r="B347" t="str">
            <v>Propojovací krabice na kotlích</v>
          </cell>
          <cell r="C347" t="str">
            <v>Energie MaR</v>
          </cell>
          <cell r="E347">
            <v>180</v>
          </cell>
        </row>
        <row r="349">
          <cell r="B349" t="str">
            <v>Formulář Slavkov</v>
          </cell>
        </row>
        <row r="350">
          <cell r="B350" t="str">
            <v>Odporový snímač teploty venkovní
NS 111.65
rozsah -30°C až 100°C
obj. č. 01 200 200</v>
          </cell>
          <cell r="C350" t="str">
            <v>SENSIT
Rožnov p. R.</v>
          </cell>
          <cell r="D350">
            <v>714</v>
          </cell>
          <cell r="E350">
            <v>19</v>
          </cell>
        </row>
        <row r="351">
          <cell r="B351" t="str">
            <v>Odporový snímač teploty do potrubí
NS 131.65 - 100
rozsah -30°C až 250°C
obj. č. 01 610 200</v>
          </cell>
          <cell r="C351" t="str">
            <v>SENSIT
Rožnov p. R.</v>
          </cell>
          <cell r="D351">
            <v>930</v>
          </cell>
          <cell r="E351">
            <v>19</v>
          </cell>
        </row>
        <row r="352">
          <cell r="B352" t="str">
            <v>Odporový snímač teploty prostorový
NS 101.30
rozsah -30°C až 100°C
obj. č. 01 100 200</v>
          </cell>
          <cell r="C352" t="str">
            <v>SENSIT
Rožnov p. R.</v>
          </cell>
          <cell r="D352">
            <v>432</v>
          </cell>
          <cell r="E352">
            <v>19</v>
          </cell>
        </row>
        <row r="353">
          <cell r="B353" t="str">
            <v>Směšovací ventil 3G25, DN25, PN 6
s el. pohonem ESBE 62P, řízený 0-10V</v>
          </cell>
          <cell r="C353" t="str">
            <v xml:space="preserve">Eko-Ekviterm </v>
          </cell>
          <cell r="D353">
            <v>4890</v>
          </cell>
          <cell r="E353">
            <v>50</v>
          </cell>
        </row>
        <row r="354">
          <cell r="B354" t="str">
            <v>Směšovací ventil 3G32, DN32 PN 6
s el. pohonem ESBE 62P, řízený 0-10V</v>
          </cell>
          <cell r="C354" t="str">
            <v xml:space="preserve">Eko-Ekviterm </v>
          </cell>
          <cell r="D354">
            <v>4950</v>
          </cell>
          <cell r="E354">
            <v>50</v>
          </cell>
        </row>
        <row r="355">
          <cell r="B355" t="str">
            <v>Směšovací ventil 3G40, DN40, PN 6
s el. pohonem ESBE 62P, řízený 0-10V</v>
          </cell>
          <cell r="C355" t="str">
            <v xml:space="preserve">Eko-Ekviterm </v>
          </cell>
          <cell r="D355">
            <v>5070</v>
          </cell>
          <cell r="E355">
            <v>50</v>
          </cell>
        </row>
        <row r="356">
          <cell r="B356" t="str">
            <v>Směšovací ventil 3G50, DN50, PN 6
s el. pohonem ESBE 62P, řízený 0-10V</v>
          </cell>
          <cell r="C356" t="str">
            <v xml:space="preserve">Eko-Ekviterm </v>
          </cell>
          <cell r="D356">
            <v>5840</v>
          </cell>
          <cell r="E356">
            <v>50</v>
          </cell>
        </row>
        <row r="357">
          <cell r="B357" t="str">
            <v>Oběhové čerpadlo top .vody
3 x 380/220 V</v>
          </cell>
          <cell r="D357">
            <v>0</v>
          </cell>
          <cell r="E357">
            <v>60</v>
          </cell>
        </row>
        <row r="358">
          <cell r="B358" t="str">
            <v>Odporový snímač teploty do potrubí
NS 131.65 - 220
rozsah -30°C až 250°C
obj. č. 01 630 200</v>
          </cell>
          <cell r="C358" t="str">
            <v>SENSIT
Rožnov p. R.</v>
          </cell>
          <cell r="D358">
            <v>978</v>
          </cell>
          <cell r="E358">
            <v>19</v>
          </cell>
        </row>
        <row r="359">
          <cell r="B359" t="str">
            <v>Příložné odporové čidlo
NS 141.65
rozsah 0°C až 130°C
obj. Č. 01 700 200</v>
          </cell>
          <cell r="C359" t="str">
            <v>SENSIT
Rožnov p. R.</v>
          </cell>
          <cell r="D359">
            <v>750</v>
          </cell>
          <cell r="E359">
            <v>19</v>
          </cell>
        </row>
        <row r="360">
          <cell r="B360" t="str">
            <v>Kulový kohout Giacomini DN 25, PN 25
s el. pohonem PPN2 20.04.07.20/230VAC
se sig. SO,SZ, bez vysílače</v>
          </cell>
          <cell r="C360" t="str">
            <v>Ekorex
Nová Paka</v>
          </cell>
          <cell r="D360">
            <v>3860</v>
          </cell>
          <cell r="E360">
            <v>50</v>
          </cell>
        </row>
        <row r="361">
          <cell r="B361" t="str">
            <v>Kulový kohout Giacomini DN 32, PN 25
s el. pohonem PPN2 35.04.07.20/230VAC
se sig. SO,SZ, bez vysílače</v>
          </cell>
          <cell r="C361" t="str">
            <v>Ekorex
Nová Paka</v>
          </cell>
          <cell r="D361">
            <v>4070</v>
          </cell>
          <cell r="E361">
            <v>50</v>
          </cell>
        </row>
        <row r="362">
          <cell r="B362" t="str">
            <v>Kulový kohout Giacomini DN 40, PN 25
s el. pohonem PPN2 65.04.07.00/230VAC
se sig. SO,SZ, bez vysílače</v>
          </cell>
          <cell r="C362" t="str">
            <v>Ekorex
Nová Paka</v>
          </cell>
          <cell r="D362">
            <v>7790</v>
          </cell>
          <cell r="E362">
            <v>50</v>
          </cell>
        </row>
        <row r="363">
          <cell r="B363" t="str">
            <v>Kulový kohout Giacomini DN 50, PN25
s el. pohonem PPN2 65.04.07.00/230VAC
se sig. SO,SZ, bez vysílače</v>
          </cell>
          <cell r="C363" t="str">
            <v>Ekorex
Nová Paka</v>
          </cell>
          <cell r="D363">
            <v>7980</v>
          </cell>
          <cell r="E363">
            <v>50</v>
          </cell>
        </row>
        <row r="364">
          <cell r="B364" t="str">
            <v>Dvoucestný elektromagnetický ventil DN 20
typ EVPE 2020.01, 220 VAC</v>
          </cell>
          <cell r="C364" t="str">
            <v>PEVEKO
Boršice u B.</v>
          </cell>
          <cell r="D364">
            <v>1200</v>
          </cell>
          <cell r="E364">
            <v>50</v>
          </cell>
        </row>
        <row r="365">
          <cell r="B365" t="str">
            <v>Dvoucestný elektromagnetický ventil DN 30 
typ EVPE 2030.01, 220 VAC</v>
          </cell>
          <cell r="C365" t="str">
            <v>PEVEKO
Boršice u B.</v>
          </cell>
          <cell r="D365">
            <v>1600</v>
          </cell>
          <cell r="E365">
            <v>50</v>
          </cell>
        </row>
        <row r="366">
          <cell r="B366" t="str">
            <v>Dvoucestný elektromagnetický ventil DN 40 
typ EVPE 2040.01, 220 VAC</v>
          </cell>
          <cell r="C366" t="str">
            <v>PEVEKO
Boršice u B.</v>
          </cell>
          <cell r="D366">
            <v>1900</v>
          </cell>
          <cell r="E366">
            <v>50</v>
          </cell>
        </row>
        <row r="367">
          <cell r="B367" t="str">
            <v>Cirkulační čerpadlo TUV
220 VAC</v>
          </cell>
          <cell r="E367">
            <v>40</v>
          </cell>
        </row>
        <row r="368">
          <cell r="B368" t="str">
            <v>Cirkulační čerpadlo TUV
3 x 380/220 VAC</v>
          </cell>
          <cell r="E368">
            <v>60</v>
          </cell>
        </row>
        <row r="369">
          <cell r="B369" t="str">
            <v>Nabíjecí čerpadlo TUV
220 VAC</v>
          </cell>
          <cell r="E369">
            <v>40</v>
          </cell>
        </row>
        <row r="370">
          <cell r="D370" t="str">
            <v>celkem</v>
          </cell>
        </row>
        <row r="372">
          <cell r="B372" t="str">
            <v>Rozvaděč RD2</v>
          </cell>
        </row>
        <row r="373">
          <cell r="B373" t="str">
            <v>Rozvaděčová skříň WS 5625 Schrack</v>
          </cell>
          <cell r="C373" t="str">
            <v>Schrack</v>
          </cell>
          <cell r="D373">
            <v>4100</v>
          </cell>
          <cell r="E373">
            <v>350</v>
          </cell>
        </row>
        <row r="374">
          <cell r="B374" t="str">
            <v>vývodka GP 9</v>
          </cell>
          <cell r="C374" t="str">
            <v>Elektram</v>
          </cell>
          <cell r="D374">
            <v>5</v>
          </cell>
        </row>
        <row r="375">
          <cell r="B375" t="str">
            <v>vývodka GP 11</v>
          </cell>
          <cell r="C375" t="str">
            <v>Elektram</v>
          </cell>
          <cell r="D375">
            <v>5.3</v>
          </cell>
        </row>
        <row r="376">
          <cell r="B376" t="str">
            <v>vývodka GP 13.5</v>
          </cell>
          <cell r="C376" t="str">
            <v>Elektram</v>
          </cell>
          <cell r="D376">
            <v>5.6</v>
          </cell>
        </row>
        <row r="377">
          <cell r="B377" t="str">
            <v>Indikační svítidlo HDS-95 G/R</v>
          </cell>
          <cell r="C377" t="str">
            <v>Eleco</v>
          </cell>
          <cell r="D377">
            <v>119</v>
          </cell>
        </row>
        <row r="378">
          <cell r="B378" t="str">
            <v>Stiskací hlavice černá T10A</v>
          </cell>
          <cell r="C378" t="str">
            <v>Groupe-Schneider</v>
          </cell>
          <cell r="D378">
            <v>54</v>
          </cell>
        </row>
        <row r="379">
          <cell r="B379" t="str">
            <v>Ovládací hlavice trojpolohová T10 B ČE</v>
          </cell>
          <cell r="C379" t="str">
            <v>Groupe-Schneider</v>
          </cell>
          <cell r="D379">
            <v>69</v>
          </cell>
        </row>
        <row r="380">
          <cell r="B380" t="str">
            <v xml:space="preserve">Ovládací hlavice dvojpolohová T10 G ČE </v>
          </cell>
          <cell r="C380" t="str">
            <v>Groupe-Schneider</v>
          </cell>
          <cell r="D380">
            <v>67</v>
          </cell>
        </row>
        <row r="381">
          <cell r="B381" t="str">
            <v>Přepínací jednotka T10 Z 111 Z</v>
          </cell>
          <cell r="C381" t="str">
            <v>Groupe-Schneider</v>
          </cell>
          <cell r="D381">
            <v>51</v>
          </cell>
        </row>
        <row r="382">
          <cell r="B382" t="str">
            <v>Spínací jednotka T10 Z 011 Y</v>
          </cell>
          <cell r="C382" t="str">
            <v>Groupe-Schneider</v>
          </cell>
          <cell r="D382">
            <v>43</v>
          </cell>
        </row>
        <row r="383">
          <cell r="B383" t="str">
            <v>Spojovací díl T10 SD 3</v>
          </cell>
          <cell r="C383" t="str">
            <v>Groupe-Schneider</v>
          </cell>
          <cell r="D383">
            <v>5.5</v>
          </cell>
        </row>
        <row r="384">
          <cell r="B384" t="str">
            <v>Hlavní vypínač 3f/16A</v>
          </cell>
          <cell r="C384" t="str">
            <v>Končar</v>
          </cell>
          <cell r="D384">
            <v>343</v>
          </cell>
        </row>
        <row r="385">
          <cell r="B385" t="str">
            <v>Jednopólový jistič LSN 0,4A/K</v>
          </cell>
          <cell r="C385" t="str">
            <v>OEZ Letohrad</v>
          </cell>
          <cell r="D385">
            <v>200</v>
          </cell>
        </row>
        <row r="386">
          <cell r="B386" t="str">
            <v>Jednopólový jistič Schrack 4A/C</v>
          </cell>
          <cell r="C386" t="str">
            <v>Schrack</v>
          </cell>
          <cell r="D386">
            <v>159</v>
          </cell>
        </row>
        <row r="387">
          <cell r="B387" t="str">
            <v>Jednopólový jistič Schrack 6A/C</v>
          </cell>
          <cell r="C387" t="str">
            <v>Schrack</v>
          </cell>
          <cell r="D387">
            <v>124</v>
          </cell>
        </row>
        <row r="388">
          <cell r="B388" t="str">
            <v>Třípólový jistič Schrack 2A/C</v>
          </cell>
          <cell r="C388" t="str">
            <v>Schrack</v>
          </cell>
          <cell r="D388">
            <v>398</v>
          </cell>
        </row>
        <row r="389">
          <cell r="B389" t="str">
            <v>Třípólový jistič Schrack 2A/C</v>
          </cell>
          <cell r="C389" t="str">
            <v>Schrack</v>
          </cell>
          <cell r="D389">
            <v>398</v>
          </cell>
        </row>
        <row r="390">
          <cell r="B390" t="str">
            <v>Pomocný spínač 1Z+1R</v>
          </cell>
          <cell r="C390" t="str">
            <v>Schrack</v>
          </cell>
          <cell r="D390">
            <v>150</v>
          </cell>
        </row>
        <row r="391">
          <cell r="B391" t="str">
            <v>Stykač 3.f. 24VAC/LC1/LLC2-K06</v>
          </cell>
          <cell r="C391" t="str">
            <v>Groupe-Schneider</v>
          </cell>
          <cell r="D391">
            <v>210</v>
          </cell>
        </row>
        <row r="392">
          <cell r="B392" t="str">
            <v>Relé 2.párové RT II/2 464 524 Schrack</v>
          </cell>
          <cell r="C392" t="str">
            <v>Schrack</v>
          </cell>
          <cell r="D392">
            <v>145</v>
          </cell>
        </row>
        <row r="393">
          <cell r="B393" t="str">
            <v>Patice 2.párové RP 78 625 Schrack</v>
          </cell>
          <cell r="C393" t="str">
            <v>Schrack</v>
          </cell>
          <cell r="D393">
            <v>120</v>
          </cell>
        </row>
        <row r="394">
          <cell r="B394" t="str">
            <v>Limitér analogových signálů LT1-1a</v>
          </cell>
          <cell r="C394" t="str">
            <v>DA Ostrava</v>
          </cell>
          <cell r="D394">
            <v>1675</v>
          </cell>
        </row>
        <row r="395">
          <cell r="B395" t="str">
            <v>Zdroj bezpečného napětí 230VAC/24VAC 75W</v>
          </cell>
          <cell r="C395" t="str">
            <v>Comel</v>
          </cell>
          <cell r="D395">
            <v>341</v>
          </cell>
        </row>
        <row r="396">
          <cell r="B396" t="str">
            <v>Světelná zásuvka 230VAC/10A na DIN lištu</v>
          </cell>
          <cell r="C396" t="str">
            <v>Comel</v>
          </cell>
          <cell r="D396">
            <v>125</v>
          </cell>
        </row>
        <row r="397">
          <cell r="B397" t="str">
            <v>Přepěťová ochrana na datové vedení DTR1/12</v>
          </cell>
          <cell r="C397" t="str">
            <v>HAKEL</v>
          </cell>
          <cell r="D397">
            <v>1200</v>
          </cell>
        </row>
        <row r="398">
          <cell r="B398" t="str">
            <v>Přepěťová ochrana s vf. Filtrem PI-K4</v>
          </cell>
          <cell r="C398" t="str">
            <v>HAKEL</v>
          </cell>
          <cell r="D398">
            <v>2500</v>
          </cell>
        </row>
        <row r="399">
          <cell r="B399" t="str">
            <v>Svorka řadová - šedá M2,5</v>
          </cell>
          <cell r="C399" t="str">
            <v>Entrelec</v>
          </cell>
          <cell r="D399">
            <v>12</v>
          </cell>
        </row>
        <row r="400">
          <cell r="B400" t="str">
            <v>Svorka řadová - světle modrá M2,5</v>
          </cell>
          <cell r="C400" t="str">
            <v>Entrelec</v>
          </cell>
          <cell r="D400">
            <v>13</v>
          </cell>
        </row>
        <row r="401">
          <cell r="B401" t="str">
            <v>Svorka řadová - žlutozelená M2,5</v>
          </cell>
          <cell r="C401" t="str">
            <v>Entrelec</v>
          </cell>
          <cell r="D401">
            <v>44</v>
          </cell>
        </row>
        <row r="402">
          <cell r="B402" t="str">
            <v>Svorka rozjišťovací M4/8SF</v>
          </cell>
          <cell r="C402" t="str">
            <v>Entrelec</v>
          </cell>
          <cell r="D402">
            <v>49</v>
          </cell>
        </row>
        <row r="403">
          <cell r="B403" t="str">
            <v>Štítky rozvaděče</v>
          </cell>
          <cell r="C403" t="str">
            <v>ostatní</v>
          </cell>
          <cell r="D403">
            <v>15</v>
          </cell>
        </row>
        <row r="404">
          <cell r="B404" t="str">
            <v>Vodiče rozvaděče</v>
          </cell>
          <cell r="C404" t="str">
            <v>ostatní</v>
          </cell>
          <cell r="D404">
            <v>8</v>
          </cell>
        </row>
        <row r="405">
          <cell r="B405" t="str">
            <v>Ostatní materiál</v>
          </cell>
          <cell r="C405" t="str">
            <v>ostatní</v>
          </cell>
          <cell r="D405">
            <v>400</v>
          </cell>
        </row>
        <row r="406">
          <cell r="B406" t="str">
            <v>Montáž rozvaděče</v>
          </cell>
          <cell r="D406">
            <v>120</v>
          </cell>
        </row>
        <row r="407">
          <cell r="D407" t="str">
            <v>celkem</v>
          </cell>
        </row>
        <row r="409">
          <cell r="B409" t="str">
            <v>Řídící systém</v>
          </cell>
        </row>
        <row r="410">
          <cell r="B410" t="str">
            <v>Regulátor DX 9100 - 8154</v>
          </cell>
          <cell r="C410" t="str">
            <v>Johnson 
Controls</v>
          </cell>
          <cell r="D410">
            <v>35549</v>
          </cell>
        </row>
        <row r="411">
          <cell r="D411" t="str">
            <v>celkem</v>
          </cell>
        </row>
        <row r="413">
          <cell r="B413" t="str">
            <v>Spojovací části</v>
          </cell>
        </row>
        <row r="414">
          <cell r="B414" t="str">
            <v>JQTQ 2x0,8</v>
          </cell>
          <cell r="C414" t="str">
            <v>Elektram/kab</v>
          </cell>
          <cell r="D414">
            <v>10.7</v>
          </cell>
          <cell r="E414">
            <v>2.5</v>
          </cell>
        </row>
        <row r="415">
          <cell r="B415" t="str">
            <v>JQTQ 4x0,8</v>
          </cell>
          <cell r="C415" t="str">
            <v>Elektram/kab</v>
          </cell>
          <cell r="D415">
            <v>15.7</v>
          </cell>
          <cell r="E415">
            <v>2.5</v>
          </cell>
        </row>
        <row r="416">
          <cell r="B416" t="str">
            <v>JYTY 4x1</v>
          </cell>
          <cell r="C416" t="str">
            <v>Elektram/kab</v>
          </cell>
          <cell r="D416">
            <v>16.100000000000001</v>
          </cell>
          <cell r="E416">
            <v>2.5</v>
          </cell>
        </row>
        <row r="417">
          <cell r="B417" t="str">
            <v>CYSY 2x1A</v>
          </cell>
          <cell r="C417" t="str">
            <v>Elektram/kab</v>
          </cell>
          <cell r="D417">
            <v>6.5</v>
          </cell>
          <cell r="E417">
            <v>2.5</v>
          </cell>
        </row>
        <row r="418">
          <cell r="B418" t="str">
            <v>CYSY 3x1C</v>
          </cell>
          <cell r="C418" t="str">
            <v>Elektram/kab</v>
          </cell>
          <cell r="D418">
            <v>8.1999999999999993</v>
          </cell>
          <cell r="E418">
            <v>2.5</v>
          </cell>
        </row>
        <row r="419">
          <cell r="B419" t="str">
            <v>CYSY 4x1B</v>
          </cell>
          <cell r="C419" t="str">
            <v>Elektram/kab</v>
          </cell>
          <cell r="D419">
            <v>10.199999999999999</v>
          </cell>
          <cell r="E419">
            <v>2.5</v>
          </cell>
        </row>
        <row r="420">
          <cell r="B420" t="str">
            <v>CYSY 5x1C</v>
          </cell>
          <cell r="C420" t="str">
            <v>Elektram/kab</v>
          </cell>
          <cell r="D420">
            <v>13</v>
          </cell>
          <cell r="E420">
            <v>2.5</v>
          </cell>
        </row>
        <row r="421">
          <cell r="B421" t="str">
            <v>CYKY 4x1B</v>
          </cell>
          <cell r="C421" t="str">
            <v>Elektram/kab</v>
          </cell>
          <cell r="D421">
            <v>10.6</v>
          </cell>
          <cell r="E421">
            <v>2.5</v>
          </cell>
        </row>
        <row r="422">
          <cell r="B422" t="str">
            <v>CYKY 5x2,5C</v>
          </cell>
          <cell r="C422" t="str">
            <v>Elektram/kab</v>
          </cell>
          <cell r="D422">
            <v>20</v>
          </cell>
          <cell r="E422">
            <v>2.5</v>
          </cell>
        </row>
        <row r="423">
          <cell r="B423" t="str">
            <v>SYKFY 5x2x0,5</v>
          </cell>
          <cell r="C423" t="str">
            <v>Elektram/kab</v>
          </cell>
          <cell r="D423">
            <v>8.3000000000000007</v>
          </cell>
          <cell r="E423">
            <v>2.5</v>
          </cell>
        </row>
        <row r="424">
          <cell r="B424" t="str">
            <v>Ukončení kabelu do 4x4mm2</v>
          </cell>
          <cell r="D424">
            <v>0</v>
          </cell>
          <cell r="E424">
            <v>13.2</v>
          </cell>
        </row>
        <row r="425">
          <cell r="B425" t="str">
            <v>Ukončení kabelu do 5x4mm2</v>
          </cell>
          <cell r="D425">
            <v>0</v>
          </cell>
          <cell r="E425">
            <v>19.8</v>
          </cell>
        </row>
        <row r="426">
          <cell r="B426" t="str">
            <v>Ukončení stíněného kabelu do 4x1mm2</v>
          </cell>
          <cell r="D426">
            <v>0</v>
          </cell>
          <cell r="E426">
            <v>32</v>
          </cell>
        </row>
        <row r="427">
          <cell r="B427" t="str">
            <v>Kabelový žlab 62x50 vč. víka</v>
          </cell>
          <cell r="C427" t="str">
            <v>Elektram</v>
          </cell>
          <cell r="D427">
            <v>105</v>
          </cell>
          <cell r="E427">
            <v>46.6</v>
          </cell>
        </row>
        <row r="428">
          <cell r="B428" t="str">
            <v>Koleno kabelového žlabu 62x50 vč. víka</v>
          </cell>
          <cell r="C428" t="str">
            <v>Elektram</v>
          </cell>
          <cell r="D428">
            <v>137</v>
          </cell>
          <cell r="E428">
            <v>30.5</v>
          </cell>
        </row>
        <row r="429">
          <cell r="B429" t="str">
            <v>T kus kab. žlabu 62x50 vč. víka</v>
          </cell>
          <cell r="C429" t="str">
            <v>Elektram</v>
          </cell>
          <cell r="D429">
            <v>145.9</v>
          </cell>
          <cell r="E429">
            <v>30.5</v>
          </cell>
        </row>
        <row r="430">
          <cell r="B430" t="str">
            <v>Nosník kabelového žlabu 62</v>
          </cell>
          <cell r="C430" t="str">
            <v>Elektram</v>
          </cell>
          <cell r="D430">
            <v>15.6</v>
          </cell>
          <cell r="E430">
            <v>0</v>
          </cell>
        </row>
        <row r="431">
          <cell r="B431" t="str">
            <v>Spojka kabelového žlabu 62</v>
          </cell>
          <cell r="C431" t="str">
            <v>Elektram</v>
          </cell>
          <cell r="D431">
            <v>2.4</v>
          </cell>
          <cell r="E431">
            <v>0</v>
          </cell>
        </row>
        <row r="432">
          <cell r="B432" t="str">
            <v>Lišta PVC 16x16 vč. víka</v>
          </cell>
          <cell r="C432" t="str">
            <v>Elektram</v>
          </cell>
          <cell r="D432">
            <v>11</v>
          </cell>
          <cell r="E432">
            <v>6</v>
          </cell>
        </row>
        <row r="433">
          <cell r="B433" t="str">
            <v>Lišta PVC 40x20 vč. víka</v>
          </cell>
          <cell r="C433" t="str">
            <v>Elektram</v>
          </cell>
          <cell r="D433">
            <v>20</v>
          </cell>
          <cell r="E433">
            <v>7</v>
          </cell>
        </row>
        <row r="434">
          <cell r="B434" t="str">
            <v>Lišta PVC 40x40 vč. víka</v>
          </cell>
          <cell r="C434" t="str">
            <v>Elektram</v>
          </cell>
          <cell r="D434">
            <v>33</v>
          </cell>
          <cell r="E434">
            <v>8</v>
          </cell>
        </row>
        <row r="435">
          <cell r="B435" t="str">
            <v>Pancéřová trubka PZ 13,5</v>
          </cell>
          <cell r="C435" t="str">
            <v>Elektram</v>
          </cell>
          <cell r="D435">
            <v>26.5</v>
          </cell>
          <cell r="E435">
            <v>4.8</v>
          </cell>
        </row>
        <row r="436">
          <cell r="B436" t="str">
            <v>Pancéřová trubka PZ 16</v>
          </cell>
          <cell r="C436" t="str">
            <v>Elektram</v>
          </cell>
          <cell r="D436">
            <v>28</v>
          </cell>
          <cell r="E436">
            <v>5</v>
          </cell>
        </row>
        <row r="437">
          <cell r="B437" t="str">
            <v>Pancéřová trubka PZ 21</v>
          </cell>
          <cell r="C437" t="str">
            <v>Elektram</v>
          </cell>
          <cell r="D437">
            <v>37</v>
          </cell>
          <cell r="E437">
            <v>8.4499999999999993</v>
          </cell>
        </row>
        <row r="438">
          <cell r="B438" t="str">
            <v>Vodič CY 6mm2 ŽZ</v>
          </cell>
          <cell r="C438" t="str">
            <v>Elektram</v>
          </cell>
          <cell r="D438">
            <v>8.9</v>
          </cell>
          <cell r="E438">
            <v>5.2</v>
          </cell>
        </row>
        <row r="439">
          <cell r="B439" t="str">
            <v>Zemnící svorky vč. CU pásků</v>
          </cell>
          <cell r="C439" t="str">
            <v>Elektram</v>
          </cell>
          <cell r="D439">
            <v>11</v>
          </cell>
          <cell r="E439">
            <v>4.5</v>
          </cell>
        </row>
        <row r="440">
          <cell r="B440" t="str">
            <v>Upevňovací bod hmoždinkou</v>
          </cell>
          <cell r="D440">
            <v>4.5</v>
          </cell>
          <cell r="E440">
            <v>2.1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Parame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44">
          <cell r="C44" t="str">
            <v>EGT347F101</v>
          </cell>
        </row>
        <row r="45">
          <cell r="C45" t="str">
            <v>0368839000</v>
          </cell>
        </row>
        <row r="46">
          <cell r="C46" t="str">
            <v>EGT311F101</v>
          </cell>
        </row>
        <row r="47">
          <cell r="C47" t="str">
            <v>TFL201F601</v>
          </cell>
        </row>
        <row r="48">
          <cell r="C48" t="str">
            <v>KS300 /1C2F001</v>
          </cell>
        </row>
        <row r="49">
          <cell r="C49" t="str">
            <v>KS600C2F001</v>
          </cell>
        </row>
        <row r="50">
          <cell r="C50" t="str">
            <v>HSC120F001</v>
          </cell>
        </row>
        <row r="51">
          <cell r="C51" t="str">
            <v>0362225001</v>
          </cell>
        </row>
        <row r="52">
          <cell r="C52" t="str">
            <v>BXN015F210</v>
          </cell>
        </row>
        <row r="53">
          <cell r="C53" t="str">
            <v>AVM114SF132</v>
          </cell>
        </row>
        <row r="54">
          <cell r="C54" t="str">
            <v>0370560016</v>
          </cell>
        </row>
        <row r="55">
          <cell r="C55" t="str">
            <v>ASF122F120</v>
          </cell>
        </row>
        <row r="57">
          <cell r="C57" t="str">
            <v>EGT347F101</v>
          </cell>
        </row>
        <row r="58">
          <cell r="C58" t="str">
            <v>0368839000</v>
          </cell>
        </row>
        <row r="59">
          <cell r="C59" t="str">
            <v>EGT311F101</v>
          </cell>
        </row>
        <row r="60">
          <cell r="C60" t="str">
            <v>TFL201F601</v>
          </cell>
        </row>
        <row r="61">
          <cell r="C61" t="str">
            <v>KS300 /1C2F001</v>
          </cell>
        </row>
        <row r="62">
          <cell r="C62" t="str">
            <v>KS600C2F001</v>
          </cell>
        </row>
        <row r="63">
          <cell r="C63" t="str">
            <v>BXN020F200</v>
          </cell>
        </row>
        <row r="64">
          <cell r="C64" t="str">
            <v>AVM114SF132</v>
          </cell>
        </row>
        <row r="65">
          <cell r="C65" t="str">
            <v>0370560016</v>
          </cell>
        </row>
        <row r="66">
          <cell r="C66" t="str">
            <v>ASF122F120</v>
          </cell>
        </row>
        <row r="69">
          <cell r="C69" t="str">
            <v>EGT301F101</v>
          </cell>
        </row>
        <row r="70">
          <cell r="C70" t="str">
            <v>0370560011</v>
          </cell>
        </row>
        <row r="72">
          <cell r="C72" t="str">
            <v>EGT301F101</v>
          </cell>
        </row>
        <row r="73">
          <cell r="C73" t="str">
            <v>0370560011</v>
          </cell>
        </row>
        <row r="75">
          <cell r="C75" t="str">
            <v>ASM114SF132</v>
          </cell>
        </row>
        <row r="78">
          <cell r="C78" t="str">
            <v>ASM114SF132</v>
          </cell>
        </row>
        <row r="80">
          <cell r="C80" t="str">
            <v>EGT301F101</v>
          </cell>
        </row>
        <row r="81">
          <cell r="C81" t="str">
            <v>0370560011</v>
          </cell>
        </row>
        <row r="85">
          <cell r="C85" t="str">
            <v>EGT346F101</v>
          </cell>
        </row>
        <row r="86">
          <cell r="C86" t="str">
            <v>0226807120</v>
          </cell>
        </row>
        <row r="87">
          <cell r="C87" t="str">
            <v>0368840000</v>
          </cell>
        </row>
        <row r="88">
          <cell r="C88" t="str">
            <v>TSO670F001</v>
          </cell>
        </row>
        <row r="89">
          <cell r="C89" t="str">
            <v>KS600C2F001</v>
          </cell>
        </row>
        <row r="90">
          <cell r="C90" t="str">
            <v>SE 22/F</v>
          </cell>
        </row>
        <row r="91">
          <cell r="C91" t="str">
            <v>T6</v>
          </cell>
        </row>
        <row r="93">
          <cell r="C93" t="str">
            <v>EGT301F101</v>
          </cell>
        </row>
        <row r="94">
          <cell r="C94" t="str">
            <v>0370560011</v>
          </cell>
        </row>
        <row r="95">
          <cell r="C95" t="str">
            <v>EGT311F101</v>
          </cell>
        </row>
        <row r="96">
          <cell r="C96" t="str">
            <v>EGT346F101</v>
          </cell>
        </row>
        <row r="97">
          <cell r="C97" t="str">
            <v>0226807120</v>
          </cell>
        </row>
        <row r="98">
          <cell r="C98" t="str">
            <v>0368840000</v>
          </cell>
        </row>
        <row r="99">
          <cell r="C99" t="str">
            <v>RAK82.4/3728M</v>
          </cell>
        </row>
        <row r="100">
          <cell r="C100" t="str">
            <v>0226807120</v>
          </cell>
        </row>
        <row r="101">
          <cell r="C101" t="str">
            <v>0364142000</v>
          </cell>
        </row>
        <row r="102">
          <cell r="C102" t="str">
            <v>RAK82.4/3728M</v>
          </cell>
        </row>
        <row r="103">
          <cell r="C103" t="str">
            <v>RHV01+SZ1</v>
          </cell>
        </row>
        <row r="104">
          <cell r="C104" t="str">
            <v>T6</v>
          </cell>
        </row>
        <row r="105">
          <cell r="C105" t="str">
            <v>BXN025F200</v>
          </cell>
        </row>
        <row r="106">
          <cell r="C106" t="str">
            <v>AVM114SF132</v>
          </cell>
        </row>
        <row r="107">
          <cell r="C107" t="str">
            <v>0370560016</v>
          </cell>
        </row>
        <row r="108">
          <cell r="C108" t="str">
            <v>BXN020F200</v>
          </cell>
        </row>
        <row r="109">
          <cell r="C109" t="str">
            <v>AVM114SF132</v>
          </cell>
        </row>
        <row r="110">
          <cell r="C110" t="str">
            <v>0370560016</v>
          </cell>
        </row>
        <row r="111">
          <cell r="C111" t="str">
            <v>BXN032F200</v>
          </cell>
        </row>
        <row r="112">
          <cell r="C112" t="str">
            <v>AVM114SF132</v>
          </cell>
        </row>
        <row r="113">
          <cell r="C113" t="str">
            <v>0370560016</v>
          </cell>
        </row>
        <row r="115">
          <cell r="C115" t="str">
            <v>EGT346F101</v>
          </cell>
        </row>
        <row r="116">
          <cell r="C116" t="str">
            <v>0226807120</v>
          </cell>
        </row>
        <row r="117">
          <cell r="C117" t="str">
            <v>0368840000</v>
          </cell>
        </row>
        <row r="118">
          <cell r="C118" t="str">
            <v>TSO670F001</v>
          </cell>
        </row>
        <row r="119">
          <cell r="C119" t="str">
            <v>KS600C2F001</v>
          </cell>
        </row>
        <row r="120">
          <cell r="C120" t="str">
            <v>GTE CO</v>
          </cell>
        </row>
        <row r="121">
          <cell r="C121" t="str">
            <v>SE 22/F</v>
          </cell>
        </row>
        <row r="123">
          <cell r="C123" t="str">
            <v>EGT301F101</v>
          </cell>
        </row>
        <row r="124">
          <cell r="C124" t="str">
            <v>0370560011</v>
          </cell>
        </row>
        <row r="125">
          <cell r="C125" t="str">
            <v>EGT311F101</v>
          </cell>
        </row>
        <row r="126">
          <cell r="C126" t="str">
            <v>EGT346F101</v>
          </cell>
        </row>
        <row r="127">
          <cell r="C127" t="str">
            <v>0226807120</v>
          </cell>
        </row>
        <row r="128">
          <cell r="C128" t="str">
            <v>0368840000</v>
          </cell>
        </row>
        <row r="129">
          <cell r="C129" t="str">
            <v>RAK82.4/3728M</v>
          </cell>
        </row>
        <row r="130">
          <cell r="C130" t="str">
            <v>0226807120</v>
          </cell>
        </row>
        <row r="131">
          <cell r="C131" t="str">
            <v>0364142000</v>
          </cell>
        </row>
        <row r="132">
          <cell r="C132" t="str">
            <v>RAK82.4/3728M</v>
          </cell>
        </row>
        <row r="133">
          <cell r="C133" t="str">
            <v>RHV01+SZ1</v>
          </cell>
        </row>
        <row r="134">
          <cell r="C134" t="str">
            <v>T6</v>
          </cell>
        </row>
        <row r="135">
          <cell r="C135" t="str">
            <v>BXN015F210</v>
          </cell>
        </row>
        <row r="136">
          <cell r="C136" t="str">
            <v>AVM114SF132</v>
          </cell>
        </row>
        <row r="137">
          <cell r="C137" t="str">
            <v>0370560016</v>
          </cell>
        </row>
        <row r="138">
          <cell r="C138" t="str">
            <v>BXN032F200</v>
          </cell>
        </row>
        <row r="139">
          <cell r="C139" t="str">
            <v>AVM114SF132</v>
          </cell>
        </row>
        <row r="140">
          <cell r="C140" t="str">
            <v>0370560016</v>
          </cell>
        </row>
        <row r="141">
          <cell r="C141" t="str">
            <v>BXN015F200</v>
          </cell>
        </row>
        <row r="142">
          <cell r="C142" t="str">
            <v>AVM114SF132</v>
          </cell>
        </row>
        <row r="143">
          <cell r="C143" t="str">
            <v>0370560016</v>
          </cell>
        </row>
        <row r="151">
          <cell r="C151" t="str">
            <v>EYR203F001</v>
          </cell>
        </row>
        <row r="152">
          <cell r="C152" t="str">
            <v>0374413001</v>
          </cell>
        </row>
        <row r="153">
          <cell r="C153" t="str">
            <v>EYL220F001</v>
          </cell>
        </row>
        <row r="154">
          <cell r="C154" t="str">
            <v>EYR203F001</v>
          </cell>
        </row>
        <row r="155">
          <cell r="C155" t="str">
            <v>0374413001</v>
          </cell>
        </row>
        <row r="156">
          <cell r="C156" t="str">
            <v>EYR203F001</v>
          </cell>
        </row>
        <row r="157">
          <cell r="C157" t="str">
            <v>0374413001</v>
          </cell>
        </row>
        <row r="158">
          <cell r="C158" t="str">
            <v>EYR203F001</v>
          </cell>
        </row>
        <row r="159">
          <cell r="C159" t="str">
            <v>0374413001</v>
          </cell>
        </row>
        <row r="160">
          <cell r="C160" t="str">
            <v>EYT240F001</v>
          </cell>
        </row>
        <row r="161">
          <cell r="C161" t="str">
            <v>0367842002</v>
          </cell>
        </row>
      </sheetData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Úprava faktury"/>
      <sheetName val="Faktura"/>
      <sheetName val="Makra"/>
      <sheetName val="ATW"/>
      <sheetName val="Zámek"/>
      <sheetName val="TemplateInformation"/>
    </sheetNames>
    <sheetDataSet>
      <sheetData sheetId="0" refreshError="1"/>
      <sheetData sheetId="1" refreshError="1">
        <row r="21">
          <cell r="E21">
            <v>0.05</v>
          </cell>
        </row>
        <row r="22">
          <cell r="E22">
            <v>0.22</v>
          </cell>
        </row>
        <row r="23">
          <cell r="D23" t="b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l_DT2"/>
      <sheetName val="schel_DT1"/>
      <sheetName val="schel_rozp"/>
      <sheetName val="SchEl_rozp_z"/>
      <sheetName val="OP VZP_rozp"/>
      <sheetName val="DATA"/>
      <sheetName val="dodav"/>
      <sheetName val="schel_montáž"/>
      <sheetName val="ŽLABY"/>
      <sheetName val="cesana_nab_z"/>
      <sheetName val="Module1"/>
      <sheetName val="ČD Choceň rozp_z"/>
      <sheetName val="SchEl_Lanskrounrozp_z"/>
      <sheetName val="Cesana_montáž (2)"/>
      <sheetName val="odemčený"/>
      <sheetName val="cesana_nab"/>
      <sheetName val="ZS, VR"/>
      <sheetName val="Budova"/>
      <sheetName val="Venky"/>
      <sheetName val="SO 01 - 06 ELEKTROINSTALAC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Komextherm</v>
          </cell>
          <cell r="C6">
            <v>0</v>
          </cell>
          <cell r="D6">
            <v>0.12</v>
          </cell>
        </row>
        <row r="7">
          <cell r="B7" t="str">
            <v>Merlin&amp;G</v>
          </cell>
          <cell r="C7">
            <v>0</v>
          </cell>
          <cell r="D7">
            <v>0.05</v>
          </cell>
        </row>
        <row r="8">
          <cell r="B8" t="str">
            <v>mm</v>
          </cell>
          <cell r="C8">
            <v>0</v>
          </cell>
          <cell r="D8">
            <v>0.08</v>
          </cell>
        </row>
        <row r="9">
          <cell r="B9" t="str">
            <v>stáv.</v>
          </cell>
          <cell r="C9">
            <v>0</v>
          </cell>
          <cell r="D9">
            <v>0</v>
          </cell>
        </row>
        <row r="10">
          <cell r="B10" t="str">
            <v>stroj.dod.</v>
          </cell>
          <cell r="C10">
            <v>0</v>
          </cell>
          <cell r="D10">
            <v>0</v>
          </cell>
        </row>
        <row r="11">
          <cell r="B11" t="str">
            <v>E</v>
          </cell>
          <cell r="C11">
            <v>0</v>
          </cell>
          <cell r="D11">
            <v>0</v>
          </cell>
        </row>
        <row r="12">
          <cell r="B12" t="str">
            <v>JC</v>
          </cell>
          <cell r="C12">
            <v>0.3</v>
          </cell>
          <cell r="D12">
            <v>0.1</v>
          </cell>
        </row>
        <row r="13">
          <cell r="B13" t="str">
            <v>ZPA Nová Paka</v>
          </cell>
          <cell r="C13">
            <v>0.15</v>
          </cell>
          <cell r="D13">
            <v>0.15</v>
          </cell>
        </row>
        <row r="14">
          <cell r="B14" t="str">
            <v>BD Sensors</v>
          </cell>
          <cell r="C14">
            <v>0.1</v>
          </cell>
          <cell r="D14">
            <v>0.15</v>
          </cell>
        </row>
        <row r="15">
          <cell r="B15" t="str">
            <v>CLAUHAN
Brno</v>
          </cell>
          <cell r="C15">
            <v>0</v>
          </cell>
          <cell r="D15">
            <v>0.3</v>
          </cell>
        </row>
        <row r="16">
          <cell r="B16" t="str">
            <v>Comel</v>
          </cell>
          <cell r="C16">
            <v>0</v>
          </cell>
          <cell r="D16">
            <v>0.15</v>
          </cell>
        </row>
        <row r="17">
          <cell r="B17" t="str">
            <v>DA Ostrava</v>
          </cell>
          <cell r="C17">
            <v>0</v>
          </cell>
          <cell r="D17">
            <v>0.15</v>
          </cell>
        </row>
        <row r="18">
          <cell r="B18" t="str">
            <v>dodávka 
investora</v>
          </cell>
          <cell r="C18">
            <v>0</v>
          </cell>
          <cell r="D18">
            <v>0</v>
          </cell>
        </row>
        <row r="19">
          <cell r="B19" t="str">
            <v xml:space="preserve">Eko-Ekviterm </v>
          </cell>
          <cell r="C19">
            <v>0.1</v>
          </cell>
          <cell r="D19">
            <v>0.15</v>
          </cell>
        </row>
        <row r="20">
          <cell r="B20" t="str">
            <v>Ekorex+
Nová Paka</v>
          </cell>
          <cell r="C20">
            <v>0.17</v>
          </cell>
          <cell r="D20">
            <v>0.21</v>
          </cell>
        </row>
        <row r="21">
          <cell r="B21" t="str">
            <v>Eleco</v>
          </cell>
          <cell r="C21">
            <v>0</v>
          </cell>
          <cell r="D21">
            <v>0.17</v>
          </cell>
        </row>
        <row r="22">
          <cell r="B22" t="str">
            <v>Elektram</v>
          </cell>
          <cell r="C22">
            <v>0</v>
          </cell>
          <cell r="D22">
            <v>0.15</v>
          </cell>
        </row>
        <row r="23">
          <cell r="B23" t="str">
            <v>Elektram/kab</v>
          </cell>
          <cell r="C23">
            <v>0</v>
          </cell>
          <cell r="D23">
            <v>0.08</v>
          </cell>
        </row>
        <row r="24">
          <cell r="B24" t="str">
            <v>Elektropřístroj
Písek</v>
          </cell>
          <cell r="C24">
            <v>0</v>
          </cell>
          <cell r="D24">
            <v>0.15</v>
          </cell>
        </row>
        <row r="25">
          <cell r="B25" t="str">
            <v>EP Písek</v>
          </cell>
          <cell r="C25">
            <v>0</v>
          </cell>
          <cell r="D25">
            <v>0.15</v>
          </cell>
        </row>
        <row r="26">
          <cell r="B26" t="str">
            <v>ENERGIE MaR</v>
          </cell>
          <cell r="C26">
            <v>0</v>
          </cell>
          <cell r="D26">
            <v>0.05</v>
          </cell>
        </row>
        <row r="27">
          <cell r="B27" t="str">
            <v>Entrelec</v>
          </cell>
          <cell r="C27">
            <v>0</v>
          </cell>
          <cell r="D27">
            <v>0.15</v>
          </cell>
        </row>
        <row r="28">
          <cell r="B28" t="str">
            <v>EO Pardubice</v>
          </cell>
          <cell r="C28">
            <v>0</v>
          </cell>
          <cell r="D28">
            <v>0.15</v>
          </cell>
        </row>
        <row r="29">
          <cell r="B29" t="str">
            <v>ERAB</v>
          </cell>
          <cell r="C29">
            <v>0</v>
          </cell>
          <cell r="D29">
            <v>0.15</v>
          </cell>
        </row>
        <row r="30">
          <cell r="B30" t="str">
            <v>F&amp;G</v>
          </cell>
          <cell r="C30">
            <v>0</v>
          </cell>
          <cell r="D30">
            <v>0.15</v>
          </cell>
        </row>
        <row r="31">
          <cell r="B31" t="str">
            <v>Groupe-
Schneider</v>
          </cell>
          <cell r="C31">
            <v>0</v>
          </cell>
          <cell r="D31">
            <v>0.15</v>
          </cell>
        </row>
        <row r="32">
          <cell r="B32" t="str">
            <v>HAKEL</v>
          </cell>
          <cell r="C32">
            <v>0</v>
          </cell>
          <cell r="D32">
            <v>0.25</v>
          </cell>
        </row>
        <row r="33">
          <cell r="B33" t="str">
            <v>Johnson 
Controls</v>
          </cell>
          <cell r="C33">
            <v>0</v>
          </cell>
          <cell r="D33">
            <v>0</v>
          </cell>
        </row>
        <row r="34">
          <cell r="B34" t="str">
            <v>Končar</v>
          </cell>
          <cell r="C34">
            <v>0</v>
          </cell>
          <cell r="D34">
            <v>0.15</v>
          </cell>
        </row>
        <row r="35">
          <cell r="B35" t="str">
            <v>LDM 
Č. Třebová</v>
          </cell>
          <cell r="C35">
            <v>0.23</v>
          </cell>
          <cell r="D35">
            <v>0.15</v>
          </cell>
        </row>
        <row r="36">
          <cell r="B36" t="str">
            <v>MARTECH
Hradec Králové</v>
          </cell>
          <cell r="C36">
            <v>0</v>
          </cell>
          <cell r="D36">
            <v>0.15</v>
          </cell>
        </row>
        <row r="37">
          <cell r="B37" t="str">
            <v>OEZ Letohrad</v>
          </cell>
          <cell r="C37">
            <v>0</v>
          </cell>
          <cell r="D37">
            <v>0.15</v>
          </cell>
        </row>
        <row r="38">
          <cell r="B38" t="str">
            <v>ostatní</v>
          </cell>
          <cell r="C38">
            <v>0</v>
          </cell>
          <cell r="D38">
            <v>0.05</v>
          </cell>
        </row>
        <row r="39">
          <cell r="B39" t="str">
            <v>PEVEKO
Boršice u B.</v>
          </cell>
          <cell r="C39">
            <v>0.1</v>
          </cell>
          <cell r="D39">
            <v>0.15</v>
          </cell>
        </row>
        <row r="40">
          <cell r="B40" t="str">
            <v>Remagg
Vyškov</v>
          </cell>
          <cell r="C40">
            <v>0</v>
          </cell>
          <cell r="D40">
            <v>0.15</v>
          </cell>
        </row>
        <row r="41">
          <cell r="B41" t="str">
            <v>SENSIT
Rožnov p. R.</v>
          </cell>
          <cell r="C41">
            <v>0</v>
          </cell>
          <cell r="D41">
            <v>0.15</v>
          </cell>
        </row>
        <row r="42">
          <cell r="B42" t="str">
            <v>Schrack</v>
          </cell>
          <cell r="C42">
            <v>0</v>
          </cell>
          <cell r="D42">
            <v>0.15</v>
          </cell>
        </row>
        <row r="43">
          <cell r="B43" t="str">
            <v>stávající</v>
          </cell>
          <cell r="C43">
            <v>0</v>
          </cell>
          <cell r="D43">
            <v>0</v>
          </cell>
        </row>
        <row r="44">
          <cell r="B44" t="str">
            <v>strojní
dodávka</v>
          </cell>
          <cell r="C44">
            <v>0</v>
          </cell>
          <cell r="D44">
            <v>0</v>
          </cell>
        </row>
        <row r="45">
          <cell r="B45" t="str">
            <v>Teco</v>
          </cell>
          <cell r="C45">
            <v>0.1</v>
          </cell>
          <cell r="D45">
            <v>0.12</v>
          </cell>
        </row>
        <row r="46">
          <cell r="B46" t="str">
            <v>Tecont</v>
          </cell>
          <cell r="C46">
            <v>0.18</v>
          </cell>
          <cell r="D46">
            <v>0.15</v>
          </cell>
        </row>
        <row r="47">
          <cell r="B47" t="str">
            <v>výroba roz.</v>
          </cell>
          <cell r="C47">
            <v>0</v>
          </cell>
          <cell r="D47">
            <v>0</v>
          </cell>
        </row>
        <row r="48">
          <cell r="B48" t="str">
            <v>ZPA Ekoreg
Ústí n/L</v>
          </cell>
          <cell r="C48">
            <v>0.1</v>
          </cell>
          <cell r="D48">
            <v>0.15</v>
          </cell>
        </row>
        <row r="49">
          <cell r="B49" t="str">
            <v>ZPA
Nová Paka</v>
          </cell>
          <cell r="C49">
            <v>0.15</v>
          </cell>
          <cell r="D49">
            <v>0.18</v>
          </cell>
        </row>
        <row r="50">
          <cell r="B50" t="str">
            <v>JSP
Nová Paka</v>
          </cell>
          <cell r="C50">
            <v>0.1</v>
          </cell>
          <cell r="D50">
            <v>0.2</v>
          </cell>
        </row>
        <row r="51">
          <cell r="B51" t="str">
            <v>ZPA Prešov</v>
          </cell>
          <cell r="C51">
            <v>0</v>
          </cell>
          <cell r="D51">
            <v>0.15</v>
          </cell>
        </row>
        <row r="52">
          <cell r="B52" t="str">
            <v>Ekorex Lázně
Bohdaneč</v>
          </cell>
          <cell r="C52">
            <v>0.15</v>
          </cell>
          <cell r="D52">
            <v>0.15</v>
          </cell>
        </row>
        <row r="53">
          <cell r="B53" t="str">
            <v>Raab Karcher</v>
          </cell>
          <cell r="C53">
            <v>0.36</v>
          </cell>
          <cell r="D53">
            <v>0.25</v>
          </cell>
        </row>
        <row r="54">
          <cell r="B54" t="str">
            <v>Axima</v>
          </cell>
          <cell r="C54">
            <v>0</v>
          </cell>
          <cell r="D54">
            <v>0.15</v>
          </cell>
        </row>
        <row r="55">
          <cell r="B55" t="str">
            <v>Merlin&amp;G</v>
          </cell>
          <cell r="C55">
            <v>0</v>
          </cell>
          <cell r="D55">
            <v>0.16</v>
          </cell>
        </row>
        <row r="56">
          <cell r="B56" t="str">
            <v>MaR Plus</v>
          </cell>
          <cell r="C56">
            <v>0</v>
          </cell>
          <cell r="D56">
            <v>0.3</v>
          </cell>
        </row>
        <row r="57">
          <cell r="B57" t="str">
            <v>ZPA Pečky</v>
          </cell>
          <cell r="C57">
            <v>0</v>
          </cell>
          <cell r="D57">
            <v>0.15</v>
          </cell>
        </row>
        <row r="58">
          <cell r="B58" t="str">
            <v>EESA
Lomnice n.P.</v>
          </cell>
          <cell r="C58">
            <v>0</v>
          </cell>
          <cell r="D58">
            <v>0.15</v>
          </cell>
        </row>
        <row r="59">
          <cell r="B59" t="str">
            <v>REMAG trade</v>
          </cell>
          <cell r="C59">
            <v>0</v>
          </cell>
          <cell r="D59">
            <v>0.12</v>
          </cell>
        </row>
        <row r="60">
          <cell r="B60" t="str">
            <v>LOGITRON</v>
          </cell>
          <cell r="C60">
            <v>0</v>
          </cell>
          <cell r="D60">
            <v>0.15</v>
          </cell>
        </row>
        <row r="61">
          <cell r="B61" t="str">
            <v>MIWA Praha</v>
          </cell>
          <cell r="C61">
            <v>0</v>
          </cell>
          <cell r="D61">
            <v>0.15</v>
          </cell>
        </row>
        <row r="62">
          <cell r="B62" t="str">
            <v>EIG Praha</v>
          </cell>
          <cell r="C62">
            <v>0</v>
          </cell>
          <cell r="D62">
            <v>0.15</v>
          </cell>
        </row>
        <row r="63">
          <cell r="B63" t="str">
            <v>Honeywell</v>
          </cell>
          <cell r="C63">
            <v>0</v>
          </cell>
          <cell r="D63">
            <v>0</v>
          </cell>
        </row>
        <row r="64">
          <cell r="B64" t="str">
            <v>TERMS
Č. Budějovice</v>
          </cell>
          <cell r="C64">
            <v>0</v>
          </cell>
          <cell r="D64">
            <v>0.15</v>
          </cell>
        </row>
        <row r="65">
          <cell r="B65" t="str">
            <v>Transformátory
Blatná</v>
          </cell>
          <cell r="C65">
            <v>0</v>
          </cell>
          <cell r="D65">
            <v>0.15</v>
          </cell>
        </row>
        <row r="66">
          <cell r="B66" t="str">
            <v>Bola</v>
          </cell>
          <cell r="C66">
            <v>0</v>
          </cell>
          <cell r="D66">
            <v>0.15</v>
          </cell>
        </row>
        <row r="67">
          <cell r="B67" t="str">
            <v>BOLA-Siemens1</v>
          </cell>
          <cell r="C67">
            <v>0.15</v>
          </cell>
          <cell r="D67">
            <v>0.1</v>
          </cell>
        </row>
        <row r="68">
          <cell r="B68" t="str">
            <v>BOLA pohony</v>
          </cell>
          <cell r="C68">
            <v>0.5</v>
          </cell>
          <cell r="D68">
            <v>0.12</v>
          </cell>
        </row>
        <row r="69">
          <cell r="B69" t="str">
            <v>BOLA pohony</v>
          </cell>
          <cell r="C69">
            <v>0.5</v>
          </cell>
          <cell r="D69">
            <v>0.12</v>
          </cell>
        </row>
        <row r="70">
          <cell r="B70" t="str">
            <v>BELIMO kul.k.</v>
          </cell>
          <cell r="C70">
            <v>0.5</v>
          </cell>
          <cell r="D70">
            <v>0.12</v>
          </cell>
        </row>
        <row r="71">
          <cell r="B71" t="str">
            <v>BOLA-ESBE</v>
          </cell>
          <cell r="C71">
            <v>0.05</v>
          </cell>
          <cell r="D71">
            <v>0.1</v>
          </cell>
        </row>
        <row r="72">
          <cell r="B72" t="str">
            <v>J.T.O. System</v>
          </cell>
          <cell r="C72">
            <v>0.05</v>
          </cell>
          <cell r="D72">
            <v>0.15</v>
          </cell>
        </row>
        <row r="73">
          <cell r="B73" t="str">
            <v>X</v>
          </cell>
          <cell r="C73">
            <v>0</v>
          </cell>
          <cell r="D73">
            <v>0</v>
          </cell>
        </row>
        <row r="74">
          <cell r="B74" t="str">
            <v>XX</v>
          </cell>
          <cell r="C74">
            <v>0</v>
          </cell>
          <cell r="D74">
            <v>0</v>
          </cell>
        </row>
        <row r="75">
          <cell r="B75" t="str">
            <v>CATV Olomouc</v>
          </cell>
          <cell r="C75">
            <v>0</v>
          </cell>
          <cell r="D75">
            <v>0.12</v>
          </cell>
        </row>
        <row r="76">
          <cell r="B76" t="str">
            <v>el-servis
Spálovský</v>
          </cell>
          <cell r="C76">
            <v>0</v>
          </cell>
          <cell r="D76">
            <v>0.15</v>
          </cell>
        </row>
        <row r="77">
          <cell r="B77" t="str">
            <v>Danfoss</v>
          </cell>
          <cell r="C77">
            <v>0</v>
          </cell>
          <cell r="D77">
            <v>0.12</v>
          </cell>
        </row>
        <row r="78">
          <cell r="B78" t="str">
            <v>Remak
Trade a.s.</v>
          </cell>
          <cell r="C78">
            <v>0</v>
          </cell>
          <cell r="D78">
            <v>0.15</v>
          </cell>
        </row>
        <row r="79">
          <cell r="B79" t="str">
            <v>Landis &amp; Staefa</v>
          </cell>
          <cell r="C79">
            <v>0.3</v>
          </cell>
          <cell r="D79">
            <v>0.15</v>
          </cell>
        </row>
        <row r="80">
          <cell r="B80" t="str">
            <v>AutoCont</v>
          </cell>
          <cell r="C80">
            <v>0</v>
          </cell>
          <cell r="D80">
            <v>0.08</v>
          </cell>
        </row>
        <row r="81">
          <cell r="B81" t="str">
            <v>M+D</v>
          </cell>
          <cell r="C81">
            <v>0</v>
          </cell>
          <cell r="D81">
            <v>0.15</v>
          </cell>
        </row>
        <row r="82">
          <cell r="B82" t="str">
            <v>FINDER</v>
          </cell>
          <cell r="C82">
            <v>0</v>
          </cell>
          <cell r="D82">
            <v>0.15</v>
          </cell>
        </row>
        <row r="83">
          <cell r="B83" t="str">
            <v>RAMI cz s.r.o.</v>
          </cell>
          <cell r="C83">
            <v>0</v>
          </cell>
          <cell r="D83">
            <v>0.15</v>
          </cell>
        </row>
        <row r="84">
          <cell r="B84" t="str">
            <v>XXX</v>
          </cell>
          <cell r="C84">
            <v>0</v>
          </cell>
          <cell r="D84">
            <v>0.15</v>
          </cell>
        </row>
        <row r="85">
          <cell r="B85" t="str">
            <v>MAVE &amp; spol.</v>
          </cell>
          <cell r="C85">
            <v>0</v>
          </cell>
          <cell r="D85">
            <v>0.15</v>
          </cell>
        </row>
        <row r="86">
          <cell r="B86" t="str">
            <v>rozv</v>
          </cell>
          <cell r="C86">
            <v>0</v>
          </cell>
          <cell r="D86">
            <v>0</v>
          </cell>
        </row>
        <row r="87">
          <cell r="B87" t="str">
            <v>ZPA CZ Trutnov</v>
          </cell>
          <cell r="C87">
            <v>0</v>
          </cell>
          <cell r="D87">
            <v>0.08</v>
          </cell>
        </row>
        <row r="88">
          <cell r="B88" t="str">
            <v>SALTEK</v>
          </cell>
          <cell r="C88">
            <v>0</v>
          </cell>
          <cell r="D88">
            <v>0.15</v>
          </cell>
        </row>
        <row r="89">
          <cell r="B89" t="str">
            <v>BELIMO CZ</v>
          </cell>
          <cell r="C89">
            <v>0</v>
          </cell>
          <cell r="D89">
            <v>0.15</v>
          </cell>
        </row>
        <row r="90">
          <cell r="B90" t="str">
            <v>M&amp;D ELEKTRO</v>
          </cell>
          <cell r="C90">
            <v>0</v>
          </cell>
          <cell r="D90">
            <v>0.15</v>
          </cell>
        </row>
        <row r="91">
          <cell r="B91" t="str">
            <v>REGMET</v>
          </cell>
          <cell r="C91">
            <v>0.08</v>
          </cell>
          <cell r="D91">
            <v>0.15</v>
          </cell>
        </row>
        <row r="92">
          <cell r="B92" t="str">
            <v>ENBRA</v>
          </cell>
          <cell r="C92">
            <v>0</v>
          </cell>
          <cell r="D92">
            <v>0.15</v>
          </cell>
        </row>
        <row r="93">
          <cell r="B93" t="str">
            <v>AVOS
automation</v>
          </cell>
          <cell r="C93">
            <v>0</v>
          </cell>
          <cell r="D93">
            <v>0.15</v>
          </cell>
        </row>
        <row r="94">
          <cell r="B94" t="str">
            <v>Luka systém</v>
          </cell>
          <cell r="C94">
            <v>0</v>
          </cell>
          <cell r="D94">
            <v>0.15</v>
          </cell>
        </row>
        <row r="95">
          <cell r="B95" t="str">
            <v>PRO-REG</v>
          </cell>
          <cell r="C95">
            <v>0</v>
          </cell>
          <cell r="D95">
            <v>0.15</v>
          </cell>
        </row>
        <row r="96">
          <cell r="B96" t="str">
            <v>Eberle</v>
          </cell>
          <cell r="C96">
            <v>0</v>
          </cell>
          <cell r="D96">
            <v>0.15</v>
          </cell>
        </row>
        <row r="97">
          <cell r="B97" t="str">
            <v>Landis &amp; Staefa_S</v>
          </cell>
          <cell r="C97">
            <v>0.25</v>
          </cell>
          <cell r="D97">
            <v>0.09</v>
          </cell>
        </row>
        <row r="98">
          <cell r="B98" t="str">
            <v>BOLA-AM TECHNIC LINE</v>
          </cell>
          <cell r="C98">
            <v>0.1</v>
          </cell>
          <cell r="D98">
            <v>0.12</v>
          </cell>
        </row>
        <row r="99">
          <cell r="B99" t="str">
            <v>BOLA-HUBA</v>
          </cell>
          <cell r="C99">
            <v>0.1</v>
          </cell>
          <cell r="D99">
            <v>0.12</v>
          </cell>
        </row>
        <row r="100">
          <cell r="B100" t="str">
            <v>BOLA-ALCO</v>
          </cell>
          <cell r="C100">
            <v>0.11</v>
          </cell>
          <cell r="D100">
            <v>0.12</v>
          </cell>
        </row>
        <row r="101">
          <cell r="B101" t="str">
            <v>KROHNE</v>
          </cell>
          <cell r="C101">
            <v>0</v>
          </cell>
          <cell r="D101">
            <v>0.08</v>
          </cell>
        </row>
        <row r="102">
          <cell r="B102" t="str">
            <v>SENTRON CZ</v>
          </cell>
          <cell r="C102">
            <v>0</v>
          </cell>
          <cell r="D102">
            <v>0.15</v>
          </cell>
        </row>
        <row r="103">
          <cell r="B103" t="str">
            <v>DMS</v>
          </cell>
          <cell r="C103">
            <v>0</v>
          </cell>
          <cell r="D103">
            <v>0.05</v>
          </cell>
        </row>
        <row r="104">
          <cell r="B104" t="str">
            <v>Sauter</v>
          </cell>
          <cell r="C104">
            <v>0.2</v>
          </cell>
          <cell r="D104">
            <v>0.15</v>
          </cell>
        </row>
        <row r="105">
          <cell r="B105" t="str">
            <v>rozv</v>
          </cell>
          <cell r="C105">
            <v>0</v>
          </cell>
          <cell r="D105">
            <v>0</v>
          </cell>
        </row>
        <row r="106">
          <cell r="B106" t="str">
            <v>AMiT</v>
          </cell>
          <cell r="C106">
            <v>0.12</v>
          </cell>
          <cell r="D106">
            <v>0.05</v>
          </cell>
        </row>
        <row r="107">
          <cell r="B107" t="str">
            <v>ABB</v>
          </cell>
          <cell r="C107">
            <v>0.2</v>
          </cell>
          <cell r="D107">
            <v>0</v>
          </cell>
        </row>
        <row r="108">
          <cell r="B108" t="str">
            <v>Augusta elektra</v>
          </cell>
          <cell r="C108">
            <v>0.05</v>
          </cell>
          <cell r="D108">
            <v>0.15</v>
          </cell>
        </row>
        <row r="109">
          <cell r="B109" t="str">
            <v>Aseko</v>
          </cell>
          <cell r="C109">
            <v>0.05</v>
          </cell>
          <cell r="D109">
            <v>0.12</v>
          </cell>
        </row>
        <row r="110">
          <cell r="B110" t="str">
            <v>Armagas</v>
          </cell>
          <cell r="C110">
            <v>0</v>
          </cell>
          <cell r="D110">
            <v>0.12</v>
          </cell>
        </row>
        <row r="111">
          <cell r="B111" t="str">
            <v>Micropel</v>
          </cell>
          <cell r="C111">
            <v>0</v>
          </cell>
          <cell r="D111">
            <v>0.08</v>
          </cell>
        </row>
        <row r="112">
          <cell r="B112" t="str">
            <v>ABB Elektro</v>
          </cell>
          <cell r="C112">
            <v>0</v>
          </cell>
          <cell r="D112">
            <v>0.1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zv-BA1"/>
      <sheetName val="rozv-BA2"/>
      <sheetName val="rozv-BA3"/>
      <sheetName val="rozv-BA4"/>
      <sheetName val="CPS HK_montáž"/>
      <sheetName val="CPS HK-rozp"/>
      <sheetName val="CPS HK-rozp_z"/>
      <sheetName val="DATA"/>
      <sheetName val="dodav"/>
      <sheetName val="SO 01 - 06 ELEKTROINSTALACE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Merlin&amp;G</v>
          </cell>
          <cell r="C6">
            <v>0</v>
          </cell>
          <cell r="D6">
            <v>0.05</v>
          </cell>
        </row>
        <row r="7">
          <cell r="B7" t="str">
            <v>mm</v>
          </cell>
          <cell r="C7">
            <v>0</v>
          </cell>
          <cell r="D7">
            <v>0.08</v>
          </cell>
        </row>
        <row r="8">
          <cell r="B8" t="str">
            <v>stáv.</v>
          </cell>
          <cell r="C8">
            <v>0</v>
          </cell>
          <cell r="D8">
            <v>0</v>
          </cell>
        </row>
        <row r="9">
          <cell r="B9" t="str">
            <v>stroj.dod.</v>
          </cell>
          <cell r="C9">
            <v>0</v>
          </cell>
          <cell r="D9">
            <v>0</v>
          </cell>
        </row>
        <row r="10">
          <cell r="B10" t="str">
            <v>E</v>
          </cell>
          <cell r="C10">
            <v>0</v>
          </cell>
          <cell r="D10">
            <v>0</v>
          </cell>
        </row>
        <row r="11">
          <cell r="B11" t="str">
            <v>JC</v>
          </cell>
          <cell r="C11">
            <v>0.3</v>
          </cell>
          <cell r="D11">
            <v>0.1</v>
          </cell>
        </row>
        <row r="12">
          <cell r="B12" t="str">
            <v>ZPA Nová Paka</v>
          </cell>
          <cell r="C12">
            <v>0.15</v>
          </cell>
          <cell r="D12">
            <v>0.15</v>
          </cell>
        </row>
        <row r="13">
          <cell r="B13" t="str">
            <v>BD Sensors</v>
          </cell>
          <cell r="C13">
            <v>0.12</v>
          </cell>
          <cell r="D13">
            <v>0.12</v>
          </cell>
        </row>
        <row r="14">
          <cell r="B14" t="str">
            <v>CLAUHAN
Brno</v>
          </cell>
          <cell r="C14">
            <v>0</v>
          </cell>
          <cell r="D14">
            <v>0.3</v>
          </cell>
        </row>
        <row r="15">
          <cell r="B15" t="str">
            <v>Comel</v>
          </cell>
          <cell r="C15">
            <v>0</v>
          </cell>
          <cell r="D15">
            <v>0.15</v>
          </cell>
        </row>
        <row r="16">
          <cell r="B16" t="str">
            <v>DA Ostrava</v>
          </cell>
          <cell r="C16">
            <v>0</v>
          </cell>
          <cell r="D16">
            <v>0.15</v>
          </cell>
        </row>
        <row r="17">
          <cell r="B17" t="str">
            <v>dodávka 
investora</v>
          </cell>
          <cell r="C17">
            <v>0</v>
          </cell>
          <cell r="D17">
            <v>0</v>
          </cell>
        </row>
        <row r="18">
          <cell r="B18" t="str">
            <v xml:space="preserve">Eko-Ekviterm </v>
          </cell>
          <cell r="C18">
            <v>0.1</v>
          </cell>
          <cell r="D18">
            <v>0.15</v>
          </cell>
        </row>
        <row r="19">
          <cell r="B19" t="str">
            <v>Ekorex+
Nová Paka</v>
          </cell>
          <cell r="C19">
            <v>0.17</v>
          </cell>
          <cell r="D19">
            <v>0.21</v>
          </cell>
        </row>
        <row r="20">
          <cell r="B20" t="str">
            <v>Eleco</v>
          </cell>
          <cell r="C20">
            <v>0</v>
          </cell>
          <cell r="D20">
            <v>0.17</v>
          </cell>
        </row>
        <row r="21">
          <cell r="B21" t="str">
            <v>Elektram</v>
          </cell>
          <cell r="C21">
            <v>0</v>
          </cell>
          <cell r="D21">
            <v>0.15</v>
          </cell>
        </row>
        <row r="22">
          <cell r="B22" t="str">
            <v>Elektram/kab</v>
          </cell>
          <cell r="C22">
            <v>0</v>
          </cell>
          <cell r="D22">
            <v>0.08</v>
          </cell>
        </row>
        <row r="23">
          <cell r="B23" t="str">
            <v>Elektropřístroj
Písek</v>
          </cell>
          <cell r="C23">
            <v>0</v>
          </cell>
          <cell r="D23">
            <v>0.15</v>
          </cell>
        </row>
        <row r="24">
          <cell r="B24" t="str">
            <v>EP Písek</v>
          </cell>
          <cell r="C24">
            <v>0</v>
          </cell>
          <cell r="D24">
            <v>0.15</v>
          </cell>
        </row>
        <row r="25">
          <cell r="B25" t="str">
            <v>ENERGIE MaR</v>
          </cell>
          <cell r="C25">
            <v>0</v>
          </cell>
          <cell r="D25">
            <v>0</v>
          </cell>
        </row>
        <row r="26">
          <cell r="B26" t="str">
            <v>Entrelec</v>
          </cell>
          <cell r="C26">
            <v>0</v>
          </cell>
          <cell r="D26">
            <v>0.15</v>
          </cell>
        </row>
        <row r="27">
          <cell r="B27" t="str">
            <v>EO Pardubice</v>
          </cell>
          <cell r="C27">
            <v>0</v>
          </cell>
          <cell r="D27">
            <v>0.15</v>
          </cell>
        </row>
        <row r="28">
          <cell r="B28" t="str">
            <v>ERAB</v>
          </cell>
          <cell r="C28">
            <v>0</v>
          </cell>
          <cell r="D28">
            <v>0.15</v>
          </cell>
        </row>
        <row r="29">
          <cell r="B29" t="str">
            <v>F&amp;G</v>
          </cell>
          <cell r="C29">
            <v>0</v>
          </cell>
          <cell r="D29">
            <v>0.15</v>
          </cell>
        </row>
        <row r="30">
          <cell r="B30" t="str">
            <v>Groupe-
Schneider</v>
          </cell>
          <cell r="C30">
            <v>0</v>
          </cell>
          <cell r="D30">
            <v>0.15</v>
          </cell>
        </row>
        <row r="31">
          <cell r="B31" t="str">
            <v>HAKEL</v>
          </cell>
          <cell r="C31">
            <v>0</v>
          </cell>
          <cell r="D31">
            <v>0.25</v>
          </cell>
        </row>
        <row r="32">
          <cell r="B32" t="str">
            <v>Johnson 
Controls</v>
          </cell>
          <cell r="C32">
            <v>0</v>
          </cell>
          <cell r="D32">
            <v>0</v>
          </cell>
        </row>
        <row r="33">
          <cell r="B33" t="str">
            <v>Končar</v>
          </cell>
          <cell r="C33">
            <v>0</v>
          </cell>
          <cell r="D33">
            <v>0.15</v>
          </cell>
        </row>
        <row r="34">
          <cell r="B34" t="str">
            <v>LDM 
Č. Třebová</v>
          </cell>
          <cell r="C34">
            <v>0.23</v>
          </cell>
          <cell r="D34">
            <v>0.15</v>
          </cell>
        </row>
        <row r="35">
          <cell r="B35" t="str">
            <v>MARTECH
Hradec Králové</v>
          </cell>
          <cell r="C35">
            <v>0</v>
          </cell>
          <cell r="D35">
            <v>0.15</v>
          </cell>
        </row>
        <row r="36">
          <cell r="B36" t="str">
            <v>OEZ Letohrad</v>
          </cell>
          <cell r="C36">
            <v>0</v>
          </cell>
          <cell r="D36">
            <v>0.15</v>
          </cell>
        </row>
        <row r="37">
          <cell r="B37" t="str">
            <v>ostatní</v>
          </cell>
          <cell r="C37">
            <v>0</v>
          </cell>
          <cell r="D37">
            <v>0</v>
          </cell>
        </row>
        <row r="38">
          <cell r="B38" t="str">
            <v>PEVEKO
Boršice u B.</v>
          </cell>
          <cell r="C38">
            <v>0.1</v>
          </cell>
          <cell r="D38">
            <v>0.15</v>
          </cell>
        </row>
        <row r="39">
          <cell r="B39" t="str">
            <v>PEVEKO</v>
          </cell>
          <cell r="C39">
            <v>0.1</v>
          </cell>
          <cell r="D39">
            <v>0.15</v>
          </cell>
        </row>
        <row r="40">
          <cell r="B40" t="str">
            <v>Remagg
Vyškov</v>
          </cell>
          <cell r="C40">
            <v>0</v>
          </cell>
          <cell r="D40">
            <v>0.15</v>
          </cell>
        </row>
        <row r="41">
          <cell r="B41" t="str">
            <v>SENSIT
Rožnov p. R.</v>
          </cell>
          <cell r="C41">
            <v>0</v>
          </cell>
          <cell r="D41">
            <v>0.15</v>
          </cell>
        </row>
        <row r="42">
          <cell r="B42" t="str">
            <v>Schrack</v>
          </cell>
          <cell r="C42">
            <v>0</v>
          </cell>
          <cell r="D42">
            <v>0.15</v>
          </cell>
        </row>
        <row r="43">
          <cell r="B43" t="str">
            <v>stávající</v>
          </cell>
          <cell r="C43">
            <v>0</v>
          </cell>
          <cell r="D43">
            <v>0</v>
          </cell>
        </row>
        <row r="44">
          <cell r="B44" t="str">
            <v>strojní
dodávka</v>
          </cell>
          <cell r="C44">
            <v>0</v>
          </cell>
          <cell r="D44">
            <v>0</v>
          </cell>
        </row>
        <row r="45">
          <cell r="B45" t="str">
            <v>Teco</v>
          </cell>
          <cell r="C45">
            <v>0.1</v>
          </cell>
          <cell r="D45">
            <v>0.12</v>
          </cell>
        </row>
        <row r="46">
          <cell r="B46" t="str">
            <v>Tecont</v>
          </cell>
          <cell r="C46">
            <v>0.18</v>
          </cell>
          <cell r="D46">
            <v>0.15</v>
          </cell>
        </row>
        <row r="47">
          <cell r="B47" t="str">
            <v>výroba roz.</v>
          </cell>
          <cell r="C47">
            <v>0</v>
          </cell>
          <cell r="D47">
            <v>0</v>
          </cell>
        </row>
        <row r="48">
          <cell r="B48" t="str">
            <v>ZPA Ekoreg
Ústí n/L</v>
          </cell>
          <cell r="C48">
            <v>0.1</v>
          </cell>
          <cell r="D48">
            <v>0.15</v>
          </cell>
        </row>
        <row r="49">
          <cell r="B49" t="str">
            <v>ZPA Ekoreg</v>
          </cell>
          <cell r="C49">
            <v>0.1</v>
          </cell>
          <cell r="D49">
            <v>0.15</v>
          </cell>
        </row>
        <row r="50">
          <cell r="B50" t="str">
            <v>ZPA
Nová Paka</v>
          </cell>
          <cell r="C50">
            <v>0.15</v>
          </cell>
          <cell r="D50">
            <v>0.18</v>
          </cell>
        </row>
        <row r="51">
          <cell r="B51" t="str">
            <v>JSP
Nová Paka</v>
          </cell>
          <cell r="C51">
            <v>0.1</v>
          </cell>
          <cell r="D51">
            <v>0.2</v>
          </cell>
        </row>
        <row r="52">
          <cell r="B52" t="str">
            <v>JSP N.P.</v>
          </cell>
          <cell r="C52">
            <v>0.1</v>
          </cell>
          <cell r="D52">
            <v>0.2</v>
          </cell>
        </row>
        <row r="53">
          <cell r="B53" t="str">
            <v>ZPA Prešov</v>
          </cell>
          <cell r="C53">
            <v>0</v>
          </cell>
          <cell r="D53">
            <v>0.15</v>
          </cell>
        </row>
        <row r="54">
          <cell r="B54" t="str">
            <v>Ekorex Lázně
Bohdaneč</v>
          </cell>
          <cell r="C54">
            <v>0.15</v>
          </cell>
          <cell r="D54">
            <v>0.15</v>
          </cell>
        </row>
        <row r="55">
          <cell r="B55" t="str">
            <v>Raab Karcher</v>
          </cell>
          <cell r="C55">
            <v>0.36</v>
          </cell>
          <cell r="D55">
            <v>0.25</v>
          </cell>
        </row>
        <row r="56">
          <cell r="B56" t="str">
            <v>Axima</v>
          </cell>
          <cell r="C56">
            <v>0</v>
          </cell>
          <cell r="D56">
            <v>0.15</v>
          </cell>
        </row>
        <row r="57">
          <cell r="B57" t="str">
            <v>Merlin&amp;G</v>
          </cell>
          <cell r="C57">
            <v>0</v>
          </cell>
          <cell r="D57">
            <v>0.16</v>
          </cell>
        </row>
        <row r="58">
          <cell r="B58" t="str">
            <v>MaR Plus</v>
          </cell>
          <cell r="C58">
            <v>0</v>
          </cell>
          <cell r="D58">
            <v>0.3</v>
          </cell>
        </row>
        <row r="59">
          <cell r="B59" t="str">
            <v>ZPA Pečky</v>
          </cell>
          <cell r="C59">
            <v>0</v>
          </cell>
          <cell r="D59">
            <v>0.15</v>
          </cell>
        </row>
        <row r="60">
          <cell r="B60" t="str">
            <v>EESA
Lomnice n.P.</v>
          </cell>
          <cell r="C60">
            <v>0</v>
          </cell>
          <cell r="D60">
            <v>0.15</v>
          </cell>
        </row>
        <row r="61">
          <cell r="B61" t="str">
            <v>REMAG trade</v>
          </cell>
          <cell r="C61">
            <v>0</v>
          </cell>
          <cell r="D61">
            <v>0.12</v>
          </cell>
        </row>
        <row r="62">
          <cell r="B62" t="str">
            <v>LOGITRON</v>
          </cell>
          <cell r="C62">
            <v>0</v>
          </cell>
          <cell r="D62">
            <v>0.15</v>
          </cell>
        </row>
        <row r="63">
          <cell r="B63" t="str">
            <v>MIWA Praha</v>
          </cell>
          <cell r="C63">
            <v>0</v>
          </cell>
          <cell r="D63">
            <v>0.15</v>
          </cell>
        </row>
        <row r="64">
          <cell r="B64" t="str">
            <v>EIG Praha</v>
          </cell>
          <cell r="C64">
            <v>0</v>
          </cell>
          <cell r="D64">
            <v>0.15</v>
          </cell>
        </row>
        <row r="65">
          <cell r="B65" t="str">
            <v>Honeywell</v>
          </cell>
          <cell r="C65">
            <v>0.2</v>
          </cell>
          <cell r="D65">
            <v>0.12</v>
          </cell>
        </row>
        <row r="66">
          <cell r="B66" t="str">
            <v>TERMS
Č. Budějovice</v>
          </cell>
          <cell r="C66">
            <v>0</v>
          </cell>
          <cell r="D66">
            <v>0.15</v>
          </cell>
        </row>
        <row r="67">
          <cell r="B67" t="str">
            <v>Transformátory
Blatná</v>
          </cell>
          <cell r="C67">
            <v>0</v>
          </cell>
          <cell r="D67">
            <v>0.15</v>
          </cell>
        </row>
        <row r="68">
          <cell r="B68" t="str">
            <v>Bola</v>
          </cell>
          <cell r="C68">
            <v>0</v>
          </cell>
          <cell r="D68">
            <v>0.15</v>
          </cell>
        </row>
        <row r="69">
          <cell r="B69" t="str">
            <v>dodav</v>
          </cell>
          <cell r="C69">
            <v>0.15</v>
          </cell>
          <cell r="D69">
            <v>0.1</v>
          </cell>
        </row>
        <row r="70">
          <cell r="B70" t="str">
            <v>BOLA pohony</v>
          </cell>
          <cell r="C70">
            <v>0.5</v>
          </cell>
          <cell r="D70">
            <v>0.12</v>
          </cell>
        </row>
        <row r="71">
          <cell r="B71" t="str">
            <v>BELIMO kul.k.</v>
          </cell>
          <cell r="C71">
            <v>0.5</v>
          </cell>
          <cell r="D71">
            <v>0.12</v>
          </cell>
        </row>
        <row r="72">
          <cell r="B72" t="str">
            <v>BOLA-ESBE</v>
          </cell>
          <cell r="C72">
            <v>0.05</v>
          </cell>
          <cell r="D72">
            <v>0.1</v>
          </cell>
        </row>
        <row r="73">
          <cell r="B73" t="str">
            <v>J.T.O. System</v>
          </cell>
          <cell r="C73">
            <v>0.05</v>
          </cell>
          <cell r="D73">
            <v>0.15</v>
          </cell>
        </row>
        <row r="74">
          <cell r="B74" t="str">
            <v>X</v>
          </cell>
          <cell r="C74">
            <v>0</v>
          </cell>
          <cell r="D74">
            <v>0</v>
          </cell>
        </row>
        <row r="75">
          <cell r="B75" t="str">
            <v>XX</v>
          </cell>
          <cell r="C75">
            <v>0</v>
          </cell>
          <cell r="D75">
            <v>0</v>
          </cell>
        </row>
        <row r="76">
          <cell r="B76" t="str">
            <v>CATV Olomouc</v>
          </cell>
          <cell r="C76">
            <v>0</v>
          </cell>
          <cell r="D76">
            <v>0.12</v>
          </cell>
        </row>
        <row r="77">
          <cell r="B77" t="str">
            <v>el-servis
Spálovský</v>
          </cell>
          <cell r="C77">
            <v>0</v>
          </cell>
          <cell r="D77">
            <v>0.15</v>
          </cell>
        </row>
        <row r="78">
          <cell r="B78" t="str">
            <v>Danfoss</v>
          </cell>
          <cell r="C78">
            <v>0</v>
          </cell>
          <cell r="D78">
            <v>0.15</v>
          </cell>
        </row>
        <row r="79">
          <cell r="B79" t="str">
            <v>Remak
Trade a.s.</v>
          </cell>
          <cell r="C79">
            <v>0</v>
          </cell>
          <cell r="D79">
            <v>0.15</v>
          </cell>
        </row>
        <row r="80">
          <cell r="B80" t="str">
            <v>Landis &amp; Staefa</v>
          </cell>
          <cell r="C80">
            <v>0.3</v>
          </cell>
          <cell r="D80">
            <v>0.15</v>
          </cell>
        </row>
        <row r="81">
          <cell r="B81" t="str">
            <v>AutoCont</v>
          </cell>
          <cell r="C81">
            <v>0.08</v>
          </cell>
          <cell r="D81">
            <v>0.1</v>
          </cell>
        </row>
        <row r="82">
          <cell r="B82" t="str">
            <v>M+D</v>
          </cell>
          <cell r="C82">
            <v>0</v>
          </cell>
          <cell r="D82">
            <v>0.15</v>
          </cell>
        </row>
        <row r="83">
          <cell r="B83" t="str">
            <v>FINDER</v>
          </cell>
          <cell r="C83">
            <v>0</v>
          </cell>
          <cell r="D83">
            <v>0.15</v>
          </cell>
        </row>
        <row r="84">
          <cell r="B84" t="str">
            <v>RAMI cz s.r.o.</v>
          </cell>
          <cell r="C84">
            <v>0</v>
          </cell>
          <cell r="D84">
            <v>0.15</v>
          </cell>
        </row>
        <row r="85">
          <cell r="B85" t="str">
            <v>XXX</v>
          </cell>
          <cell r="C85">
            <v>0</v>
          </cell>
          <cell r="D85">
            <v>0.15</v>
          </cell>
        </row>
        <row r="86">
          <cell r="B86" t="str">
            <v>MAVE &amp; spol.</v>
          </cell>
          <cell r="C86">
            <v>0</v>
          </cell>
          <cell r="D86">
            <v>0.15</v>
          </cell>
        </row>
        <row r="87">
          <cell r="B87" t="str">
            <v>rozv</v>
          </cell>
          <cell r="C87">
            <v>0</v>
          </cell>
          <cell r="D87">
            <v>0</v>
          </cell>
        </row>
        <row r="88">
          <cell r="B88" t="str">
            <v>ZPA CZ Trutnov</v>
          </cell>
          <cell r="C88">
            <v>0</v>
          </cell>
          <cell r="D88">
            <v>0.08</v>
          </cell>
        </row>
        <row r="89">
          <cell r="B89" t="str">
            <v>SALTEK</v>
          </cell>
          <cell r="C89">
            <v>0</v>
          </cell>
          <cell r="D89">
            <v>0.15</v>
          </cell>
        </row>
        <row r="90">
          <cell r="B90" t="str">
            <v>BELIMO CZ</v>
          </cell>
          <cell r="C90">
            <v>0</v>
          </cell>
          <cell r="D90">
            <v>0.15</v>
          </cell>
        </row>
        <row r="91">
          <cell r="B91" t="str">
            <v>M&amp;D ELEKTRO</v>
          </cell>
          <cell r="C91">
            <v>0</v>
          </cell>
          <cell r="D91">
            <v>0.15</v>
          </cell>
        </row>
        <row r="92">
          <cell r="B92" t="str">
            <v>REGMET</v>
          </cell>
          <cell r="C92">
            <v>0.15</v>
          </cell>
          <cell r="D92">
            <v>0.15</v>
          </cell>
        </row>
        <row r="93">
          <cell r="B93" t="str">
            <v>ENBRA</v>
          </cell>
          <cell r="C93">
            <v>0</v>
          </cell>
          <cell r="D93">
            <v>0.15</v>
          </cell>
        </row>
        <row r="94">
          <cell r="B94" t="str">
            <v>AVOS
automation</v>
          </cell>
          <cell r="C94">
            <v>0</v>
          </cell>
          <cell r="D94">
            <v>0.15</v>
          </cell>
        </row>
        <row r="95">
          <cell r="B95" t="str">
            <v>Luka systém</v>
          </cell>
          <cell r="C95">
            <v>0</v>
          </cell>
          <cell r="D95">
            <v>0.15</v>
          </cell>
        </row>
        <row r="96">
          <cell r="B96" t="str">
            <v>PRO-REG</v>
          </cell>
          <cell r="C96">
            <v>0</v>
          </cell>
          <cell r="D96">
            <v>0.15</v>
          </cell>
        </row>
        <row r="97">
          <cell r="B97" t="str">
            <v>Eberle</v>
          </cell>
          <cell r="C97">
            <v>0</v>
          </cell>
          <cell r="D97">
            <v>0.15</v>
          </cell>
        </row>
        <row r="98">
          <cell r="B98" t="str">
            <v>Landis &amp; Staefa_S</v>
          </cell>
          <cell r="C98">
            <v>0.25</v>
          </cell>
          <cell r="D98">
            <v>0.09</v>
          </cell>
        </row>
        <row r="99">
          <cell r="B99" t="str">
            <v>BOLA-AM TECHNIC LINE</v>
          </cell>
          <cell r="C99">
            <v>0.1</v>
          </cell>
          <cell r="D99">
            <v>0.12</v>
          </cell>
        </row>
        <row r="100">
          <cell r="B100" t="str">
            <v>BOLA-HUBA</v>
          </cell>
          <cell r="C100">
            <v>0.1</v>
          </cell>
          <cell r="D100">
            <v>0.12</v>
          </cell>
        </row>
        <row r="101">
          <cell r="B101" t="str">
            <v>BOLA-ALCO</v>
          </cell>
          <cell r="C101">
            <v>0.11</v>
          </cell>
          <cell r="D101">
            <v>0.12</v>
          </cell>
        </row>
        <row r="102">
          <cell r="B102" t="str">
            <v>KROHNE</v>
          </cell>
          <cell r="C102">
            <v>0</v>
          </cell>
          <cell r="D102">
            <v>0.08</v>
          </cell>
        </row>
        <row r="103">
          <cell r="B103" t="str">
            <v>SENTRON CZ</v>
          </cell>
          <cell r="C103">
            <v>0</v>
          </cell>
          <cell r="D103">
            <v>0.15</v>
          </cell>
        </row>
        <row r="104">
          <cell r="B104" t="str">
            <v>DMS</v>
          </cell>
          <cell r="C104">
            <v>0</v>
          </cell>
          <cell r="D104">
            <v>0.05</v>
          </cell>
        </row>
        <row r="105">
          <cell r="B105" t="str">
            <v>Sauter</v>
          </cell>
          <cell r="C105">
            <v>0.3</v>
          </cell>
          <cell r="D105">
            <v>0.15</v>
          </cell>
        </row>
        <row r="106">
          <cell r="B106" t="str">
            <v>Sauter ŘS</v>
          </cell>
          <cell r="C106">
            <v>0.3</v>
          </cell>
          <cell r="D106">
            <v>7.0000000000000007E-2</v>
          </cell>
        </row>
        <row r="107">
          <cell r="B107" t="str">
            <v>rozv</v>
          </cell>
          <cell r="C107">
            <v>0</v>
          </cell>
          <cell r="D107">
            <v>0</v>
          </cell>
        </row>
        <row r="108">
          <cell r="B108" t="str">
            <v>AMiT</v>
          </cell>
          <cell r="C108">
            <v>0.12</v>
          </cell>
          <cell r="D108">
            <v>0.05</v>
          </cell>
        </row>
        <row r="109">
          <cell r="B109" t="str">
            <v>ABB</v>
          </cell>
          <cell r="C109">
            <v>0</v>
          </cell>
          <cell r="D109">
            <v>0.15</v>
          </cell>
        </row>
        <row r="110">
          <cell r="B110" t="str">
            <v>AUGUSTA ELEKTRA</v>
          </cell>
          <cell r="C110">
            <v>0.05</v>
          </cell>
          <cell r="D110">
            <v>0.12</v>
          </cell>
        </row>
        <row r="111">
          <cell r="B111" t="str">
            <v>Elsaco Kolín</v>
          </cell>
          <cell r="C111">
            <v>0</v>
          </cell>
          <cell r="D111">
            <v>0.08</v>
          </cell>
        </row>
        <row r="112">
          <cell r="B112" t="str">
            <v>SAIA</v>
          </cell>
          <cell r="C112">
            <v>0</v>
          </cell>
          <cell r="D112">
            <v>0.05</v>
          </cell>
        </row>
        <row r="113">
          <cell r="B113" t="str">
            <v>SW</v>
          </cell>
          <cell r="C113">
            <v>0</v>
          </cell>
          <cell r="D113">
            <v>0</v>
          </cell>
        </row>
        <row r="114">
          <cell r="B114" t="str">
            <v>PC</v>
          </cell>
          <cell r="C114">
            <v>0</v>
          </cell>
          <cell r="D114">
            <v>0.05</v>
          </cell>
        </row>
        <row r="115">
          <cell r="B115" t="str">
            <v>Remax CZ</v>
          </cell>
          <cell r="C115">
            <v>0</v>
          </cell>
          <cell r="D115">
            <v>0.08</v>
          </cell>
        </row>
      </sheetData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 refreshError="1">
        <row r="9">
          <cell r="E9">
            <v>974417.6</v>
          </cell>
          <cell r="F9">
            <v>0</v>
          </cell>
          <cell r="G9">
            <v>0</v>
          </cell>
          <cell r="H9">
            <v>286589.36</v>
          </cell>
          <cell r="I9">
            <v>0</v>
          </cell>
        </row>
        <row r="15">
          <cell r="H15">
            <v>0</v>
          </cell>
        </row>
      </sheetData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VzorPolozky"/>
      <sheetName val="SO 01 - I. ETAPA"/>
      <sheetName val="SO 01 - II. ETAPA"/>
      <sheetName val="SO 02"/>
      <sheetName val="rozpočet"/>
      <sheetName val="so 11.1a výkaz výměr"/>
      <sheetName val="OBALKA"/>
      <sheetName val="rekapitulace"/>
      <sheetName val="položky"/>
    </sheetNames>
    <sheetDataSet>
      <sheetData sheetId="0">
        <row r="23">
          <cell r="G23">
            <v>0</v>
          </cell>
        </row>
        <row r="24">
          <cell r="G24">
            <v>0</v>
          </cell>
        </row>
        <row r="25">
          <cell r="G25">
            <v>7682896.2100000018</v>
          </cell>
        </row>
        <row r="26">
          <cell r="G26">
            <v>1613408.2041000002</v>
          </cell>
        </row>
        <row r="27">
          <cell r="G27">
            <v>0</v>
          </cell>
        </row>
        <row r="29">
          <cell r="J29" t="str">
            <v>CZK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p_6"/>
      <sheetName val="Rozpis"/>
      <sheetName val="Zdroj"/>
      <sheetName val="Main Gate House"/>
      <sheetName val="Main_Gate_House"/>
      <sheetName val="Main_Gate_House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lia_rozp"/>
      <sheetName val="Thalia_nab"/>
      <sheetName val="Thalia_mont"/>
      <sheetName val="Thalia_mont_komunikace"/>
      <sheetName val="tHALIA_SW"/>
      <sheetName val="thalia_rozv_DP1"/>
      <sheetName val="thalia_rozv_DP2"/>
      <sheetName val="thalia_rozv_DP3"/>
      <sheetName val="thalia_rozv_D1"/>
      <sheetName val="thalia_rozv_D2"/>
      <sheetName val="Thalia_skřIRC"/>
      <sheetName val="Náplavní_rozp_2"/>
      <sheetName val="SW"/>
      <sheetName val="Náplavní_rozp"/>
      <sheetName val="Náplavní_nab"/>
      <sheetName val="fancoil"/>
      <sheetName val="Naplavni_mont"/>
      <sheetName val="Naplavni_mont (2)"/>
      <sheetName val="proj"/>
      <sheetName val="Gayer_rozp"/>
      <sheetName val="Gayer_rozp_z"/>
      <sheetName val="Gayer_rozv"/>
      <sheetName val="Gayer_mont"/>
      <sheetName val="Ládví_rozp_z"/>
      <sheetName val="Ládví"/>
      <sheetName val="Nem_specifikace"/>
      <sheetName val="DATA"/>
      <sheetName val="ostat_data"/>
      <sheetName val="_data"/>
      <sheetName val="_data (2)"/>
      <sheetName val="ŽLABY180804"/>
      <sheetName val="dodav"/>
      <sheetName val="odhad"/>
      <sheetName val="tISKÁRNA_rozv_odhad"/>
      <sheetName val="CM _rozp (2)"/>
      <sheetName val="Polička Těl_rozp"/>
      <sheetName val="Serum_rozp_z (2)"/>
      <sheetName val="Serum_roup"/>
      <sheetName val="Serum_roup (2)"/>
      <sheetName val="Serum_rozp_z"/>
      <sheetName val="kabelak (3)"/>
      <sheetName val="kabelak"/>
      <sheetName val="RA-PS11"/>
      <sheetName val="RV20.1"/>
      <sheetName val="RB-PS12"/>
      <sheetName val="RV20.2"/>
      <sheetName val="RV21"/>
      <sheetName val="CM _rozp"/>
      <sheetName val="CMII _BOC_CO_nab"/>
      <sheetName val="CM_rozv"/>
      <sheetName val="CM_mont"/>
      <sheetName val="Polička Těl_nab"/>
      <sheetName val="Polička_MR1_rozv"/>
      <sheetName val="Polička_mont"/>
      <sheetName val="Pleas_rozv"/>
      <sheetName val="Pleas_rozp_4A"/>
      <sheetName val="Pleas_rozp_5,6"/>
      <sheetName val="Pleas_nab"/>
      <sheetName val="Pleas_nab_5,6_z"/>
      <sheetName val="Nabídka LG"/>
      <sheetName val="Pleas_mont_4A"/>
      <sheetName val="Pleas_mont_5,6"/>
      <sheetName val="Pleas_mont_VS "/>
      <sheetName val="NemKolín_MaR_nab"/>
      <sheetName val="NemKolín_MaR_nab (2)"/>
      <sheetName val="Nabídka (2)"/>
      <sheetName val="JN_mont"/>
      <sheetName val="Nem_4.2"/>
      <sheetName val="Nem_4.3"/>
      <sheetName val="Nem_4.4-1p"/>
      <sheetName val="Nem_4.4-2p"/>
      <sheetName val="Babice_Honeywell_rozp"/>
      <sheetName val="Babicel_rozp_z"/>
      <sheetName val="JN kolonada_nab"/>
      <sheetName val="JN_ rozv"/>
      <sheetName val="Ledeč_BA"/>
      <sheetName val="Krycí list"/>
      <sheetName val="Ledeč_mont"/>
      <sheetName val="rekapitulace"/>
      <sheetName val="Položky"/>
      <sheetName val="Ledeč_mont_kontr"/>
      <sheetName val="Nabídka _LG_light"/>
      <sheetName val="light_rozp"/>
      <sheetName val="rekap3"/>
      <sheetName val="Foxconn light_rozp_z"/>
      <sheetName val="light_BB"/>
      <sheetName val="light_BC"/>
      <sheetName val="light_BD"/>
      <sheetName val="FoxconnVS_rozp"/>
      <sheetName val="Nabídka"/>
      <sheetName val="rozp MaR (2)"/>
      <sheetName val="pomoc vyp"/>
      <sheetName val="rozp_ODHAD"/>
      <sheetName val="MaR"/>
      <sheetName val="Nabídka  LG"/>
      <sheetName val="rozp MaR"/>
      <sheetName val="rozp_z"/>
      <sheetName val="rozp (2)"/>
      <sheetName val="MONT_doplň_8p"/>
      <sheetName val="cina_skřIRC"/>
      <sheetName val="Vin_Rozvaděče Fan-coily"/>
      <sheetName val="mont_data"/>
      <sheetName val="ŽLABY_staré"/>
      <sheetName val="Cenová informace HWL"/>
      <sheetName val="Univerzita HK MaR_nab"/>
      <sheetName val="rozp_UHK"/>
      <sheetName val="kab_UHK"/>
      <sheetName val="mont_UHK"/>
      <sheetName val="mont_UHK (2)"/>
      <sheetName val="kabel_vzor"/>
      <sheetName val="UHK_skřIRC"/>
      <sheetName val="rozv_BA1"/>
      <sheetName val="rozv_BA2"/>
      <sheetName val="nab_KD"/>
      <sheetName val="List1"/>
      <sheetName val="rozp pomoc_vzor"/>
      <sheetName val="rozp pomoc mont_vzor"/>
      <sheetName val="rozp_lab_PP_"/>
      <sheetName val="rozp_lab_PP_rozp_z"/>
      <sheetName val="rozp_lab_PP_VV_z"/>
      <sheetName val="kabel_lab"/>
      <sheetName val="rozv_RD1"/>
      <sheetName val="rozv_RD2"/>
      <sheetName val="rozv_RD3"/>
      <sheetName val="rozv_RD4"/>
      <sheetName val="mont_lab"/>
      <sheetName val="kabel_lab_RD2"/>
      <sheetName val="kabel_lab_RD3"/>
      <sheetName val="kabel_lab_RD4"/>
      <sheetName val="seznam obvodů_data"/>
      <sheetName val="seznam obvodů"/>
      <sheetName val="seznam obvodů_080306"/>
      <sheetName val="rozp_lab_PP"/>
      <sheetName val="Nem Nachod JIP MaR_rozp"/>
      <sheetName val="kabel_JIP PP_opr"/>
      <sheetName val="kabel_JIP PP_"/>
      <sheetName val="specPP"/>
      <sheetName val="rozp_hor nem opr tl"/>
      <sheetName val="rozpPP (2)"/>
      <sheetName val="rozv_"/>
      <sheetName val="nem Nachod_nab_subi"/>
      <sheetName val="rozp"/>
      <sheetName val="nem Nachod_nab"/>
      <sheetName val="mont"/>
      <sheetName val="03vMaR"/>
      <sheetName val="03zMaR"/>
      <sheetName val="04MaR"/>
      <sheetName val="3-JH-2001,2 (B)"/>
      <sheetName val="CV Smetanova_PP27.7"/>
      <sheetName val="CV Smetanova_PP27.7z"/>
      <sheetName val="CV Smetanova_PP21.7"/>
      <sheetName val="CV Smetanova_PP21.7_z"/>
      <sheetName val="CV Smetanova_PP19.7_z"/>
      <sheetName val="CV Smetanova_PP17.7 (4)"/>
      <sheetName val="CV Smetanova_PP12.7 (3)"/>
      <sheetName val="CV Smetanova_PP11.7 (2)"/>
      <sheetName val="CV Smetanova_PP10.7"/>
      <sheetName val="CV Smetanova_specifikace PP 3"/>
      <sheetName val="CV Smetanova_PP"/>
      <sheetName val="CV Smetanova_specifikace PP 1"/>
      <sheetName val="blok"/>
      <sheetName val="CV Smetanova_rozp_nab (2)"/>
      <sheetName val="Rekapitulace MaR"/>
      <sheetName val="Položky MaR"/>
      <sheetName val="CV Smetanova_rozp_nab"/>
      <sheetName val="CV Smetanova_CD"/>
      <sheetName val="mont_CV nab"/>
      <sheetName val="ŽLABY180804 (2)"/>
      <sheetName val="CV Smetanova_tepl. prip."/>
      <sheetName val="CV Smetanova_tepl. prip._rozp"/>
      <sheetName val="CV Smetanova_tepl. prip._výk vý"/>
      <sheetName val="krycí list_specifikace"/>
      <sheetName val="krycí list_rozpočet"/>
      <sheetName val="CV Smetanova_výkaz výměr"/>
      <sheetName val="CV Smetanova_rozpočet"/>
      <sheetName val="CV Smetanova_proj"/>
      <sheetName val="DCV_rozp (2)"/>
      <sheetName val="DCV_rozp"/>
      <sheetName val="rozv"/>
      <sheetName val="List2"/>
      <sheetName val="List3"/>
      <sheetName val="Svatoslavova"/>
      <sheetName val="Cibulkové_rozp"/>
      <sheetName val="Legie_rozp"/>
      <sheetName val="rekap"/>
      <sheetName val="Jihlavska_rozp"/>
      <sheetName val="Krumlovska_rozp"/>
      <sheetName val="Krumlovska_rozp (2)"/>
      <sheetName val="rozv_RD2_"/>
      <sheetName val="rozv_RD2_ (2)"/>
      <sheetName val="Nuselska_rozp (2)"/>
      <sheetName val="rozv_RD2_ (3)"/>
      <sheetName val="rozp_KRPA"/>
      <sheetName val="kalkulace"/>
      <sheetName val="Univ Pce A2_mont"/>
      <sheetName val="Univ Pce A2_nab"/>
      <sheetName val="Univ Pce A2 _VV"/>
      <sheetName val="cena PP"/>
      <sheetName val="kabel"/>
      <sheetName val="rozp_ventily2"/>
      <sheetName val="rozp_ventily"/>
      <sheetName val="Siemens"/>
      <sheetName val="Husova_rozp"/>
      <sheetName val="Husova_rozp (2)"/>
      <sheetName val="Husova_nab"/>
      <sheetName val="Krucenburk_rozp"/>
      <sheetName val="Krucenburk_rozp (2)"/>
      <sheetName val="Krucenburk_nab"/>
      <sheetName val="Tepvos_rozp"/>
      <sheetName val="Na Dolinách_rozpPP_230209"/>
      <sheetName val="titl_Na Dolinách"/>
      <sheetName val="Na Dolinách_specPP"/>
      <sheetName val="Na Dolinách_230209"/>
      <sheetName val="Na Dolinách_rozp_230209"/>
      <sheetName val="Na Dolinách_nab2"/>
      <sheetName val="Na Dolinách_rozp2"/>
      <sheetName val="Bránická_rozp"/>
      <sheetName val="Na Dolinách_rozp"/>
      <sheetName val="Na Dolinách_nab"/>
      <sheetName val="Bránická_311008"/>
      <sheetName val="Bránická_nab2"/>
      <sheetName val="Bránická_nab"/>
      <sheetName val="Cibulkové_pův rozp"/>
      <sheetName val="rozv pův_Cibulkove"/>
      <sheetName val="Cibulkové_rozp_10.10.08"/>
      <sheetName val="Cibulkové_nab_16.10.08"/>
      <sheetName val="Cibulkové_podkl_10.10.08"/>
      <sheetName val="rozv_Cibulkove_10.10.08"/>
      <sheetName val="ZŠ Jitřní_rozp"/>
      <sheetName val="ZŠ Jitřní_nab"/>
      <sheetName val="ZŠ Jitřní_nab2"/>
      <sheetName val="Nuselská94_rozp"/>
      <sheetName val="Nuselská94_nab"/>
      <sheetName val="Na Klikovce_rozp"/>
      <sheetName val="Na Klikovce_rozp (2)"/>
      <sheetName val="Viktorinova_tlak"/>
      <sheetName val="rozv_vik_tlak"/>
      <sheetName val="rozv_vik_kot"/>
      <sheetName val="rozv_vik_kot_bez tl"/>
      <sheetName val="Viktorinova_tlak (2)"/>
      <sheetName val="Viktorinova_kotelna"/>
      <sheetName val="Viktorinova_kotelna_nab"/>
      <sheetName val="Viktorinova_kotelna_rek"/>
      <sheetName val="Viktorinova_OPS+kot_rozp PP (2)"/>
      <sheetName val="Na Klaudiánce 19_rozp PP"/>
      <sheetName val="Na Klaudiánce 19_spec PP"/>
      <sheetName val="Viktorinova_OPS+kot_rozp PP"/>
      <sheetName val="Viktorinova_OPS+kot"/>
      <sheetName val="Viktorinova_OPS+kot_spec PP"/>
      <sheetName val="Viktorinova_OPS+kot_specPPmarek"/>
      <sheetName val="Viktorinova_podklady1"/>
      <sheetName val="Viktorinova_OPS"/>
      <sheetName val="rozv_vik"/>
      <sheetName val="rozv_viktorinova"/>
      <sheetName val="Semily_roz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y"/>
      <sheetName val="NORMIK"/>
      <sheetName val="Řídící systém"/>
      <sheetName val="Software ŘS"/>
      <sheetName val="Centrála"/>
      <sheetName val="MaR"/>
      <sheetName val="Rozvodnice"/>
      <sheetName val="Ostatní"/>
      <sheetName val="Dopis"/>
      <sheetName val="Nabídka"/>
      <sheetName val="RabatList"/>
      <sheetName val="so 11.1a výkaz výměr"/>
      <sheetName val="OBALKA"/>
      <sheetName val="Krycí list"/>
      <sheetName val="stavební část"/>
    </sheetNames>
    <sheetDataSet>
      <sheetData sheetId="0">
        <row r="25">
          <cell r="D25">
            <v>160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FM"/>
      <sheetName val="KAB"/>
      <sheetName val="ROZV"/>
      <sheetName val="rozpočetstep"/>
      <sheetName val="List1"/>
      <sheetName val="rekstep"/>
      <sheetName val="KAB2"/>
      <sheetName val="ROZV2"/>
      <sheetName val="rozpočetstep2"/>
      <sheetName val="List2"/>
      <sheetName val="rekstep2"/>
      <sheetName val="KAB2skutmezistav"/>
      <sheetName val="KABskut"/>
      <sheetName val="motážrozv"/>
      <sheetName val="ROZVskutmezistav"/>
      <sheetName val="rozpočetskut"/>
      <sheetName val="rekskut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KABčist"/>
      <sheetName val="rozpočetčist"/>
      <sheetName val="rekčist"/>
      <sheetName val="spec_dopl_čist2"/>
      <sheetName val="kab_dopl_čist2"/>
      <sheetName val="KABčist2"/>
      <sheetName val="rozpočetčist2"/>
      <sheetName val="rekčist2"/>
      <sheetName val="Rekapitulace"/>
      <sheetName val="ÚT"/>
      <sheetName val="Plyn"/>
      <sheetName val="VZT"/>
      <sheetName val="SILNO"/>
      <sheetName val="SILNO -VAR."/>
      <sheetName val="MaR"/>
      <sheetName val="EPS"/>
      <sheetName val="Krycí list"/>
      <sheetName val="DATA"/>
      <sheetName val="ZS, VR"/>
      <sheetName val="Budova"/>
      <sheetName val="Venky"/>
    </sheetNames>
    <sheetDataSet>
      <sheetData sheetId="0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atyp</v>
          </cell>
          <cell r="C6">
            <v>0</v>
          </cell>
          <cell r="D6">
            <v>0.08</v>
          </cell>
        </row>
        <row r="7">
          <cell r="B7" t="str">
            <v>ZPA Nová Paka</v>
          </cell>
          <cell r="C7">
            <v>0.15</v>
          </cell>
          <cell r="D7">
            <v>0.15</v>
          </cell>
          <cell r="E7">
            <v>4.2</v>
          </cell>
        </row>
        <row r="8">
          <cell r="B8" t="str">
            <v>BD Sensors</v>
          </cell>
          <cell r="C8">
            <v>0</v>
          </cell>
          <cell r="D8">
            <v>0.15</v>
          </cell>
        </row>
        <row r="9">
          <cell r="B9" t="str">
            <v>CLAUHAN
Brno</v>
          </cell>
          <cell r="C9">
            <v>0</v>
          </cell>
          <cell r="D9">
            <v>0.3</v>
          </cell>
        </row>
        <row r="10">
          <cell r="B10" t="str">
            <v>Comel</v>
          </cell>
          <cell r="C10">
            <v>0</v>
          </cell>
          <cell r="D10">
            <v>0.15</v>
          </cell>
        </row>
        <row r="11">
          <cell r="B11" t="str">
            <v>DA Ostrava</v>
          </cell>
          <cell r="C11">
            <v>0</v>
          </cell>
          <cell r="D11">
            <v>0.15</v>
          </cell>
        </row>
        <row r="12">
          <cell r="B12" t="str">
            <v>dodávka 
investora</v>
          </cell>
          <cell r="C12">
            <v>0</v>
          </cell>
          <cell r="D12">
            <v>0</v>
          </cell>
        </row>
        <row r="13">
          <cell r="B13" t="str">
            <v xml:space="preserve">Eko-Ekviterm </v>
          </cell>
          <cell r="C13">
            <v>0.1</v>
          </cell>
          <cell r="D13">
            <v>0.15</v>
          </cell>
        </row>
        <row r="14">
          <cell r="B14" t="str">
            <v>Ekorex+
Nová Paka</v>
          </cell>
          <cell r="C14">
            <v>0.17</v>
          </cell>
          <cell r="D14">
            <v>0.21</v>
          </cell>
        </row>
        <row r="15">
          <cell r="B15" t="str">
            <v>Eleco</v>
          </cell>
          <cell r="C15">
            <v>0</v>
          </cell>
          <cell r="D15">
            <v>0.17</v>
          </cell>
        </row>
        <row r="16">
          <cell r="B16" t="str">
            <v>Elektram</v>
          </cell>
          <cell r="C16">
            <v>0</v>
          </cell>
          <cell r="D16">
            <v>0.15</v>
          </cell>
        </row>
        <row r="17">
          <cell r="B17" t="str">
            <v>Elektram/kab</v>
          </cell>
          <cell r="C17">
            <v>0</v>
          </cell>
          <cell r="D17">
            <v>0.12</v>
          </cell>
        </row>
        <row r="18">
          <cell r="B18" t="str">
            <v>Elektropřístroj
Písek</v>
          </cell>
          <cell r="C18">
            <v>0</v>
          </cell>
          <cell r="D18">
            <v>0.15</v>
          </cell>
        </row>
        <row r="19">
          <cell r="B19" t="str">
            <v>EP Písek</v>
          </cell>
          <cell r="C19">
            <v>0</v>
          </cell>
          <cell r="D19">
            <v>0.15</v>
          </cell>
        </row>
        <row r="20">
          <cell r="B20" t="str">
            <v>ENERGIE MaR</v>
          </cell>
          <cell r="C20">
            <v>0</v>
          </cell>
          <cell r="D20">
            <v>0</v>
          </cell>
        </row>
        <row r="21">
          <cell r="B21" t="str">
            <v>Entrelec</v>
          </cell>
          <cell r="C21">
            <v>0</v>
          </cell>
          <cell r="D21">
            <v>0.12</v>
          </cell>
        </row>
        <row r="22">
          <cell r="B22" t="str">
            <v>EO Pardubice</v>
          </cell>
          <cell r="C22">
            <v>0</v>
          </cell>
          <cell r="D22">
            <v>0.15</v>
          </cell>
        </row>
        <row r="23">
          <cell r="B23" t="str">
            <v>ERAB</v>
          </cell>
          <cell r="C23">
            <v>0</v>
          </cell>
          <cell r="D23">
            <v>0.15</v>
          </cell>
        </row>
        <row r="24">
          <cell r="B24" t="str">
            <v>F&amp;G</v>
          </cell>
          <cell r="C24">
            <v>0</v>
          </cell>
          <cell r="D24">
            <v>0.15</v>
          </cell>
        </row>
        <row r="25">
          <cell r="B25" t="str">
            <v>Groupe-
Schneider</v>
          </cell>
          <cell r="C25">
            <v>0</v>
          </cell>
          <cell r="D25">
            <v>0.15</v>
          </cell>
        </row>
        <row r="26">
          <cell r="B26" t="str">
            <v>Groupe-
Schneider-Tel.</v>
          </cell>
          <cell r="C26">
            <v>0.1</v>
          </cell>
          <cell r="D26">
            <v>0.1</v>
          </cell>
        </row>
        <row r="27">
          <cell r="B27" t="str">
            <v>HAKEL</v>
          </cell>
          <cell r="C27">
            <v>0</v>
          </cell>
          <cell r="D27">
            <v>0.25</v>
          </cell>
        </row>
        <row r="28">
          <cell r="B28" t="str">
            <v>Johnson 
Controls</v>
          </cell>
          <cell r="C28">
            <v>0</v>
          </cell>
          <cell r="D28">
            <v>0</v>
          </cell>
        </row>
        <row r="29">
          <cell r="B29" t="str">
            <v>Končar</v>
          </cell>
          <cell r="C29">
            <v>0</v>
          </cell>
          <cell r="D29">
            <v>0.15</v>
          </cell>
        </row>
        <row r="30">
          <cell r="B30" t="str">
            <v>LDM 
Č. Třebová</v>
          </cell>
          <cell r="C30">
            <v>0.23</v>
          </cell>
          <cell r="D30">
            <v>0.15</v>
          </cell>
        </row>
        <row r="31">
          <cell r="B31" t="str">
            <v>MARTECH
Hradec Králové</v>
          </cell>
          <cell r="C31">
            <v>0</v>
          </cell>
          <cell r="D31">
            <v>0.15</v>
          </cell>
        </row>
        <row r="32">
          <cell r="B32" t="str">
            <v>OEZ Letohrad</v>
          </cell>
          <cell r="C32">
            <v>0</v>
          </cell>
          <cell r="D32">
            <v>0.15</v>
          </cell>
        </row>
        <row r="33">
          <cell r="B33" t="str">
            <v>ostatní</v>
          </cell>
          <cell r="C33">
            <v>0</v>
          </cell>
          <cell r="D33">
            <v>0.05</v>
          </cell>
        </row>
        <row r="34">
          <cell r="B34" t="str">
            <v>PEVEKO
Boršice u B.</v>
          </cell>
          <cell r="C34">
            <v>0.1</v>
          </cell>
          <cell r="D34">
            <v>0.15</v>
          </cell>
        </row>
        <row r="35">
          <cell r="B35" t="str">
            <v>Remagg
Vyškov</v>
          </cell>
          <cell r="C35">
            <v>0</v>
          </cell>
          <cell r="D35">
            <v>0.15</v>
          </cell>
        </row>
        <row r="36">
          <cell r="B36" t="str">
            <v>SENSIT
Rožnov p. R.</v>
          </cell>
          <cell r="C36">
            <v>0</v>
          </cell>
          <cell r="D36">
            <v>0.15</v>
          </cell>
        </row>
        <row r="37">
          <cell r="B37" t="str">
            <v>Schrack</v>
          </cell>
          <cell r="C37">
            <v>0</v>
          </cell>
          <cell r="D37">
            <v>0.15</v>
          </cell>
        </row>
        <row r="38">
          <cell r="B38" t="str">
            <v>stávající</v>
          </cell>
          <cell r="C38">
            <v>0</v>
          </cell>
          <cell r="D38">
            <v>0</v>
          </cell>
        </row>
        <row r="39">
          <cell r="B39" t="str">
            <v>strojní
dodávka</v>
          </cell>
          <cell r="C39">
            <v>0</v>
          </cell>
          <cell r="D39">
            <v>0</v>
          </cell>
        </row>
        <row r="40">
          <cell r="B40" t="str">
            <v>Teco</v>
          </cell>
          <cell r="C40">
            <v>0.1</v>
          </cell>
          <cell r="D40">
            <v>0.15</v>
          </cell>
        </row>
        <row r="41">
          <cell r="B41" t="str">
            <v>Tecont</v>
          </cell>
          <cell r="C41">
            <v>0.2</v>
          </cell>
          <cell r="D41">
            <v>0.2</v>
          </cell>
        </row>
        <row r="42">
          <cell r="B42" t="str">
            <v>výroba roz.</v>
          </cell>
          <cell r="C42">
            <v>0</v>
          </cell>
          <cell r="D42">
            <v>0</v>
          </cell>
        </row>
        <row r="43">
          <cell r="B43" t="str">
            <v>ZPA Ekoreg
Ústí n/L</v>
          </cell>
          <cell r="C43">
            <v>0.1</v>
          </cell>
          <cell r="D43">
            <v>0.15</v>
          </cell>
        </row>
        <row r="44">
          <cell r="B44" t="str">
            <v>ZPA
Nová Paka</v>
          </cell>
          <cell r="C44">
            <v>0.15</v>
          </cell>
          <cell r="D44">
            <v>0.18</v>
          </cell>
        </row>
        <row r="45">
          <cell r="B45" t="str">
            <v>JSP
Nová Paka</v>
          </cell>
          <cell r="C45">
            <v>0.1</v>
          </cell>
          <cell r="D45">
            <v>0.2</v>
          </cell>
        </row>
        <row r="46">
          <cell r="B46" t="str">
            <v>ZPA Prešov</v>
          </cell>
          <cell r="C46">
            <v>0</v>
          </cell>
          <cell r="D46">
            <v>0.15</v>
          </cell>
        </row>
        <row r="47">
          <cell r="B47" t="str">
            <v>Ekorex Lázně
Bohdaneč</v>
          </cell>
          <cell r="C47">
            <v>0.15</v>
          </cell>
          <cell r="D47">
            <v>0.15</v>
          </cell>
        </row>
        <row r="48">
          <cell r="B48" t="str">
            <v>Raab Karcher</v>
          </cell>
          <cell r="C48">
            <v>0.36</v>
          </cell>
          <cell r="D48">
            <v>0.25</v>
          </cell>
        </row>
        <row r="49">
          <cell r="B49" t="str">
            <v>Axima</v>
          </cell>
          <cell r="C49">
            <v>0</v>
          </cell>
          <cell r="D49">
            <v>0.15</v>
          </cell>
        </row>
        <row r="50">
          <cell r="B50" t="str">
            <v>Merlin&amp;G</v>
          </cell>
          <cell r="C50">
            <v>0</v>
          </cell>
          <cell r="D50">
            <v>0.16</v>
          </cell>
        </row>
        <row r="51">
          <cell r="B51" t="str">
            <v>MaR Plus</v>
          </cell>
          <cell r="C51">
            <v>0</v>
          </cell>
          <cell r="D51">
            <v>0.3</v>
          </cell>
        </row>
        <row r="52">
          <cell r="B52" t="str">
            <v>ZPA Pečky</v>
          </cell>
          <cell r="C52">
            <v>0</v>
          </cell>
          <cell r="D52">
            <v>0.15</v>
          </cell>
        </row>
        <row r="53">
          <cell r="B53" t="str">
            <v>EESA
Lomnice n.P.</v>
          </cell>
          <cell r="C53">
            <v>0</v>
          </cell>
          <cell r="D53">
            <v>0.15</v>
          </cell>
        </row>
        <row r="54">
          <cell r="B54" t="str">
            <v>REMAG trade</v>
          </cell>
          <cell r="C54">
            <v>0</v>
          </cell>
          <cell r="D54">
            <v>0.15</v>
          </cell>
        </row>
        <row r="55">
          <cell r="B55" t="str">
            <v>LOGITRON</v>
          </cell>
          <cell r="C55">
            <v>0</v>
          </cell>
          <cell r="D55">
            <v>0.15</v>
          </cell>
        </row>
        <row r="56">
          <cell r="B56" t="str">
            <v>MIWA Praha</v>
          </cell>
          <cell r="C56">
            <v>0</v>
          </cell>
          <cell r="D56">
            <v>0.15</v>
          </cell>
        </row>
        <row r="57">
          <cell r="B57" t="str">
            <v>EIG Praha</v>
          </cell>
          <cell r="C57">
            <v>0</v>
          </cell>
          <cell r="D57">
            <v>0.15</v>
          </cell>
        </row>
        <row r="58">
          <cell r="B58" t="str">
            <v>Honeywell</v>
          </cell>
          <cell r="C58">
            <v>0.4</v>
          </cell>
          <cell r="D58">
            <v>0.08</v>
          </cell>
        </row>
        <row r="59">
          <cell r="B59" t="str">
            <v>TERMS
Č. Budějovice</v>
          </cell>
          <cell r="C59">
            <v>0</v>
          </cell>
          <cell r="D59">
            <v>0.18</v>
          </cell>
        </row>
        <row r="60">
          <cell r="B60" t="str">
            <v>Transformátory
Blatná</v>
          </cell>
          <cell r="C60">
            <v>0</v>
          </cell>
          <cell r="D60">
            <v>0.15</v>
          </cell>
        </row>
        <row r="61">
          <cell r="B61" t="str">
            <v>Bola</v>
          </cell>
          <cell r="C61">
            <v>0</v>
          </cell>
          <cell r="D61">
            <v>0.15</v>
          </cell>
        </row>
        <row r="62">
          <cell r="B62" t="str">
            <v>J.T.O. System</v>
          </cell>
          <cell r="C62">
            <v>0</v>
          </cell>
          <cell r="D62">
            <v>0.15</v>
          </cell>
        </row>
        <row r="63">
          <cell r="B63" t="str">
            <v>X</v>
          </cell>
          <cell r="C63">
            <v>0</v>
          </cell>
          <cell r="D63">
            <v>0</v>
          </cell>
        </row>
        <row r="64">
          <cell r="B64" t="str">
            <v>XX</v>
          </cell>
          <cell r="C64">
            <v>0</v>
          </cell>
          <cell r="D64">
            <v>0</v>
          </cell>
        </row>
        <row r="65">
          <cell r="B65" t="str">
            <v>CATV Olomouc</v>
          </cell>
          <cell r="C65">
            <v>0</v>
          </cell>
          <cell r="D65">
            <v>0.12</v>
          </cell>
        </row>
        <row r="66">
          <cell r="B66" t="str">
            <v>el-servis
Spálovský</v>
          </cell>
          <cell r="C66">
            <v>0</v>
          </cell>
          <cell r="D66">
            <v>0.15</v>
          </cell>
        </row>
        <row r="67">
          <cell r="B67" t="str">
            <v>Danfoss</v>
          </cell>
          <cell r="C67">
            <v>0</v>
          </cell>
          <cell r="D67">
            <v>0.15</v>
          </cell>
        </row>
        <row r="68">
          <cell r="B68" t="str">
            <v>Remak
Trade a.s.</v>
          </cell>
          <cell r="C68">
            <v>0</v>
          </cell>
          <cell r="D68">
            <v>0.15</v>
          </cell>
        </row>
        <row r="69">
          <cell r="B69" t="str">
            <v>Landis &amp; Staefa</v>
          </cell>
          <cell r="C69">
            <v>0.3</v>
          </cell>
          <cell r="D69">
            <v>0.15</v>
          </cell>
        </row>
        <row r="70">
          <cell r="B70" t="str">
            <v>AutoCont</v>
          </cell>
          <cell r="C70">
            <v>0</v>
          </cell>
          <cell r="D70">
            <v>0.08</v>
          </cell>
        </row>
        <row r="71">
          <cell r="B71" t="str">
            <v>M+D</v>
          </cell>
          <cell r="C71">
            <v>0</v>
          </cell>
          <cell r="D71">
            <v>0.15</v>
          </cell>
        </row>
        <row r="72">
          <cell r="B72" t="str">
            <v>FINDER</v>
          </cell>
          <cell r="C72">
            <v>0</v>
          </cell>
          <cell r="D72">
            <v>0.15</v>
          </cell>
        </row>
        <row r="73">
          <cell r="B73" t="str">
            <v>RAMI cz s.r.o.</v>
          </cell>
          <cell r="C73">
            <v>0</v>
          </cell>
          <cell r="D73">
            <v>0.15</v>
          </cell>
        </row>
        <row r="74">
          <cell r="B74" t="str">
            <v>XXX</v>
          </cell>
          <cell r="C74">
            <v>0</v>
          </cell>
          <cell r="D74">
            <v>0.15</v>
          </cell>
        </row>
        <row r="75">
          <cell r="B75" t="str">
            <v>MAVE &amp; spol.</v>
          </cell>
          <cell r="C75">
            <v>0</v>
          </cell>
          <cell r="D75">
            <v>0.15</v>
          </cell>
        </row>
        <row r="76">
          <cell r="B76" t="str">
            <v>rozv</v>
          </cell>
          <cell r="C76">
            <v>0</v>
          </cell>
          <cell r="D76">
            <v>0</v>
          </cell>
        </row>
        <row r="77">
          <cell r="B77" t="str">
            <v>ZPA CZ Trutnov</v>
          </cell>
          <cell r="C77">
            <v>0</v>
          </cell>
          <cell r="D77">
            <v>0.12</v>
          </cell>
        </row>
        <row r="78">
          <cell r="B78" t="str">
            <v>SALTEK</v>
          </cell>
          <cell r="C78">
            <v>0</v>
          </cell>
          <cell r="D78">
            <v>0.15</v>
          </cell>
        </row>
        <row r="79">
          <cell r="B79" t="str">
            <v>BELIMO CZ</v>
          </cell>
          <cell r="C79">
            <v>0</v>
          </cell>
          <cell r="D79">
            <v>0.15</v>
          </cell>
        </row>
        <row r="80">
          <cell r="B80" t="str">
            <v>M&amp;D ELEKTRO</v>
          </cell>
          <cell r="C80">
            <v>0</v>
          </cell>
          <cell r="D80">
            <v>0.15</v>
          </cell>
        </row>
        <row r="81">
          <cell r="B81" t="str">
            <v>REGMET</v>
          </cell>
          <cell r="C81">
            <v>0</v>
          </cell>
          <cell r="D81">
            <v>0.15</v>
          </cell>
        </row>
        <row r="82">
          <cell r="B82" t="str">
            <v>ENBRA</v>
          </cell>
          <cell r="C82">
            <v>0</v>
          </cell>
          <cell r="D82">
            <v>0.15</v>
          </cell>
        </row>
        <row r="83">
          <cell r="B83" t="str">
            <v>AVOS
automation</v>
          </cell>
          <cell r="C83">
            <v>0</v>
          </cell>
          <cell r="D83">
            <v>0.15</v>
          </cell>
        </row>
        <row r="84">
          <cell r="B84" t="str">
            <v>Jablotron</v>
          </cell>
          <cell r="C84">
            <v>0</v>
          </cell>
          <cell r="D84">
            <v>0.15</v>
          </cell>
        </row>
        <row r="85">
          <cell r="B85" t="str">
            <v>Luka systém</v>
          </cell>
          <cell r="C85">
            <v>0</v>
          </cell>
          <cell r="D85">
            <v>0.15</v>
          </cell>
        </row>
        <row r="86">
          <cell r="B86" t="str">
            <v>PRO-REG</v>
          </cell>
          <cell r="C86">
            <v>0</v>
          </cell>
          <cell r="D86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dav"/>
      <sheetName val="KABELN "/>
      <sheetName val="KOTN"/>
      <sheetName val="RKOTN "/>
      <sheetName val="ROZVN"/>
      <sheetName val="KOT STEPN"/>
      <sheetName val="RKOT STEPN"/>
      <sheetName val="KOT STEPN(2)"/>
      <sheetName val="RKOT STEPN(2)"/>
      <sheetName val="103"/>
      <sheetName val="DATA"/>
      <sheetName val="obj. (2)"/>
      <sheetName val="obj. (3)"/>
    </sheetNames>
    <sheetDataSet>
      <sheetData sheetId="0" refreshError="1">
        <row r="1">
          <cell r="B1" t="str">
            <v xml:space="preserve"> Vězeňská služba ČR, Věznice  Horní Slavkov</v>
          </cell>
        </row>
        <row r="2">
          <cell r="B2" t="str">
            <v>Systém reg. a řízení před. stanic s napoj. na dispečink</v>
          </cell>
        </row>
        <row r="4">
          <cell r="B4" t="str">
            <v>DODAVATEL</v>
          </cell>
          <cell r="C4" t="str">
            <v>RABAT</v>
          </cell>
          <cell r="D4" t="str">
            <v>MARŽE</v>
          </cell>
        </row>
        <row r="6">
          <cell r="B6" t="str">
            <v>ZPA Nová Paka</v>
          </cell>
          <cell r="C6">
            <v>0.15</v>
          </cell>
          <cell r="D6">
            <v>0.15</v>
          </cell>
          <cell r="E6">
            <v>4.5</v>
          </cell>
        </row>
        <row r="7">
          <cell r="B7" t="str">
            <v>BD Sensors</v>
          </cell>
          <cell r="C7">
            <v>0.1</v>
          </cell>
          <cell r="D7">
            <v>0.12</v>
          </cell>
        </row>
        <row r="8">
          <cell r="B8" t="str">
            <v>CLAUHAN
Brno</v>
          </cell>
          <cell r="C8">
            <v>0</v>
          </cell>
          <cell r="D8">
            <v>0.3</v>
          </cell>
        </row>
        <row r="9">
          <cell r="B9" t="str">
            <v>Comel</v>
          </cell>
          <cell r="C9">
            <v>0</v>
          </cell>
          <cell r="D9">
            <v>0.15</v>
          </cell>
        </row>
        <row r="10">
          <cell r="B10" t="str">
            <v>DA Ostrava</v>
          </cell>
          <cell r="C10">
            <v>0</v>
          </cell>
          <cell r="D10">
            <v>0.15</v>
          </cell>
        </row>
        <row r="11">
          <cell r="B11" t="str">
            <v>dodávka 
investora</v>
          </cell>
          <cell r="C11">
            <v>0</v>
          </cell>
          <cell r="D11">
            <v>0</v>
          </cell>
        </row>
        <row r="12">
          <cell r="B12" t="str">
            <v xml:space="preserve">Eko-Ekviterm </v>
          </cell>
          <cell r="C12">
            <v>0.1</v>
          </cell>
          <cell r="D12">
            <v>0.15</v>
          </cell>
        </row>
        <row r="13">
          <cell r="B13" t="str">
            <v>Ekorex+
Nová Paka</v>
          </cell>
          <cell r="C13">
            <v>0.17</v>
          </cell>
          <cell r="D13">
            <v>0.21</v>
          </cell>
        </row>
        <row r="14">
          <cell r="B14" t="str">
            <v>Eleco</v>
          </cell>
          <cell r="C14">
            <v>0</v>
          </cell>
          <cell r="D14">
            <v>0.2</v>
          </cell>
        </row>
        <row r="15">
          <cell r="B15" t="str">
            <v>Elektram</v>
          </cell>
          <cell r="C15">
            <v>7.0000000000000007E-2</v>
          </cell>
          <cell r="D15">
            <v>0.15</v>
          </cell>
        </row>
        <row r="16">
          <cell r="B16" t="str">
            <v>Elektram/kab</v>
          </cell>
          <cell r="C16">
            <v>0</v>
          </cell>
          <cell r="D16">
            <v>0.2</v>
          </cell>
        </row>
        <row r="17">
          <cell r="B17" t="str">
            <v>Elektropřístroj
Písek</v>
          </cell>
          <cell r="C17">
            <v>0</v>
          </cell>
          <cell r="D17">
            <v>0.2</v>
          </cell>
        </row>
        <row r="18">
          <cell r="B18" t="str">
            <v>EP Písek</v>
          </cell>
          <cell r="C18">
            <v>0</v>
          </cell>
          <cell r="D18">
            <v>0.2</v>
          </cell>
        </row>
        <row r="19">
          <cell r="B19" t="str">
            <v>ENERGIE MaR</v>
          </cell>
          <cell r="C19">
            <v>0</v>
          </cell>
          <cell r="D19">
            <v>0</v>
          </cell>
        </row>
        <row r="20">
          <cell r="B20" t="str">
            <v>Entrelec</v>
          </cell>
          <cell r="C20">
            <v>0</v>
          </cell>
          <cell r="D20">
            <v>0.15</v>
          </cell>
        </row>
        <row r="21">
          <cell r="B21" t="str">
            <v>EO Pardubice</v>
          </cell>
          <cell r="C21">
            <v>0</v>
          </cell>
          <cell r="D21">
            <v>0.15</v>
          </cell>
        </row>
        <row r="22">
          <cell r="B22" t="str">
            <v>ERAB</v>
          </cell>
          <cell r="C22">
            <v>0</v>
          </cell>
          <cell r="D22">
            <v>0.15</v>
          </cell>
        </row>
        <row r="23">
          <cell r="B23" t="str">
            <v>F&amp;G</v>
          </cell>
          <cell r="C23">
            <v>0</v>
          </cell>
          <cell r="D23">
            <v>0.15</v>
          </cell>
        </row>
        <row r="24">
          <cell r="B24" t="str">
            <v>Groupe-
Schneider</v>
          </cell>
          <cell r="C24">
            <v>0</v>
          </cell>
          <cell r="D24">
            <v>0.08</v>
          </cell>
        </row>
        <row r="25">
          <cell r="B25" t="str">
            <v>HAKEL</v>
          </cell>
          <cell r="C25">
            <v>0.3</v>
          </cell>
          <cell r="D25">
            <v>0.3</v>
          </cell>
        </row>
        <row r="26">
          <cell r="B26" t="str">
            <v>Johnson 
Controls</v>
          </cell>
          <cell r="C26">
            <v>0.3</v>
          </cell>
          <cell r="D26">
            <v>0.12</v>
          </cell>
        </row>
        <row r="27">
          <cell r="B27" t="str">
            <v>Končar</v>
          </cell>
          <cell r="C27">
            <v>0</v>
          </cell>
          <cell r="D27">
            <v>0.15</v>
          </cell>
        </row>
        <row r="28">
          <cell r="B28" t="str">
            <v>LDM 
Č. Třebová</v>
          </cell>
          <cell r="C28">
            <v>0.18</v>
          </cell>
          <cell r="D28">
            <v>0.15</v>
          </cell>
        </row>
        <row r="29">
          <cell r="B29" t="str">
            <v>MARTECH
Hradec Králové</v>
          </cell>
          <cell r="C29">
            <v>0</v>
          </cell>
          <cell r="D29">
            <v>0.15</v>
          </cell>
        </row>
        <row r="30">
          <cell r="B30" t="str">
            <v>OEZ Letohrad</v>
          </cell>
          <cell r="C30">
            <v>0</v>
          </cell>
          <cell r="D30">
            <v>0.15</v>
          </cell>
        </row>
        <row r="31">
          <cell r="B31" t="str">
            <v>ostatní</v>
          </cell>
          <cell r="C31">
            <v>0</v>
          </cell>
          <cell r="D31">
            <v>0.15</v>
          </cell>
        </row>
        <row r="32">
          <cell r="B32" t="str">
            <v>PEVEKO
Boršice u B.</v>
          </cell>
          <cell r="C32">
            <v>0.1</v>
          </cell>
          <cell r="D32">
            <v>0.15</v>
          </cell>
        </row>
        <row r="33">
          <cell r="B33" t="str">
            <v>Remagg
Vyškov</v>
          </cell>
          <cell r="C33">
            <v>0</v>
          </cell>
          <cell r="D33">
            <v>0.15</v>
          </cell>
        </row>
        <row r="34">
          <cell r="B34" t="str">
            <v>SENSIT
Rožnov p. R.</v>
          </cell>
          <cell r="C34">
            <v>0.23</v>
          </cell>
          <cell r="D34">
            <v>0.25</v>
          </cell>
        </row>
        <row r="35">
          <cell r="B35" t="str">
            <v>Schrack</v>
          </cell>
          <cell r="C35">
            <v>0</v>
          </cell>
          <cell r="D35">
            <v>0.15</v>
          </cell>
        </row>
        <row r="36">
          <cell r="B36" t="str">
            <v>stávající</v>
          </cell>
          <cell r="C36">
            <v>0</v>
          </cell>
          <cell r="D36">
            <v>0</v>
          </cell>
        </row>
        <row r="37">
          <cell r="B37" t="str">
            <v>strojní
dodávka</v>
          </cell>
          <cell r="C37">
            <v>0</v>
          </cell>
          <cell r="D37">
            <v>0</v>
          </cell>
        </row>
        <row r="38">
          <cell r="B38" t="str">
            <v>Teco</v>
          </cell>
          <cell r="C38">
            <v>0</v>
          </cell>
          <cell r="D38">
            <v>0.12</v>
          </cell>
        </row>
        <row r="39">
          <cell r="B39" t="str">
            <v>Tecont</v>
          </cell>
          <cell r="C39">
            <v>0.18</v>
          </cell>
          <cell r="D39">
            <v>0.15</v>
          </cell>
        </row>
        <row r="40">
          <cell r="B40" t="str">
            <v>výroba roz.</v>
          </cell>
          <cell r="C40">
            <v>0</v>
          </cell>
          <cell r="D40">
            <v>0</v>
          </cell>
        </row>
        <row r="41">
          <cell r="B41" t="str">
            <v>ZPA Ekoreg
Ústí n/L</v>
          </cell>
          <cell r="C41">
            <v>0.1</v>
          </cell>
          <cell r="D41">
            <v>0.15</v>
          </cell>
        </row>
        <row r="42">
          <cell r="B42" t="str">
            <v>ZPA
Nová Paka</v>
          </cell>
          <cell r="C42">
            <v>0.15</v>
          </cell>
          <cell r="D42">
            <v>0.18</v>
          </cell>
        </row>
        <row r="43">
          <cell r="B43" t="str">
            <v>JSP
Nová Paka</v>
          </cell>
          <cell r="C43">
            <v>0</v>
          </cell>
          <cell r="D43">
            <v>0.15</v>
          </cell>
        </row>
        <row r="44">
          <cell r="B44" t="str">
            <v>ZPA Prešov</v>
          </cell>
          <cell r="C44">
            <v>0</v>
          </cell>
          <cell r="D44">
            <v>0.15</v>
          </cell>
        </row>
        <row r="45">
          <cell r="B45" t="str">
            <v>Ekorex Lázně
Bohdaneč</v>
          </cell>
          <cell r="C45">
            <v>0.15</v>
          </cell>
          <cell r="D45">
            <v>0.15</v>
          </cell>
        </row>
        <row r="46">
          <cell r="B46" t="str">
            <v>Raab Karcher</v>
          </cell>
          <cell r="C46">
            <v>0.36</v>
          </cell>
          <cell r="D46">
            <v>0.25</v>
          </cell>
        </row>
        <row r="47">
          <cell r="B47" t="str">
            <v>Axima</v>
          </cell>
          <cell r="C47">
            <v>0</v>
          </cell>
          <cell r="D47">
            <v>0.15</v>
          </cell>
        </row>
        <row r="48">
          <cell r="B48" t="str">
            <v>Merlin&amp;G</v>
          </cell>
          <cell r="C48">
            <v>0</v>
          </cell>
          <cell r="D48">
            <v>0.15</v>
          </cell>
        </row>
        <row r="49">
          <cell r="B49" t="str">
            <v>MaR Plus</v>
          </cell>
          <cell r="C49">
            <v>0</v>
          </cell>
          <cell r="D49">
            <v>0.2</v>
          </cell>
        </row>
        <row r="50">
          <cell r="B50" t="str">
            <v>ZPA Pečky</v>
          </cell>
          <cell r="C50">
            <v>0</v>
          </cell>
          <cell r="D50">
            <v>0.15</v>
          </cell>
        </row>
        <row r="51">
          <cell r="B51" t="str">
            <v>EESA
Lomnice n.P.</v>
          </cell>
          <cell r="C51">
            <v>0</v>
          </cell>
          <cell r="D51">
            <v>0.15</v>
          </cell>
        </row>
        <row r="52">
          <cell r="B52" t="str">
            <v>REMAG trade</v>
          </cell>
          <cell r="C52">
            <v>0</v>
          </cell>
          <cell r="D52">
            <v>0.15</v>
          </cell>
        </row>
        <row r="53">
          <cell r="B53" t="str">
            <v>LOGITRON</v>
          </cell>
          <cell r="C53">
            <v>0</v>
          </cell>
          <cell r="D53">
            <v>0.15</v>
          </cell>
        </row>
        <row r="54">
          <cell r="B54" t="str">
            <v>MIWA Praha</v>
          </cell>
          <cell r="C54">
            <v>0</v>
          </cell>
          <cell r="D54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_3kolo"/>
      <sheetName val="prům_ckab (2)"/>
      <sheetName val="prům_ckab"/>
      <sheetName val="rozv"/>
      <sheetName val="BUILDING"/>
      <sheetName val="Nabídka"/>
      <sheetName val="Nabídka_výpočty"/>
      <sheetName val="Nabídka_výpočty_ŘS"/>
      <sheetName val="rm dle H "/>
      <sheetName val="Nabídka_H_z"/>
      <sheetName val="KASTT_H"/>
      <sheetName val="rm a ventily nab dle H "/>
      <sheetName val="rm a ventily nab dle H_z"/>
      <sheetName val="rm a ventily nab dle H  (2)"/>
      <sheetName val="AMIT"/>
      <sheetName val="DATA"/>
      <sheetName val="MON+KAB"/>
      <sheetName val="ŽLABY"/>
      <sheetName val="MON"/>
      <sheetName val="mont"/>
      <sheetName val="DATA_INSTR"/>
      <sheetName val="rozv_RKOT2"/>
      <sheetName val="Dodávky_3kolo"/>
      <sheetName val="PANKRAC_DOD_ÚPR1_3kolo"/>
      <sheetName val="PANKRAC_DOD_ÚPR1_2kolo"/>
      <sheetName val="BUILDING2náhrady"/>
      <sheetName val="PANKRAC_DOD_NAB2"/>
      <sheetName val="PankracAB_kabely"/>
      <sheetName val="PankracAB_kabely_NAB"/>
      <sheetName val="PankracAB_kabely_NAB2"/>
      <sheetName val="dodav"/>
      <sheetName val="DATA_ROZV"/>
      <sheetName val="rozv_RMARV7"/>
      <sheetName val="rozv_RMARCH"/>
      <sheetName val="rozv_RMARK"/>
      <sheetName val="rozv_RMAR02"/>
      <sheetName val="rozp"/>
      <sheetName val="RM"/>
      <sheetName val="PANKRAC_DOD"/>
      <sheetName val="PANKRAC_DOD_ÚPR1"/>
      <sheetName val="PANKRAC_DOD_ÚPR1_NAB"/>
      <sheetName val="PANKRAC_DOD_MONT"/>
      <sheetName val="PANKRAC_DOD_NAB"/>
      <sheetName val="rekap"/>
      <sheetName val="rozv_saia"/>
      <sheetName val="přehled"/>
      <sheetName val="rozp (2)"/>
      <sheetName val="rekap (2)"/>
      <sheetName val="rozp_specifikace"/>
      <sheetName val="rozp_specifikace_náhrady"/>
      <sheetName val="DATA_ROZV (2)"/>
      <sheetName val="rozv_VZT"/>
      <sheetName val="DATA_KAB"/>
      <sheetName val="ZPRAVA_spec (2)"/>
      <sheetName val="List1"/>
      <sheetName val="skříňky"/>
      <sheetName val="PANKRAC_NAB_3kolo_z"/>
      <sheetName val="Dodávky_3kolo (2)"/>
      <sheetName val="Dodávky_3kolo (3)"/>
      <sheetName val="PANKRAC_NAB_3kolo_z_opr4"/>
      <sheetName val="PANKRAC_NAB_3kolo_z_opr3"/>
      <sheetName val="PANKRAC_NAB_3kolo_z_opr"/>
      <sheetName val="PANKRAC_NAB_3kolo_z_opr2"/>
      <sheetName val="rozv_RMAR01"/>
      <sheetName val="rozv_RMAR2"/>
      <sheetName val="rozv_RMAR7"/>
      <sheetName val="rozv_RA"/>
      <sheetName val="MaR"/>
      <sheetName val="MaR (2)"/>
      <sheetName val="FRIGERA_NAB"/>
      <sheetName val="MONT_Frigera"/>
      <sheetName val="rozv_RMAR"/>
      <sheetName val="rozv_RKOT1"/>
      <sheetName val="rozv_RB"/>
      <sheetName val="rekapitulace_nab"/>
      <sheetName val="MaR (3)_z"/>
      <sheetName val="prům_ckab (3)"/>
      <sheetName val="DATA (2)"/>
      <sheetName val="OCS vejvoda rozp"/>
      <sheetName val="OCS vejvoda rozp_z"/>
      <sheetName val="Čechtice-rozp"/>
      <sheetName val="Čechtice-rozvaděč"/>
      <sheetName val="kabelák"/>
      <sheetName val="rozvaděč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3">
          <cell r="D3" t="str">
            <v>DT1</v>
          </cell>
        </row>
        <row r="4">
          <cell r="C4">
            <v>1</v>
          </cell>
          <cell r="D4">
            <v>1</v>
          </cell>
        </row>
        <row r="5">
          <cell r="D5">
            <v>2</v>
          </cell>
        </row>
        <row r="6">
          <cell r="D6">
            <v>3</v>
          </cell>
        </row>
        <row r="7">
          <cell r="D7">
            <v>4</v>
          </cell>
        </row>
        <row r="8">
          <cell r="D8">
            <v>5</v>
          </cell>
        </row>
        <row r="9">
          <cell r="D9">
            <v>6</v>
          </cell>
        </row>
        <row r="10">
          <cell r="D10">
            <v>7</v>
          </cell>
        </row>
        <row r="11">
          <cell r="D11">
            <v>8</v>
          </cell>
        </row>
        <row r="12">
          <cell r="D12">
            <v>9</v>
          </cell>
        </row>
        <row r="13">
          <cell r="D13">
            <v>10</v>
          </cell>
        </row>
        <row r="14">
          <cell r="D14">
            <v>11</v>
          </cell>
        </row>
        <row r="15">
          <cell r="D15">
            <v>12</v>
          </cell>
        </row>
        <row r="16">
          <cell r="D16">
            <v>13</v>
          </cell>
        </row>
        <row r="17">
          <cell r="D17">
            <v>14</v>
          </cell>
        </row>
        <row r="18">
          <cell r="D18">
            <v>15</v>
          </cell>
        </row>
        <row r="19">
          <cell r="D19">
            <v>16</v>
          </cell>
        </row>
        <row r="21">
          <cell r="C21">
            <v>2</v>
          </cell>
          <cell r="D21">
            <v>18</v>
          </cell>
        </row>
        <row r="22">
          <cell r="D22">
            <v>19</v>
          </cell>
        </row>
        <row r="23">
          <cell r="D23">
            <v>20</v>
          </cell>
        </row>
        <row r="24">
          <cell r="D24">
            <v>21</v>
          </cell>
        </row>
        <row r="25">
          <cell r="D25">
            <v>22</v>
          </cell>
        </row>
        <row r="26">
          <cell r="D26">
            <v>23</v>
          </cell>
        </row>
        <row r="27">
          <cell r="D27">
            <v>24</v>
          </cell>
        </row>
        <row r="28">
          <cell r="D28">
            <v>25</v>
          </cell>
        </row>
        <row r="29">
          <cell r="D29">
            <v>26</v>
          </cell>
        </row>
        <row r="30">
          <cell r="D30">
            <v>27</v>
          </cell>
        </row>
        <row r="31">
          <cell r="D31">
            <v>28</v>
          </cell>
        </row>
        <row r="32">
          <cell r="D32">
            <v>29</v>
          </cell>
        </row>
        <row r="33">
          <cell r="D33">
            <v>30</v>
          </cell>
        </row>
        <row r="34">
          <cell r="D34">
            <v>31</v>
          </cell>
        </row>
        <row r="35">
          <cell r="D35">
            <v>32</v>
          </cell>
        </row>
        <row r="36">
          <cell r="D36">
            <v>33</v>
          </cell>
        </row>
        <row r="37">
          <cell r="D37">
            <v>34</v>
          </cell>
        </row>
        <row r="38">
          <cell r="D38">
            <v>35</v>
          </cell>
        </row>
        <row r="39">
          <cell r="D39">
            <v>36</v>
          </cell>
        </row>
        <row r="40">
          <cell r="D40">
            <v>37</v>
          </cell>
        </row>
        <row r="42">
          <cell r="C42">
            <v>3</v>
          </cell>
          <cell r="D42">
            <v>38</v>
          </cell>
        </row>
        <row r="43">
          <cell r="D43">
            <v>39</v>
          </cell>
        </row>
        <row r="44">
          <cell r="D44">
            <v>40</v>
          </cell>
        </row>
        <row r="45">
          <cell r="D45">
            <v>41</v>
          </cell>
        </row>
        <row r="46">
          <cell r="D46">
            <v>42</v>
          </cell>
        </row>
        <row r="47">
          <cell r="D47">
            <v>43</v>
          </cell>
        </row>
        <row r="48">
          <cell r="D48">
            <v>44</v>
          </cell>
        </row>
        <row r="49">
          <cell r="D49">
            <v>45</v>
          </cell>
        </row>
        <row r="50">
          <cell r="D50">
            <v>46</v>
          </cell>
        </row>
        <row r="51">
          <cell r="D51">
            <v>47</v>
          </cell>
        </row>
        <row r="52">
          <cell r="D52">
            <v>48</v>
          </cell>
        </row>
        <row r="53">
          <cell r="D53">
            <v>49</v>
          </cell>
        </row>
        <row r="54">
          <cell r="D54">
            <v>50</v>
          </cell>
        </row>
        <row r="55">
          <cell r="D55">
            <v>51</v>
          </cell>
        </row>
        <row r="56">
          <cell r="D56">
            <v>52</v>
          </cell>
        </row>
        <row r="57">
          <cell r="D57">
            <v>53</v>
          </cell>
        </row>
        <row r="58">
          <cell r="D58">
            <v>54</v>
          </cell>
        </row>
        <row r="59">
          <cell r="D59">
            <v>55</v>
          </cell>
        </row>
        <row r="60">
          <cell r="D60">
            <v>56</v>
          </cell>
        </row>
        <row r="61">
          <cell r="D61">
            <v>57</v>
          </cell>
        </row>
        <row r="63">
          <cell r="C63">
            <v>4</v>
          </cell>
          <cell r="D63">
            <v>58</v>
          </cell>
        </row>
        <row r="64">
          <cell r="D64">
            <v>59</v>
          </cell>
        </row>
        <row r="65">
          <cell r="D65">
            <v>60</v>
          </cell>
        </row>
        <row r="66">
          <cell r="D66">
            <v>61</v>
          </cell>
        </row>
        <row r="67">
          <cell r="D67">
            <v>62</v>
          </cell>
        </row>
        <row r="68">
          <cell r="D68">
            <v>63</v>
          </cell>
        </row>
        <row r="69">
          <cell r="D69">
            <v>64</v>
          </cell>
        </row>
        <row r="70">
          <cell r="D70">
            <v>65</v>
          </cell>
        </row>
        <row r="71">
          <cell r="D71">
            <v>66</v>
          </cell>
        </row>
        <row r="72">
          <cell r="D72">
            <v>67</v>
          </cell>
        </row>
        <row r="73">
          <cell r="D73">
            <v>68</v>
          </cell>
        </row>
        <row r="74">
          <cell r="D74">
            <v>69</v>
          </cell>
        </row>
        <row r="75">
          <cell r="D75">
            <v>70</v>
          </cell>
        </row>
        <row r="76">
          <cell r="D76">
            <v>71</v>
          </cell>
        </row>
        <row r="77">
          <cell r="D77">
            <v>72</v>
          </cell>
        </row>
        <row r="78">
          <cell r="D78">
            <v>73</v>
          </cell>
        </row>
        <row r="79">
          <cell r="D79">
            <v>74</v>
          </cell>
        </row>
        <row r="80">
          <cell r="D80">
            <v>75</v>
          </cell>
        </row>
        <row r="81">
          <cell r="D81">
            <v>76</v>
          </cell>
        </row>
        <row r="82">
          <cell r="D82">
            <v>77</v>
          </cell>
        </row>
        <row r="84">
          <cell r="C84">
            <v>5</v>
          </cell>
          <cell r="D84">
            <v>78</v>
          </cell>
        </row>
        <row r="85">
          <cell r="D85">
            <v>79</v>
          </cell>
        </row>
        <row r="86">
          <cell r="D86">
            <v>80</v>
          </cell>
        </row>
        <row r="87">
          <cell r="D87">
            <v>81</v>
          </cell>
        </row>
        <row r="88">
          <cell r="D88">
            <v>82</v>
          </cell>
        </row>
        <row r="89">
          <cell r="D89">
            <v>83</v>
          </cell>
        </row>
        <row r="90">
          <cell r="D90">
            <v>84</v>
          </cell>
        </row>
        <row r="91">
          <cell r="D91">
            <v>85</v>
          </cell>
        </row>
        <row r="92">
          <cell r="D92">
            <v>86</v>
          </cell>
        </row>
        <row r="93">
          <cell r="D93">
            <v>87</v>
          </cell>
        </row>
        <row r="94">
          <cell r="D94">
            <v>88</v>
          </cell>
        </row>
        <row r="95">
          <cell r="D95">
            <v>89</v>
          </cell>
        </row>
        <row r="96">
          <cell r="D96">
            <v>90</v>
          </cell>
        </row>
        <row r="97">
          <cell r="D97">
            <v>91</v>
          </cell>
        </row>
        <row r="98">
          <cell r="D98">
            <v>92</v>
          </cell>
        </row>
        <row r="99">
          <cell r="D99">
            <v>93</v>
          </cell>
        </row>
        <row r="100">
          <cell r="D100">
            <v>94</v>
          </cell>
        </row>
        <row r="101">
          <cell r="D101">
            <v>95</v>
          </cell>
        </row>
        <row r="102">
          <cell r="D102">
            <v>96</v>
          </cell>
        </row>
        <row r="103">
          <cell r="D103">
            <v>97</v>
          </cell>
        </row>
        <row r="105">
          <cell r="C105">
            <v>6</v>
          </cell>
          <cell r="D105">
            <v>98</v>
          </cell>
        </row>
        <row r="106">
          <cell r="D106">
            <v>99</v>
          </cell>
        </row>
        <row r="107">
          <cell r="D107">
            <v>100</v>
          </cell>
        </row>
        <row r="108">
          <cell r="D108">
            <v>101</v>
          </cell>
        </row>
        <row r="109">
          <cell r="D109">
            <v>102</v>
          </cell>
        </row>
        <row r="110">
          <cell r="D110">
            <v>103</v>
          </cell>
        </row>
        <row r="111">
          <cell r="D111">
            <v>104</v>
          </cell>
        </row>
        <row r="112">
          <cell r="D112">
            <v>105</v>
          </cell>
        </row>
        <row r="113">
          <cell r="D113">
            <v>106</v>
          </cell>
        </row>
        <row r="114">
          <cell r="D114">
            <v>107</v>
          </cell>
        </row>
        <row r="115">
          <cell r="D115">
            <v>108</v>
          </cell>
        </row>
        <row r="116">
          <cell r="D116">
            <v>109</v>
          </cell>
        </row>
        <row r="117">
          <cell r="D117">
            <v>110</v>
          </cell>
        </row>
        <row r="118">
          <cell r="D118">
            <v>111</v>
          </cell>
        </row>
        <row r="119">
          <cell r="D119">
            <v>112</v>
          </cell>
        </row>
        <row r="120">
          <cell r="D120">
            <v>113</v>
          </cell>
        </row>
        <row r="121">
          <cell r="D121">
            <v>114</v>
          </cell>
        </row>
        <row r="122">
          <cell r="D122">
            <v>115</v>
          </cell>
        </row>
        <row r="123">
          <cell r="D123">
            <v>116</v>
          </cell>
        </row>
        <row r="124">
          <cell r="D124">
            <v>117</v>
          </cell>
        </row>
        <row r="126">
          <cell r="C126">
            <v>7</v>
          </cell>
          <cell r="D126">
            <v>118</v>
          </cell>
        </row>
        <row r="127">
          <cell r="D127">
            <v>119</v>
          </cell>
        </row>
        <row r="128">
          <cell r="D128">
            <v>120</v>
          </cell>
        </row>
        <row r="129">
          <cell r="D129">
            <v>121</v>
          </cell>
        </row>
        <row r="130">
          <cell r="D130">
            <v>122</v>
          </cell>
        </row>
        <row r="131">
          <cell r="D131">
            <v>123</v>
          </cell>
        </row>
        <row r="132">
          <cell r="D132">
            <v>124</v>
          </cell>
        </row>
        <row r="133">
          <cell r="D133">
            <v>125</v>
          </cell>
        </row>
        <row r="134">
          <cell r="D134">
            <v>126</v>
          </cell>
        </row>
        <row r="135">
          <cell r="D135">
            <v>127</v>
          </cell>
        </row>
        <row r="136">
          <cell r="D136">
            <v>128</v>
          </cell>
        </row>
        <row r="137">
          <cell r="D137">
            <v>129</v>
          </cell>
        </row>
        <row r="138">
          <cell r="D138">
            <v>130</v>
          </cell>
        </row>
        <row r="139">
          <cell r="D139">
            <v>131</v>
          </cell>
        </row>
        <row r="140">
          <cell r="D140">
            <v>132</v>
          </cell>
        </row>
        <row r="141">
          <cell r="D141">
            <v>133</v>
          </cell>
        </row>
        <row r="142">
          <cell r="D142">
            <v>134</v>
          </cell>
        </row>
        <row r="143">
          <cell r="D143">
            <v>135</v>
          </cell>
        </row>
        <row r="144">
          <cell r="D144">
            <v>136</v>
          </cell>
        </row>
        <row r="145">
          <cell r="D145">
            <v>137</v>
          </cell>
        </row>
        <row r="147">
          <cell r="C147">
            <v>8</v>
          </cell>
          <cell r="D147">
            <v>138</v>
          </cell>
        </row>
        <row r="148">
          <cell r="D148">
            <v>139</v>
          </cell>
        </row>
        <row r="149">
          <cell r="D149">
            <v>140</v>
          </cell>
        </row>
        <row r="150">
          <cell r="D150">
            <v>141</v>
          </cell>
        </row>
        <row r="151">
          <cell r="D151">
            <v>142</v>
          </cell>
        </row>
        <row r="152">
          <cell r="D152">
            <v>143</v>
          </cell>
        </row>
        <row r="153">
          <cell r="D153">
            <v>144</v>
          </cell>
        </row>
        <row r="154">
          <cell r="D154">
            <v>145</v>
          </cell>
        </row>
        <row r="155">
          <cell r="D155">
            <v>146</v>
          </cell>
        </row>
        <row r="156">
          <cell r="D156">
            <v>147</v>
          </cell>
        </row>
        <row r="157">
          <cell r="D157">
            <v>148</v>
          </cell>
        </row>
        <row r="158">
          <cell r="D158">
            <v>149</v>
          </cell>
        </row>
        <row r="159">
          <cell r="D159">
            <v>150</v>
          </cell>
        </row>
        <row r="160">
          <cell r="D160">
            <v>151</v>
          </cell>
        </row>
        <row r="161">
          <cell r="D161">
            <v>152</v>
          </cell>
        </row>
        <row r="162">
          <cell r="D162">
            <v>153</v>
          </cell>
        </row>
        <row r="163">
          <cell r="D163">
            <v>154</v>
          </cell>
        </row>
        <row r="164">
          <cell r="D164">
            <v>155</v>
          </cell>
        </row>
        <row r="165">
          <cell r="D165">
            <v>156</v>
          </cell>
        </row>
        <row r="166">
          <cell r="D166">
            <v>157</v>
          </cell>
        </row>
        <row r="168">
          <cell r="C168">
            <v>9</v>
          </cell>
          <cell r="D168">
            <v>158</v>
          </cell>
        </row>
        <row r="169">
          <cell r="D169">
            <v>159</v>
          </cell>
        </row>
        <row r="170">
          <cell r="D170">
            <v>160</v>
          </cell>
        </row>
        <row r="171">
          <cell r="D171">
            <v>161</v>
          </cell>
        </row>
        <row r="172">
          <cell r="D172">
            <v>162</v>
          </cell>
        </row>
        <row r="173">
          <cell r="D173">
            <v>163</v>
          </cell>
        </row>
        <row r="174">
          <cell r="D174">
            <v>164</v>
          </cell>
        </row>
        <row r="175">
          <cell r="D175">
            <v>165</v>
          </cell>
        </row>
        <row r="176">
          <cell r="D176">
            <v>166</v>
          </cell>
        </row>
        <row r="177">
          <cell r="D177">
            <v>167</v>
          </cell>
        </row>
        <row r="178">
          <cell r="D178">
            <v>168</v>
          </cell>
        </row>
        <row r="179">
          <cell r="D179">
            <v>169</v>
          </cell>
        </row>
        <row r="180">
          <cell r="D180">
            <v>170</v>
          </cell>
        </row>
        <row r="181">
          <cell r="D181">
            <v>171</v>
          </cell>
        </row>
        <row r="182">
          <cell r="D182">
            <v>172</v>
          </cell>
        </row>
        <row r="183">
          <cell r="D183">
            <v>173</v>
          </cell>
        </row>
        <row r="184">
          <cell r="D184">
            <v>174</v>
          </cell>
        </row>
        <row r="185">
          <cell r="D185">
            <v>175</v>
          </cell>
        </row>
        <row r="186">
          <cell r="D186">
            <v>176</v>
          </cell>
        </row>
        <row r="187">
          <cell r="D187">
            <v>177</v>
          </cell>
        </row>
        <row r="189">
          <cell r="C189">
            <v>10</v>
          </cell>
          <cell r="D189">
            <v>178</v>
          </cell>
        </row>
        <row r="190">
          <cell r="D190">
            <v>179</v>
          </cell>
        </row>
        <row r="191">
          <cell r="D191">
            <v>180</v>
          </cell>
        </row>
        <row r="192">
          <cell r="D192">
            <v>181</v>
          </cell>
        </row>
        <row r="193">
          <cell r="D193">
            <v>182</v>
          </cell>
        </row>
        <row r="194">
          <cell r="D194">
            <v>183</v>
          </cell>
        </row>
        <row r="195">
          <cell r="D195">
            <v>184</v>
          </cell>
        </row>
        <row r="196">
          <cell r="D196">
            <v>185</v>
          </cell>
        </row>
        <row r="197">
          <cell r="D197">
            <v>186</v>
          </cell>
        </row>
        <row r="198">
          <cell r="D198">
            <v>187</v>
          </cell>
        </row>
        <row r="199">
          <cell r="D199">
            <v>188</v>
          </cell>
        </row>
        <row r="200">
          <cell r="D200">
            <v>189</v>
          </cell>
        </row>
        <row r="270">
          <cell r="D270">
            <v>189</v>
          </cell>
        </row>
        <row r="272">
          <cell r="B272">
            <v>11</v>
          </cell>
          <cell r="C272" t="str">
            <v>D K+MM</v>
          </cell>
          <cell r="D272">
            <v>19</v>
          </cell>
        </row>
        <row r="273">
          <cell r="B273">
            <v>11</v>
          </cell>
          <cell r="C273" t="str">
            <v>M K+MM</v>
          </cell>
          <cell r="D273">
            <v>20</v>
          </cell>
        </row>
        <row r="275">
          <cell r="C275" t="str">
            <v>Instrumentace</v>
          </cell>
          <cell r="D275">
            <v>250</v>
          </cell>
        </row>
        <row r="276">
          <cell r="C276" t="str">
            <v>Instr ostat</v>
          </cell>
          <cell r="D276">
            <v>160</v>
          </cell>
        </row>
        <row r="277">
          <cell r="C277" t="str">
            <v>instr speciál</v>
          </cell>
          <cell r="D277">
            <v>600</v>
          </cell>
        </row>
        <row r="278">
          <cell r="C278" t="str">
            <v>rozv</v>
          </cell>
          <cell r="D278">
            <v>1200</v>
          </cell>
        </row>
        <row r="280">
          <cell r="C280" t="str">
            <v>SW</v>
          </cell>
          <cell r="D280">
            <v>350</v>
          </cell>
        </row>
        <row r="282">
          <cell r="C282" t="str">
            <v>ČM pi</v>
          </cell>
        </row>
        <row r="283">
          <cell r="C283" t="str">
            <v>ČM celkem</v>
          </cell>
        </row>
        <row r="286">
          <cell r="C286" t="str">
            <v>Revize, zkoušky, zaškolení obsluhy, spolupráce při oživení</v>
          </cell>
          <cell r="D286">
            <v>90</v>
          </cell>
        </row>
        <row r="287">
          <cell r="C287" t="str">
            <v>nebo</v>
          </cell>
          <cell r="D287">
            <v>0.3</v>
          </cell>
        </row>
        <row r="288">
          <cell r="C288" t="str">
            <v>základ</v>
          </cell>
          <cell r="D288">
            <v>1200</v>
          </cell>
        </row>
        <row r="292">
          <cell r="C292" t="str">
            <v>VRN</v>
          </cell>
          <cell r="D292" t="str">
            <v>réžie</v>
          </cell>
        </row>
        <row r="293">
          <cell r="C293" t="str">
            <v>VRN</v>
          </cell>
          <cell r="D293">
            <v>2000</v>
          </cell>
        </row>
        <row r="294">
          <cell r="C294" t="str">
            <v>VRN</v>
          </cell>
        </row>
        <row r="295">
          <cell r="C295" t="str">
            <v>VRN</v>
          </cell>
          <cell r="D295" t="str">
            <v>současnost</v>
          </cell>
        </row>
        <row r="296">
          <cell r="C296" t="str">
            <v>VRN</v>
          </cell>
          <cell r="D296">
            <v>4</v>
          </cell>
        </row>
        <row r="297">
          <cell r="C297" t="str">
            <v>VRN</v>
          </cell>
        </row>
        <row r="298">
          <cell r="C298" t="str">
            <v>VRN</v>
          </cell>
          <cell r="D298" t="str">
            <v>km</v>
          </cell>
        </row>
        <row r="299">
          <cell r="D299">
            <v>170</v>
          </cell>
        </row>
        <row r="302">
          <cell r="C302" t="str">
            <v>D K+MM</v>
          </cell>
          <cell r="D302">
            <v>23</v>
          </cell>
        </row>
        <row r="303">
          <cell r="C303" t="str">
            <v>M K+MM</v>
          </cell>
          <cell r="D303">
            <v>21</v>
          </cell>
        </row>
      </sheetData>
      <sheetData sheetId="20" refreshError="1">
        <row r="4">
          <cell r="C4" t="str">
            <v>provedení do potrubí, délka 160mm, IP54</v>
          </cell>
          <cell r="D4">
            <v>1754</v>
          </cell>
        </row>
        <row r="5">
          <cell r="B5" t="str">
            <v>A13I-160 T1/T2</v>
          </cell>
          <cell r="C5" t="str">
            <v>Odporový snímač teploty s kovovou halvicí A13I-160
provedení do potrubí, rozsah 0°C až 35°C
výstup 4 - 20 mA, délka jímky 160 mm</v>
          </cell>
          <cell r="D5" t="str">
            <v>REGMET</v>
          </cell>
          <cell r="E5">
            <v>1754</v>
          </cell>
          <cell r="F5">
            <v>19</v>
          </cell>
        </row>
        <row r="6">
          <cell r="B6" t="str">
            <v>Indukční průtokoměr DN 250</v>
          </cell>
          <cell r="C6" t="str">
            <v>Indukční průtokoměr DN 250, PN 16, provedení D/K
s příslušenstvím, 230V/50Hz
médium - demivoda, teplota 5 až 28 °C
výstelka, výstup 4 - 20 mA a impulsní</v>
          </cell>
          <cell r="D6" t="str">
            <v>KROHNE</v>
          </cell>
          <cell r="E6">
            <v>112608</v>
          </cell>
          <cell r="F6">
            <v>80</v>
          </cell>
        </row>
        <row r="7">
          <cell r="B7" t="str">
            <v>JET 23 F</v>
          </cell>
          <cell r="C7" t="str">
            <v>Prostorový termostat JET 23 F, rozsah -15...+30 C, dif. 1 K , 15A/250V, IP 65, vnitřní nastavení</v>
          </cell>
          <cell r="D7" t="str">
            <v>SENTRON CZ</v>
          </cell>
          <cell r="E7">
            <v>1400</v>
          </cell>
          <cell r="F7">
            <v>50</v>
          </cell>
        </row>
        <row r="8">
          <cell r="B8" t="str">
            <v>P11I T1/T2</v>
          </cell>
          <cell r="C8" t="str">
            <v>Snímač teploty venkovní P11I T1/T2
rozsah -30°C až 60°C, výstup 4 - 20 mA</v>
          </cell>
          <cell r="D8" t="str">
            <v>REGMET</v>
          </cell>
          <cell r="E8">
            <v>1220</v>
          </cell>
          <cell r="F8">
            <v>19</v>
          </cell>
        </row>
        <row r="9">
          <cell r="B9" t="str">
            <v>EGH120F001</v>
          </cell>
          <cell r="C9" t="str">
            <v xml:space="preserve">Čidlo rel. vl. (0-10V) prostorové EGH120F001 </v>
          </cell>
          <cell r="D9" t="str">
            <v>Sauter</v>
          </cell>
          <cell r="E9">
            <v>7174</v>
          </cell>
          <cell r="F9">
            <v>50</v>
          </cell>
        </row>
        <row r="11">
          <cell r="B11" t="str">
            <v>DMP 331 110-1602-1-5-1-1-1-000 přísl.</v>
          </cell>
          <cell r="C11" t="str">
            <v xml:space="preserve">Relativní snímač tlaku DMP 331
110-1602-1-5-1-1-1-000
rozsah 0…16 bar
výstup 4…20 mA/2 v
přesnost 0,5 %
elektrické připojení konektor DIN 43650
přípojka tlaku G1/2"
těsnění Viton
normální provedení
manometrický kohout, redukce,
vyhlazovací smyčka, tlumič </v>
          </cell>
          <cell r="D11" t="str">
            <v>BD Sensors</v>
          </cell>
          <cell r="E11">
            <v>10229</v>
          </cell>
          <cell r="F11">
            <v>162</v>
          </cell>
        </row>
        <row r="12">
          <cell r="C12" t="str">
            <v>Tlakoměrový kohout</v>
          </cell>
          <cell r="D12" t="str">
            <v>JSP
Nová Paka</v>
          </cell>
        </row>
        <row r="13">
          <cell r="C13" t="str">
            <v>Redukce</v>
          </cell>
          <cell r="D13" t="str">
            <v>JSP
Nová Paka</v>
          </cell>
        </row>
        <row r="14">
          <cell r="C14" t="str">
            <v>Tlumič tlakových rázů TTR</v>
          </cell>
          <cell r="D14" t="str">
            <v>BD Sensors</v>
          </cell>
        </row>
        <row r="15">
          <cell r="C15" t="str">
            <v>zobrazovací jednotka PA430</v>
          </cell>
          <cell r="D15" t="str">
            <v>BD Sensors</v>
          </cell>
        </row>
        <row r="17">
          <cell r="B17" t="str">
            <v>LD 301 H5 600 kPa</v>
          </cell>
          <cell r="C17" t="str">
            <v>Inteligentní snímač diferenčního tlaku LD301
rozsah 600 kPa
výstup 4…20 mA/2 v
držák, šroubení
vč. třícestné ventilové soupravy</v>
          </cell>
          <cell r="D17" t="str">
            <v>BD Sensors</v>
          </cell>
          <cell r="E17">
            <v>40231</v>
          </cell>
          <cell r="F17">
            <v>285</v>
          </cell>
        </row>
        <row r="18">
          <cell r="C18" t="str">
            <v>materiákl příruby nerez</v>
          </cell>
        </row>
        <row r="20">
          <cell r="C20" t="str">
            <v>nastavení</v>
          </cell>
        </row>
        <row r="21">
          <cell r="C21" t="str">
            <v>Třícestná ventilová souprava</v>
          </cell>
          <cell r="D21" t="str">
            <v>JSP
Nová Paka</v>
          </cell>
        </row>
        <row r="22">
          <cell r="C22" t="str">
            <v>Vsuvka</v>
          </cell>
          <cell r="D22" t="str">
            <v>JSP
Nová Paka</v>
          </cell>
        </row>
        <row r="23">
          <cell r="C23" t="str">
            <v>Šrouby</v>
          </cell>
          <cell r="D23" t="str">
            <v>JSP
Nová Paka</v>
          </cell>
        </row>
        <row r="24">
          <cell r="C24" t="str">
            <v>Držák na stěnu</v>
          </cell>
          <cell r="D24" t="str">
            <v>JSP
Nová Paka</v>
          </cell>
        </row>
        <row r="26">
          <cell r="B26" t="str">
            <v xml:space="preserve">DMP 331 110-6001-1-5-1-5-1-000
</v>
          </cell>
          <cell r="C26" t="str">
            <v>Snímač tlaku DMP 331
110-6001-1-5-1-5-1-000
rozsah 0…6 bar
výstup 4…20 mA/2 v
přesnost 0,5 %
elektrické připojení konektor DIN 43650
přípojka tlaku M 20 x 1,5 DIN 3852
těsnění Viton
normální provedení
manometrický kohout, redukce,
vyhlazovací smyčka, tlum</v>
          </cell>
          <cell r="D26" t="str">
            <v>BD Sensors</v>
          </cell>
          <cell r="E26">
            <v>10229</v>
          </cell>
          <cell r="F26">
            <v>162</v>
          </cell>
        </row>
        <row r="27">
          <cell r="C27" t="str">
            <v>Tlakoměrový kohout</v>
          </cell>
          <cell r="D27" t="str">
            <v>JSP
Nová Paka</v>
          </cell>
        </row>
        <row r="28">
          <cell r="C28" t="str">
            <v>Redukce</v>
          </cell>
          <cell r="D28" t="str">
            <v>JSP
Nová Paka</v>
          </cell>
        </row>
        <row r="29">
          <cell r="C29" t="str">
            <v>Tlumič tlakových rázů TTR</v>
          </cell>
          <cell r="D29" t="str">
            <v>BD Sensors</v>
          </cell>
        </row>
        <row r="30">
          <cell r="C30" t="str">
            <v>zobrazovací jednotka PA430</v>
          </cell>
          <cell r="D30" t="str">
            <v>BD Sensors</v>
          </cell>
        </row>
        <row r="32">
          <cell r="B32" t="str">
            <v xml:space="preserve">DMP 331 110-2500-1-5-1-5-1-000
</v>
          </cell>
          <cell r="C32" t="str">
            <v>Snímač tlaku DMP 331
110-2500-1-5-1-5-1-000
rozsah 0…0,20 bar
výstup 4…20 mA/2 v
přesnost 0,5 %
elektrické připojení konektor DIN 43650
přípojka tlaku M 20 x 1,5 DIN 3852
těsnění Viton
normální provedení
manometrický kohout, redukce,
vyhlazovací smyčka, t</v>
          </cell>
          <cell r="D32" t="str">
            <v>BD Sensors</v>
          </cell>
          <cell r="E32">
            <v>11229</v>
          </cell>
          <cell r="F32">
            <v>162</v>
          </cell>
        </row>
        <row r="33">
          <cell r="C33" t="str">
            <v>Tlakoměrový kohout</v>
          </cell>
          <cell r="D33" t="str">
            <v>JSP
Nová Paka</v>
          </cell>
        </row>
        <row r="34">
          <cell r="C34" t="str">
            <v>Redukce</v>
          </cell>
          <cell r="D34" t="str">
            <v>JSP
Nová Paka</v>
          </cell>
        </row>
        <row r="35">
          <cell r="C35" t="str">
            <v>Tlumič tlakových rázů TTR</v>
          </cell>
          <cell r="D35" t="str">
            <v>BD Sensors</v>
          </cell>
        </row>
        <row r="36">
          <cell r="C36" t="str">
            <v>zobrazovací jednotka PA430</v>
          </cell>
          <cell r="D36" t="str">
            <v>BD Sensors</v>
          </cell>
        </row>
        <row r="38">
          <cell r="B38" t="str">
            <v>RTL100</v>
          </cell>
          <cell r="C38" t="str">
            <v>405 612 146 032
Regulátor tlaku vlnovcový
provedení T 23
kontakty v provedení "A"
rozsah10 až 100 kPa
manometrický kohout, redukce,
vyhlazovací smyčka, tlumič tlakových rázů</v>
          </cell>
          <cell r="D38" t="str">
            <v>ZPA Ekoreg
Ústí n/L</v>
          </cell>
          <cell r="E38">
            <v>2479</v>
          </cell>
          <cell r="F38">
            <v>154</v>
          </cell>
        </row>
        <row r="39">
          <cell r="C39" t="str">
            <v>Tlakoměrový kohout</v>
          </cell>
          <cell r="D39" t="str">
            <v>JSP
Nová Paka</v>
          </cell>
        </row>
        <row r="40">
          <cell r="C40" t="str">
            <v>Redukce</v>
          </cell>
          <cell r="D40" t="str">
            <v>JSP
Nová Paka</v>
          </cell>
        </row>
        <row r="41">
          <cell r="C41" t="str">
            <v>Tlumič tlakových rázů TTR</v>
          </cell>
          <cell r="D41" t="str">
            <v>BD Sensors</v>
          </cell>
        </row>
        <row r="44">
          <cell r="B44" t="str">
            <v>112 851 147</v>
          </cell>
          <cell r="C44" t="str">
            <v>Odporový snímač teploty kabelový párovaný
typ 112 851 147
stíněný kabel 4m, provedení 4 drát, třída přesnosti 4,
vč.jímky nerez 100 mm, závit G1/2" 911 091 056</v>
          </cell>
          <cell r="D44" t="str">
            <v>JSP
Nová Paka</v>
          </cell>
          <cell r="E44">
            <v>2530</v>
          </cell>
          <cell r="F44">
            <v>19</v>
          </cell>
        </row>
        <row r="45">
          <cell r="C45" t="str">
            <v>2x jímka nerez 100 mm, závit G1/2" 911 091 056</v>
          </cell>
        </row>
        <row r="46">
          <cell r="B46" t="str">
            <v>PT021 131 021</v>
          </cell>
          <cell r="C46" t="str">
            <v>Programovatelný dvouvodičový převodník teploty
s digitální indikací PT021, typ 131 021,
provedení na stěnu, vč. nastavovací jenotky NJ12</v>
          </cell>
          <cell r="D46" t="str">
            <v>JSP
Nová Paka</v>
          </cell>
          <cell r="E46">
            <v>2960</v>
          </cell>
          <cell r="F46">
            <v>70</v>
          </cell>
        </row>
        <row r="47">
          <cell r="C47" t="str">
            <v>s diplejem</v>
          </cell>
        </row>
        <row r="48">
          <cell r="C48" t="str">
            <v>provedení na stěnu</v>
          </cell>
        </row>
        <row r="49">
          <cell r="C49" t="str">
            <v>Nastavovací jenotky NJ-12</v>
          </cell>
        </row>
        <row r="51">
          <cell r="B51" t="str">
            <v xml:space="preserve">RV 102 ELB 6311-16/140-40 jako
</v>
          </cell>
          <cell r="C51" t="str">
            <v>Trojcestný směšovací ventil DN 40, PN 16
závitové provedení, teplota média 130 stC,
charakteristika ekviprocentní
vč, el. pohonu 24VAC, 0-10V</v>
          </cell>
          <cell r="D51" t="str">
            <v>LDM 
Č. Třebová</v>
          </cell>
          <cell r="E51">
            <v>12800</v>
          </cell>
          <cell r="F51">
            <v>80</v>
          </cell>
        </row>
        <row r="52">
          <cell r="B52" t="str">
            <v xml:space="preserve">RV 102 ELB 6311-16/140-40
</v>
          </cell>
          <cell r="C52" t="str">
            <v>Regulační ventil RV 102 L, DN 40, PN 16
RV 102 ELB 6311-16/140-40
s el. pohonem SQX 62, 24 VAC
řízení 0 ... 10 V
provedení přírubové trojcestné směšovací
materiál tělesa šedá litina
průtočná charakteristika lineární, Kvs = 25 m3/h</v>
          </cell>
          <cell r="D52" t="str">
            <v>LDM 
Č. Třebová</v>
          </cell>
          <cell r="E52">
            <v>12800</v>
          </cell>
          <cell r="F52">
            <v>80</v>
          </cell>
        </row>
        <row r="54">
          <cell r="B54" t="str">
            <v>R250, DN 50, PN 16, NR 24-3
2-bod., PK</v>
          </cell>
          <cell r="C54" t="str">
            <v>Kulový kohout DN 50, PN 16
s el. sevopohonem NR 24-3, 
3-bod., polohový spínač</v>
          </cell>
          <cell r="D54" t="str">
            <v>BELIMO kul.k.</v>
          </cell>
          <cell r="E54">
            <v>10702</v>
          </cell>
          <cell r="F54">
            <v>80</v>
          </cell>
        </row>
        <row r="55">
          <cell r="B55" t="str">
            <v>SNR</v>
          </cell>
          <cell r="C55" t="str">
            <v>1 pomocný přepínací kontakt vestavěný k pohonům LF</v>
          </cell>
        </row>
        <row r="57">
          <cell r="B57" t="str">
            <v>RV213,PN16,DN100,24V,0-10V,hf</v>
          </cell>
          <cell r="C57" t="str">
            <v>Regulační ventil přímý RV 215, PN 16, DN 100,
char. ekviprocentní
s hydraulickým pohonem, řízení 0 - 10V, havarijní funkce</v>
          </cell>
          <cell r="D57" t="str">
            <v>LDM 
Č. Třebová</v>
          </cell>
          <cell r="E57">
            <v>85500</v>
          </cell>
          <cell r="F57">
            <v>50</v>
          </cell>
        </row>
        <row r="60">
          <cell r="B60" t="str">
            <v>Analyzátor1</v>
          </cell>
          <cell r="C60" t="str">
            <v>Programovatelný průmyslový analyzátor vodivosti,
provedení venkovní, IP 65
napájení 230V/50Hz, vč. sondy s kompenzací teploty
s kabelem 5m do potrubí, kompletní příslušenství, jímka
výstup 2x am¨nalogobý 4-20 mA</v>
          </cell>
          <cell r="D60" t="str">
            <v>ostatní</v>
          </cell>
          <cell r="E60">
            <v>60000</v>
          </cell>
          <cell r="F60">
            <v>250</v>
          </cell>
        </row>
        <row r="62">
          <cell r="B62" t="str">
            <v>KlapkaDN50+Belimo</v>
          </cell>
          <cell r="C62" t="str">
            <v>Klapka DN 50,   PN16,  typ 620B050,
vč. servopohonu Belimo 24 VAC, 3. bod. , polohový spínač</v>
          </cell>
          <cell r="D62" t="str">
            <v>ostatní</v>
          </cell>
          <cell r="E62">
            <v>4529</v>
          </cell>
          <cell r="F62">
            <v>80</v>
          </cell>
        </row>
        <row r="64">
          <cell r="B64" t="str">
            <v>DBK-AM</v>
          </cell>
          <cell r="C64" t="str">
            <v>držák servopohonu BELIMO AM</v>
          </cell>
        </row>
        <row r="65">
          <cell r="B65" t="str">
            <v>AM 24-S</v>
          </cell>
          <cell r="C65" t="str">
            <v xml:space="preserve">24V, 3-polohová regulace, dva pomocné kontakty </v>
          </cell>
        </row>
        <row r="67">
          <cell r="B67" t="str">
            <v>sol.v.DN25</v>
          </cell>
          <cell r="C67" t="str">
            <v>Soleniodový ventil DN 25, PN 6, cívka 230V/50Hz
bez napětí uzavřen</v>
          </cell>
          <cell r="D67" t="str">
            <v>ostatní</v>
          </cell>
          <cell r="E67">
            <v>2800</v>
          </cell>
          <cell r="F67">
            <v>50</v>
          </cell>
        </row>
        <row r="69">
          <cell r="B69" t="str">
            <v>čtop1</v>
          </cell>
          <cell r="C69" t="str">
            <v>Oběhové čerpadlo top .vody
230 VAC</v>
          </cell>
          <cell r="D69" t="str">
            <v>strojní
dodávka</v>
          </cell>
          <cell r="E69">
            <v>0</v>
          </cell>
          <cell r="F69">
            <v>50</v>
          </cell>
        </row>
        <row r="70">
          <cell r="B70" t="str">
            <v>čtop3</v>
          </cell>
          <cell r="C70" t="str">
            <v>Oběhové čerpadlo top .vody
3 x 400/230 VAC</v>
          </cell>
          <cell r="D70" t="str">
            <v>strojní
dodávka</v>
          </cell>
          <cell r="E70">
            <v>0</v>
          </cell>
          <cell r="F70">
            <v>80</v>
          </cell>
        </row>
        <row r="71">
          <cell r="B71" t="str">
            <v>čtuvtop1</v>
          </cell>
          <cell r="C71" t="str">
            <v>Oběhové čerpadlo top. v. pro ohř. TUV
230 VAC</v>
          </cell>
          <cell r="D71" t="str">
            <v>strojní
dodávka</v>
          </cell>
          <cell r="E71">
            <v>0</v>
          </cell>
          <cell r="F71">
            <v>50</v>
          </cell>
        </row>
        <row r="72">
          <cell r="B72" t="str">
            <v>čtuvtop3</v>
          </cell>
          <cell r="C72" t="str">
            <v>Oběhové čerpadlo top. v. pro ohř. TUV
3 x 400/230 VAC</v>
          </cell>
          <cell r="D72" t="str">
            <v>strojní
dodávka</v>
          </cell>
          <cell r="E72">
            <v>0</v>
          </cell>
          <cell r="F72">
            <v>80</v>
          </cell>
        </row>
        <row r="73">
          <cell r="B73" t="str">
            <v>očtop1,SSM</v>
          </cell>
          <cell r="C73" t="str">
            <v>Oběhové čerpadlo top .vody
230 VAC
tepelná ochrana SSM</v>
          </cell>
          <cell r="D73" t="str">
            <v>strojní
dodávka</v>
          </cell>
          <cell r="E73">
            <v>0</v>
          </cell>
          <cell r="F73">
            <v>70</v>
          </cell>
        </row>
        <row r="74">
          <cell r="B74" t="str">
            <v>očtop3, SSM</v>
          </cell>
          <cell r="C74" t="str">
            <v>Oběhové čerpadlo top .vody
3 x 400/230 VAC</v>
          </cell>
          <cell r="D74" t="str">
            <v>strojní
dodávka</v>
          </cell>
          <cell r="E74">
            <v>0</v>
          </cell>
          <cell r="F74">
            <v>100</v>
          </cell>
        </row>
        <row r="75">
          <cell r="B75" t="str">
            <v>očtop3</v>
          </cell>
          <cell r="C75" t="str">
            <v>Oběhové čerpadlo top .vody
3 x 400/230 VAC</v>
          </cell>
          <cell r="D75" t="str">
            <v>strojní
dodávka</v>
          </cell>
          <cell r="E75">
            <v>0</v>
          </cell>
          <cell r="F75">
            <v>80</v>
          </cell>
        </row>
        <row r="76">
          <cell r="B76" t="str">
            <v>očtuvtop1</v>
          </cell>
          <cell r="C76" t="str">
            <v>Oběhové čerpadlo top. v. pro ohř. TUV
230 VAC</v>
          </cell>
          <cell r="D76" t="str">
            <v>strojní
dodávka</v>
          </cell>
          <cell r="E76">
            <v>0</v>
          </cell>
          <cell r="F76">
            <v>50</v>
          </cell>
        </row>
        <row r="77">
          <cell r="B77" t="str">
            <v>očtuvtop1, SSM</v>
          </cell>
          <cell r="C77" t="str">
            <v>Oběhové čerpadlo top. v. pro ohř. TUV
230 VAC</v>
          </cell>
          <cell r="D77" t="str">
            <v>strojní
dodávka</v>
          </cell>
          <cell r="E77">
            <v>0</v>
          </cell>
          <cell r="F77">
            <v>80</v>
          </cell>
        </row>
        <row r="78">
          <cell r="B78" t="str">
            <v>očtuvtop3</v>
          </cell>
          <cell r="C78" t="str">
            <v>Oběhové čerpadlo top. v. pro ohř. TUV
3 x 400/230 VAC</v>
          </cell>
          <cell r="D78" t="str">
            <v>strojní
dodávka</v>
          </cell>
          <cell r="E78">
            <v>0</v>
          </cell>
          <cell r="F78">
            <v>80</v>
          </cell>
        </row>
        <row r="79">
          <cell r="B79" t="str">
            <v>očtop1</v>
          </cell>
          <cell r="C79" t="str">
            <v>Oběhové čerpadlo top .vody
230 VAC</v>
          </cell>
          <cell r="D79" t="str">
            <v>strojní
dodávka</v>
          </cell>
          <cell r="E79">
            <v>0</v>
          </cell>
          <cell r="F79">
            <v>50</v>
          </cell>
        </row>
        <row r="80">
          <cell r="B80" t="str">
            <v>očtop1stáv</v>
          </cell>
          <cell r="C80" t="str">
            <v>Oběhové čerpadlo top .vody
230 VAC</v>
          </cell>
          <cell r="D80" t="str">
            <v>stávající</v>
          </cell>
          <cell r="E80">
            <v>0</v>
          </cell>
        </row>
        <row r="81">
          <cell r="B81" t="str">
            <v>očtop3stáv</v>
          </cell>
          <cell r="C81" t="str">
            <v>Oběhové čerpadlo top .vody
3 x 400/230 VAC</v>
          </cell>
          <cell r="D81" t="str">
            <v>stávající</v>
          </cell>
          <cell r="E81">
            <v>0</v>
          </cell>
        </row>
        <row r="82">
          <cell r="B82" t="str">
            <v>očtuvtop1stáv</v>
          </cell>
          <cell r="C82" t="str">
            <v>Oběhové čerpadlo top. v. pro ohř. TUV
230 VAC</v>
          </cell>
          <cell r="D82" t="str">
            <v>stávající</v>
          </cell>
          <cell r="E82">
            <v>0</v>
          </cell>
        </row>
        <row r="83">
          <cell r="B83" t="str">
            <v>očtuvtop3stáv</v>
          </cell>
          <cell r="C83" t="str">
            <v>Oběhové čerpadlo top. v. pro ohř. TUV
3 x 400/230 VAC</v>
          </cell>
          <cell r="D83" t="str">
            <v>stávající</v>
          </cell>
          <cell r="E83">
            <v>0</v>
          </cell>
        </row>
        <row r="84">
          <cell r="B84" t="str">
            <v>cirkTUV3</v>
          </cell>
          <cell r="C84" t="str">
            <v>Cirkulační čerpadlo TUV
3 x 400/230 VAC</v>
          </cell>
          <cell r="D84" t="str">
            <v>strojní
dodávka</v>
          </cell>
          <cell r="E84">
            <v>0</v>
          </cell>
          <cell r="F84">
            <v>80</v>
          </cell>
        </row>
        <row r="85">
          <cell r="B85" t="str">
            <v>cirkTUV1</v>
          </cell>
          <cell r="C85" t="str">
            <v>Cirkulační čerpadlo TUV
230 VAC</v>
          </cell>
          <cell r="D85" t="str">
            <v>strojní
dodávka</v>
          </cell>
          <cell r="E85">
            <v>0</v>
          </cell>
          <cell r="F85">
            <v>50</v>
          </cell>
        </row>
        <row r="86">
          <cell r="B86" t="str">
            <v>cirkTUV1, SSM</v>
          </cell>
          <cell r="C86" t="str">
            <v>Cirkulační čerpadlo TUV
230 VAC</v>
          </cell>
          <cell r="D86" t="str">
            <v>strojní
dodávka</v>
          </cell>
          <cell r="E86">
            <v>0</v>
          </cell>
          <cell r="F86">
            <v>80</v>
          </cell>
        </row>
        <row r="87">
          <cell r="B87" t="str">
            <v>Ventilátor 1f</v>
          </cell>
          <cell r="C87" t="str">
            <v>Ventilátor 1f</v>
          </cell>
          <cell r="D87" t="str">
            <v>strojní
dodávka</v>
          </cell>
          <cell r="E87">
            <v>0</v>
          </cell>
          <cell r="F87">
            <v>50</v>
          </cell>
        </row>
        <row r="88">
          <cell r="A88" t="str">
            <v>Zásuvka 230V/10 A sv/tm. šedá</v>
          </cell>
          <cell r="B88" t="str">
            <v>Zás</v>
          </cell>
          <cell r="C88" t="str">
            <v>Zásuvka 230V/10 A sv/tm. Šedá</v>
          </cell>
          <cell r="D88" t="str">
            <v>E</v>
          </cell>
          <cell r="E88">
            <v>80</v>
          </cell>
          <cell r="F88">
            <v>40</v>
          </cell>
        </row>
        <row r="89">
          <cell r="B89" t="str">
            <v>RA2J-2_6180</v>
          </cell>
          <cell r="C89" t="str">
            <v>Teplotní snímač v zakázkovém pouzdru typ RA2J-2
typ čidla Ni 1000/6180 ppm, dvojvodičové připojení
pozdro typ RA, kabel 2m</v>
          </cell>
          <cell r="D89" t="str">
            <v>REGMET</v>
          </cell>
          <cell r="E89">
            <v>456</v>
          </cell>
          <cell r="F89">
            <v>19</v>
          </cell>
        </row>
        <row r="90">
          <cell r="B90" t="str">
            <v>RA2S-2_6180</v>
          </cell>
          <cell r="C90" t="str">
            <v>Teplotní snímač v zakázkovém pouzdru typ RA2S-2
typ čidla Ni 1000/6180 ppm, dvojvodičové připojení
pozdro typ RA2, průměr 6 mm, ponor 50 mm
závit M10 x 1,5, kabel 2m</v>
          </cell>
          <cell r="D90" t="str">
            <v>REGMET</v>
          </cell>
          <cell r="E90">
            <v>456</v>
          </cell>
          <cell r="F90">
            <v>19</v>
          </cell>
        </row>
        <row r="91">
          <cell r="B91" t="str">
            <v>RA2S-2_6180</v>
          </cell>
          <cell r="C91" t="str">
            <v>Teplotní snímač v zakázkovém pouzdru typ RA2S-2
typ čidla Ni 1000/6180 ppm, dvojvodičové připojení
pozdro typ RA2, průměr 6 mm, ponor 50 mm
závit M10 x 1,5, kabel 2m</v>
          </cell>
          <cell r="D91" t="str">
            <v>REGMET</v>
          </cell>
          <cell r="E91">
            <v>456</v>
          </cell>
          <cell r="F91">
            <v>19</v>
          </cell>
        </row>
        <row r="92">
          <cell r="B92" t="str">
            <v>P13S150-100</v>
          </cell>
          <cell r="C92" t="str">
            <v>Odporový snímač teploty do potrubí P13S150-100
typ čidla Ni 1000/6180 ppm
rozsah -30°C až 150°C
délka jímky 100 mm</v>
          </cell>
          <cell r="D92" t="str">
            <v>REGMET</v>
          </cell>
          <cell r="E92">
            <v>856</v>
          </cell>
          <cell r="F92">
            <v>19</v>
          </cell>
        </row>
        <row r="93">
          <cell r="B93" t="str">
            <v>P13S150-160</v>
          </cell>
          <cell r="C93" t="str">
            <v>Odporový snímač teploty do potrubí P13S150-160
typ čidla Ni 1000/6180 ppm
rozsah -30°C až 150°C
délka jímky 160 mm</v>
          </cell>
          <cell r="D93" t="str">
            <v>REGMET</v>
          </cell>
          <cell r="E93">
            <v>877</v>
          </cell>
          <cell r="F93">
            <v>19</v>
          </cell>
        </row>
        <row r="94">
          <cell r="B94" t="str">
            <v>P13S150-220</v>
          </cell>
          <cell r="C94" t="str">
            <v>Odporový snímač teploty do potrubí P13S150-220
typ čidla Ni 1000/6180 ppm
rozsah -30°C až 150°C
délka jímky 220 mm</v>
          </cell>
          <cell r="D94" t="str">
            <v>REGMET</v>
          </cell>
          <cell r="E94">
            <v>893</v>
          </cell>
          <cell r="F94">
            <v>19</v>
          </cell>
        </row>
        <row r="95">
          <cell r="B95" t="str">
            <v>P12PA-180</v>
          </cell>
          <cell r="C95" t="str">
            <v>Odporový snímač teploty do klimatizace P12PA-180
typ čidla Pt 1000/3850 ppm
rozsah -30°C až 250°C
délka jímky 180 mm</v>
          </cell>
          <cell r="D95" t="str">
            <v>REGMET</v>
          </cell>
          <cell r="E95">
            <v>698</v>
          </cell>
          <cell r="F95">
            <v>19</v>
          </cell>
        </row>
        <row r="96">
          <cell r="B96" t="str">
            <v>P12S-240</v>
          </cell>
          <cell r="C96" t="str">
            <v>Odporový snímač teploty do klimatizace P12S-240
typ čidla Ni 1000/6180 ppm
rozsah -30°C až 250°C
délka jímky 220 mm</v>
          </cell>
          <cell r="D96" t="str">
            <v>REGMET</v>
          </cell>
          <cell r="E96">
            <v>693</v>
          </cell>
          <cell r="F96">
            <v>19</v>
          </cell>
        </row>
        <row r="97">
          <cell r="B97" t="str">
            <v>P14S</v>
          </cell>
          <cell r="C97" t="str">
            <v>Odporový snímač teploty příložný s hlavicí P14S
typ čidla Ni 1000/6180 ppm
rozsah -30°C až 120°C</v>
          </cell>
          <cell r="D97" t="str">
            <v>REGMET</v>
          </cell>
          <cell r="E97">
            <v>693</v>
          </cell>
          <cell r="F97">
            <v>19</v>
          </cell>
        </row>
        <row r="98">
          <cell r="B98" t="str">
            <v>P11S</v>
          </cell>
          <cell r="C98" t="str">
            <v>Odporový snímač teploty venkovní P11S
typ čidla Ni 1000/6180 ppm
rozsah -30°C až 80°C</v>
          </cell>
          <cell r="D98" t="str">
            <v>REGMET</v>
          </cell>
          <cell r="E98">
            <v>667</v>
          </cell>
          <cell r="F98">
            <v>19</v>
          </cell>
        </row>
        <row r="99">
          <cell r="B99" t="str">
            <v>P10S</v>
          </cell>
          <cell r="C99" t="str">
            <v>Odporový snímač teploty interiérový P10S
typ čidla Ni 1000/6180 ppm
rozsah -30°C až 80°C</v>
          </cell>
          <cell r="D99" t="str">
            <v>REGMET</v>
          </cell>
          <cell r="E99">
            <v>305</v>
          </cell>
          <cell r="F99">
            <v>19</v>
          </cell>
        </row>
        <row r="100">
          <cell r="B100" t="str">
            <v>SK4S1</v>
          </cell>
          <cell r="C100" t="str">
            <v>Odporový snímač teploty s kabelovým vývodem SK4S-1
typ čidla Ni 1000/6180 ppm
rozsah -30°C až 80°C</v>
          </cell>
          <cell r="D100" t="str">
            <v>REGMET</v>
          </cell>
          <cell r="E100">
            <v>265</v>
          </cell>
          <cell r="F100">
            <v>19</v>
          </cell>
        </row>
        <row r="101">
          <cell r="B101" t="str">
            <v>P13I-100 0/150</v>
          </cell>
          <cell r="C101" t="str">
            <v>Snímač teploty do potrubí s proudovým výstupem  P13I-100 0/150
rozsah 0°C až 150°C
délka jímky 100 mm</v>
          </cell>
          <cell r="D101" t="str">
            <v>REGMET</v>
          </cell>
          <cell r="E101">
            <v>1670</v>
          </cell>
          <cell r="F101">
            <v>19</v>
          </cell>
        </row>
        <row r="103">
          <cell r="B103" t="str">
            <v>P12L-180</v>
          </cell>
          <cell r="C103" t="str">
            <v>Odporový snímač teploty do klimatizace P12L250-180
typ čidla Ni 1000/5000 ppm
rozsah -30°C až 250°C
délka 180 mm</v>
          </cell>
          <cell r="D103" t="str">
            <v>REGMET</v>
          </cell>
          <cell r="E103">
            <v>698</v>
          </cell>
          <cell r="F103">
            <v>19</v>
          </cell>
        </row>
        <row r="104">
          <cell r="B104" t="str">
            <v>P12L150-220</v>
          </cell>
          <cell r="C104" t="str">
            <v>Odporový snímač teploty do potrubí P12L150-220
typ čidla Ni 1000/5000 ppm
rozsah -30°C až 150°C
délka jímky 220 mm</v>
          </cell>
          <cell r="D104" t="str">
            <v>REGMET</v>
          </cell>
          <cell r="E104">
            <v>893</v>
          </cell>
          <cell r="F104">
            <v>19</v>
          </cell>
        </row>
        <row r="105">
          <cell r="C105" t="str">
            <v>Montážní materiál</v>
          </cell>
        </row>
        <row r="107">
          <cell r="B107" t="str">
            <v>DK+MK</v>
          </cell>
          <cell r="C107" t="str">
            <v>Celoplastové kabely s Cu jádrem</v>
          </cell>
          <cell r="D107" t="str">
            <v>E</v>
          </cell>
          <cell r="E107">
            <v>9</v>
          </cell>
          <cell r="F107">
            <v>2.5</v>
          </cell>
        </row>
        <row r="108">
          <cell r="B108" t="str">
            <v>DMM+MMM</v>
          </cell>
          <cell r="C108" t="str">
            <v>Montážní a elektroinstalační materiál</v>
          </cell>
          <cell r="D108" t="str">
            <v>E</v>
          </cell>
          <cell r="E108">
            <v>14</v>
          </cell>
          <cell r="F108">
            <v>3</v>
          </cell>
        </row>
        <row r="113">
          <cell r="B113" t="str">
            <v>Úprava stáv. roz.</v>
          </cell>
          <cell r="C113" t="str">
            <v>Úprava stávajícího rozvaděče</v>
          </cell>
          <cell r="D113" t="str">
            <v>E</v>
          </cell>
          <cell r="F113">
            <v>50</v>
          </cell>
        </row>
        <row r="114">
          <cell r="B114" t="str">
            <v>mont.DELTA C.</v>
          </cell>
          <cell r="C114" t="str">
            <v>Montáž a připojení rozvaděče DELTA CONTROL 2000</v>
          </cell>
          <cell r="D114" t="str">
            <v>E</v>
          </cell>
          <cell r="F114">
            <v>800</v>
          </cell>
        </row>
        <row r="115">
          <cell r="B115" t="str">
            <v>mont.DELTA C.2</v>
          </cell>
          <cell r="C115" t="str">
            <v>Montáž a připojení rozvaděče DELTA CONTROL 2000</v>
          </cell>
          <cell r="D115" t="str">
            <v>E</v>
          </cell>
          <cell r="F115">
            <v>300</v>
          </cell>
        </row>
        <row r="116">
          <cell r="B116" t="str">
            <v>Připojení čerpadla s FM</v>
          </cell>
          <cell r="C116" t="str">
            <v>Připojení čerpadla s FM</v>
          </cell>
          <cell r="D116" t="str">
            <v>E</v>
          </cell>
          <cell r="F116">
            <v>180</v>
          </cell>
        </row>
        <row r="117">
          <cell r="B117" t="str">
            <v>Připojení čerpadla s FM2</v>
          </cell>
          <cell r="C117" t="str">
            <v>Připojení čerpadla s FM</v>
          </cell>
          <cell r="D117" t="str">
            <v>E</v>
          </cell>
          <cell r="F117">
            <v>120</v>
          </cell>
        </row>
        <row r="118">
          <cell r="A118" t="str">
            <v>Software1</v>
          </cell>
          <cell r="B118" t="str">
            <v>úpr. Software</v>
          </cell>
          <cell r="C118" t="str">
            <v>Úprava stávajícího software ekv. regulace</v>
          </cell>
          <cell r="D118" t="str">
            <v>E</v>
          </cell>
          <cell r="F118">
            <v>100</v>
          </cell>
        </row>
        <row r="120">
          <cell r="A120" t="str">
            <v>Oživ, uved do pr</v>
          </cell>
          <cell r="B120" t="str">
            <v>Oživ, uved do pr</v>
          </cell>
          <cell r="C120" t="str">
            <v>Oživení, uvedení do provozu</v>
          </cell>
          <cell r="D120" t="str">
            <v>E</v>
          </cell>
          <cell r="E120">
            <v>180</v>
          </cell>
        </row>
        <row r="121">
          <cell r="A121" t="str">
            <v>revize</v>
          </cell>
          <cell r="B121" t="str">
            <v>revize</v>
          </cell>
          <cell r="C121" t="str">
            <v>Výchozí revize</v>
          </cell>
          <cell r="D121" t="str">
            <v>E</v>
          </cell>
          <cell r="E121">
            <v>250</v>
          </cell>
        </row>
        <row r="124">
          <cell r="A124" t="str">
            <v>Zkusebni provoz</v>
          </cell>
          <cell r="C124" t="str">
            <v>Zkusebni provoz</v>
          </cell>
          <cell r="E124">
            <v>150</v>
          </cell>
        </row>
        <row r="125">
          <cell r="A125" t="str">
            <v>Zauceni obsluhy</v>
          </cell>
          <cell r="C125" t="str">
            <v>Zauceni obsluhy</v>
          </cell>
          <cell r="E125">
            <v>250</v>
          </cell>
        </row>
        <row r="126">
          <cell r="A126" t="str">
            <v>Demontaz stavajiciho zarizeni</v>
          </cell>
          <cell r="C126" t="str">
            <v>Demontaz stavajiciho zarizeni</v>
          </cell>
          <cell r="E126">
            <v>150</v>
          </cell>
        </row>
        <row r="127">
          <cell r="C127">
            <v>0</v>
          </cell>
          <cell r="E127">
            <v>0</v>
          </cell>
        </row>
        <row r="128">
          <cell r="C128">
            <v>0</v>
          </cell>
          <cell r="E128">
            <v>0</v>
          </cell>
        </row>
        <row r="129">
          <cell r="A129" t="str">
            <v>S ostatnimi profesemi</v>
          </cell>
          <cell r="C129" t="str">
            <v>S ostatnimi profesemi</v>
          </cell>
          <cell r="E129">
            <v>250</v>
          </cell>
        </row>
        <row r="130">
          <cell r="C130">
            <v>0</v>
          </cell>
          <cell r="E130">
            <v>0</v>
          </cell>
        </row>
        <row r="131">
          <cell r="C131">
            <v>0</v>
          </cell>
          <cell r="E131">
            <v>0</v>
          </cell>
        </row>
        <row r="132">
          <cell r="C132">
            <v>0</v>
          </cell>
          <cell r="E132">
            <v>0</v>
          </cell>
        </row>
        <row r="133">
          <cell r="A133" t="str">
            <v>Revizni technik</v>
          </cell>
          <cell r="C133" t="str">
            <v>Revizni technik</v>
          </cell>
          <cell r="E133">
            <v>250</v>
          </cell>
        </row>
        <row r="134">
          <cell r="A134" t="str">
            <v>Montaz rozvadece na OPS</v>
          </cell>
          <cell r="C134" t="str">
            <v>Montaz rozvadece na OPS</v>
          </cell>
          <cell r="E134">
            <v>150</v>
          </cell>
        </row>
        <row r="135">
          <cell r="A135" t="str">
            <v>Aplikační SW SU+VR</v>
          </cell>
          <cell r="C135" t="str">
            <v>Aplikační SW SU+VR</v>
          </cell>
          <cell r="E135">
            <v>400</v>
          </cell>
        </row>
        <row r="138">
          <cell r="B138" t="str">
            <v>kotell2st_ovl</v>
          </cell>
          <cell r="C138" t="str">
            <v>Zapojení ovládání 2. st. kotle</v>
          </cell>
          <cell r="D138" t="str">
            <v>E</v>
          </cell>
          <cell r="F138">
            <v>120</v>
          </cell>
        </row>
        <row r="139">
          <cell r="B139" t="str">
            <v>silpřip_1f</v>
          </cell>
          <cell r="C139" t="str">
            <v>Silové připojení 1f kotle</v>
          </cell>
          <cell r="D139" t="str">
            <v>E</v>
          </cell>
          <cell r="F139">
            <v>50</v>
          </cell>
        </row>
        <row r="141">
          <cell r="B141" t="str">
            <v>RHV02</v>
          </cell>
          <cell r="C141" t="str">
            <v>Regulátor hladiny a el. vod. kapalin RHV 02</v>
          </cell>
          <cell r="D141" t="str">
            <v>ZPA Ekoreg
Ústí n/L</v>
          </cell>
          <cell r="E141">
            <v>1220</v>
          </cell>
          <cell r="F141">
            <v>60</v>
          </cell>
        </row>
        <row r="142">
          <cell r="B142" t="str">
            <v>SZ1</v>
          </cell>
          <cell r="C142" t="str">
            <v>405 613 106 954
Elektroda SZ1</v>
          </cell>
          <cell r="D142" t="str">
            <v>ZPA Ekoreg
Ústí n/L</v>
          </cell>
          <cell r="E142">
            <v>190</v>
          </cell>
          <cell r="F142">
            <v>30</v>
          </cell>
        </row>
        <row r="143">
          <cell r="B143" t="str">
            <v>RTPA20-40N22</v>
          </cell>
          <cell r="C143" t="str">
            <v>405 611 130 014
Regulátor teploty prostorový
provedení N22
kontakty v provedení "A"
rozsah 20 až 60 stC</v>
          </cell>
          <cell r="D143" t="str">
            <v>ZPA Ekoreg
Ústí n/L</v>
          </cell>
          <cell r="E143">
            <v>1150</v>
          </cell>
          <cell r="F143">
            <v>70</v>
          </cell>
        </row>
        <row r="144">
          <cell r="B144" t="str">
            <v>RAR 87501</v>
          </cell>
          <cell r="C144" t="str">
            <v>Omezovací termostat příložný RAR 87501</v>
          </cell>
          <cell r="D144" t="str">
            <v>Eberle</v>
          </cell>
          <cell r="E144">
            <v>560</v>
          </cell>
          <cell r="F144">
            <v>50</v>
          </cell>
        </row>
        <row r="145">
          <cell r="B145" t="str">
            <v>RTL250</v>
          </cell>
          <cell r="C145" t="str">
            <v>405 612 146 031
Regulátor tlaku vlnovcový
provedení T 23
kontakty v provedení "A"
rozsah 25 až 250 kPa</v>
          </cell>
          <cell r="D145" t="str">
            <v>ZPA Ekoreg
Ústí n/L</v>
          </cell>
          <cell r="E145">
            <v>1180</v>
          </cell>
          <cell r="F145">
            <v>70</v>
          </cell>
        </row>
        <row r="146">
          <cell r="B146" t="str">
            <v>Tlak_kohout</v>
          </cell>
          <cell r="C146" t="str">
            <v>Tlakoměrný kohout</v>
          </cell>
          <cell r="D146" t="str">
            <v>JSP
Nová Paka</v>
          </cell>
          <cell r="E146">
            <v>400</v>
          </cell>
          <cell r="F146">
            <v>30</v>
          </cell>
        </row>
        <row r="147">
          <cell r="B147" t="str">
            <v>HTL_zámek</v>
          </cell>
          <cell r="C147" t="str">
            <v>Havarijní tlačítko se zámkem</v>
          </cell>
          <cell r="D147" t="str">
            <v>EP Písek</v>
          </cell>
          <cell r="E147">
            <v>800</v>
          </cell>
          <cell r="F147">
            <v>50</v>
          </cell>
        </row>
        <row r="149">
          <cell r="B149" t="str">
            <v>GI30-2001</v>
          </cell>
          <cell r="C149" t="str">
            <v>Detektor úniku výbušných plynů GAS GI30</v>
          </cell>
          <cell r="D149" t="str">
            <v>J.T.O. System</v>
          </cell>
          <cell r="E149">
            <v>2900</v>
          </cell>
          <cell r="F149">
            <v>70</v>
          </cell>
        </row>
        <row r="150">
          <cell r="B150" t="str">
            <v>GAS EEx SNV1 GI31</v>
          </cell>
          <cell r="C150" t="str">
            <v>Detektor úniku výbušných plynů GAS GI31 pro prostředí ZONA2</v>
          </cell>
          <cell r="D150" t="str">
            <v>J.T.O. System</v>
          </cell>
          <cell r="E150">
            <v>3700</v>
          </cell>
          <cell r="F150">
            <v>70</v>
          </cell>
        </row>
        <row r="151">
          <cell r="B151" t="str">
            <v>Napájecí zdroj NZ 12 DIN</v>
          </cell>
          <cell r="C151" t="str">
            <v>Napájecí zdroj NZ 12 - DIN</v>
          </cell>
          <cell r="D151" t="str">
            <v>J.T.O. System</v>
          </cell>
          <cell r="E151">
            <v>1500</v>
          </cell>
        </row>
        <row r="152">
          <cell r="B152" t="str">
            <v>RTK70140</v>
          </cell>
          <cell r="C152" t="str">
            <v>405 611 266 052
Regulátor teploty kapilárový
provedení T23
kontakty v provedení "A"
rozsah 70 až 140 stC
kapilára 2,5 m
405 961 014 116
Mosazná ochranná jímka</v>
          </cell>
          <cell r="D152" t="str">
            <v>ZPA Ekoreg
Ústí n/L</v>
          </cell>
          <cell r="E152">
            <v>1250</v>
          </cell>
          <cell r="F152">
            <v>70</v>
          </cell>
        </row>
        <row r="154">
          <cell r="B154" t="str">
            <v>PVA 82.3</v>
          </cell>
          <cell r="C154" t="str">
            <v>Poruchová signalizace PVA 82.3</v>
          </cell>
          <cell r="D154" t="str">
            <v>BOLA-Siemens1</v>
          </cell>
          <cell r="E154">
            <v>3830</v>
          </cell>
        </row>
        <row r="155">
          <cell r="B155" t="str">
            <v>HZ-01</v>
          </cell>
          <cell r="C155" t="str">
            <v>Regulátor hladiny HZ-01pro krátkodobou detekci kapalin (havarijní hlášení), 24V</v>
          </cell>
          <cell r="D155" t="str">
            <v>BOLA-AM TECHNIC LINE</v>
          </cell>
          <cell r="E155">
            <v>580</v>
          </cell>
          <cell r="F155">
            <v>60</v>
          </cell>
        </row>
        <row r="156">
          <cell r="B156" t="str">
            <v>SE-1</v>
          </cell>
          <cell r="C156" t="str">
            <v xml:space="preserve">Sdružený dvojsondový snímač hladiny SE-1 (nerez) /v krabici/ </v>
          </cell>
          <cell r="D156" t="str">
            <v>BOLA-AM TECHNIC LINE</v>
          </cell>
          <cell r="E156">
            <v>80</v>
          </cell>
          <cell r="F156">
            <v>30</v>
          </cell>
        </row>
        <row r="157">
          <cell r="B157" t="str">
            <v>604.91</v>
          </cell>
          <cell r="C157" t="str">
            <v>Snímač tlakové diference
typ 604.91, rozsah 50-500 Pa
HUBA CONTROL</v>
          </cell>
          <cell r="D157" t="str">
            <v>BOLA-HUBA</v>
          </cell>
          <cell r="E157">
            <v>850</v>
          </cell>
          <cell r="F157">
            <v>120</v>
          </cell>
        </row>
        <row r="159">
          <cell r="B159" t="str">
            <v>TW115</v>
          </cell>
          <cell r="C159" t="str">
            <v>Protimrazový regulátor teploty kapilárový
typ TW 115, kapilára 6m, rozsah 4,5 - 20 stC
ALCO CONTROLS</v>
          </cell>
          <cell r="D159" t="str">
            <v>BOLA-ALCO</v>
          </cell>
          <cell r="E159">
            <v>1650</v>
          </cell>
          <cell r="F159">
            <v>120</v>
          </cell>
        </row>
        <row r="163">
          <cell r="A163" t="str">
            <v>CYKY 4Bx16-2000</v>
          </cell>
          <cell r="B163" t="str">
            <v>CYKY 4Bx16</v>
          </cell>
          <cell r="C163" t="str">
            <v>CYKY 4Bx16</v>
          </cell>
          <cell r="D163" t="str">
            <v>MM</v>
          </cell>
          <cell r="E163">
            <v>75</v>
          </cell>
          <cell r="F163">
            <v>3.8</v>
          </cell>
        </row>
        <row r="164">
          <cell r="A164" t="str">
            <v>jB10/3</v>
          </cell>
          <cell r="B164" t="str">
            <v>jB10/3</v>
          </cell>
          <cell r="C164" t="str">
            <v>Třípólový jistič 10A/B</v>
          </cell>
          <cell r="D164" t="str">
            <v>MM</v>
          </cell>
          <cell r="E164">
            <v>346</v>
          </cell>
          <cell r="F164">
            <v>60</v>
          </cell>
        </row>
        <row r="165">
          <cell r="A165" t="str">
            <v>jB32/3</v>
          </cell>
          <cell r="B165" t="str">
            <v>jB32/3</v>
          </cell>
          <cell r="C165" t="str">
            <v>Třípólový jistič 32A/B</v>
          </cell>
          <cell r="D165" t="str">
            <v>MM</v>
          </cell>
          <cell r="E165">
            <v>410</v>
          </cell>
        </row>
        <row r="166">
          <cell r="A166" t="str">
            <v>JYTY 2Dx1-2001</v>
          </cell>
          <cell r="B166" t="str">
            <v>JYTY 2Dx1</v>
          </cell>
          <cell r="C166" t="str">
            <v>JYTY 2Dx1</v>
          </cell>
          <cell r="D166" t="str">
            <v>MM</v>
          </cell>
          <cell r="E166">
            <v>5.8</v>
          </cell>
          <cell r="F166">
            <v>2.5</v>
          </cell>
        </row>
        <row r="167">
          <cell r="A167" t="str">
            <v>JYTY 4Dx1-2001</v>
          </cell>
          <cell r="B167" t="str">
            <v>JYTY 4Dx1</v>
          </cell>
          <cell r="C167" t="str">
            <v>JYTY 4Dx1</v>
          </cell>
          <cell r="D167" t="str">
            <v>MM</v>
          </cell>
          <cell r="E167">
            <v>9.1999999999999993</v>
          </cell>
          <cell r="F167">
            <v>2.5</v>
          </cell>
        </row>
        <row r="168">
          <cell r="A168" t="str">
            <v>JYStY 1x2x0,8</v>
          </cell>
          <cell r="B168" t="str">
            <v>JYStY 1x2x0,8</v>
          </cell>
          <cell r="C168" t="str">
            <v>JYStY 1x2x0,8</v>
          </cell>
          <cell r="D168" t="str">
            <v>Elektram/kab</v>
          </cell>
          <cell r="E168">
            <v>6</v>
          </cell>
          <cell r="F168">
            <v>2.5</v>
          </cell>
        </row>
        <row r="169">
          <cell r="A169" t="str">
            <v>JYStY 2x2x0,8</v>
          </cell>
          <cell r="B169" t="str">
            <v>JYStY 2x2x0,8</v>
          </cell>
          <cell r="C169" t="str">
            <v>JYStY 2x2x0,8</v>
          </cell>
          <cell r="D169" t="str">
            <v>Elektram/kab</v>
          </cell>
          <cell r="E169">
            <v>8</v>
          </cell>
          <cell r="F169">
            <v>2.5</v>
          </cell>
        </row>
        <row r="170">
          <cell r="A170" t="str">
            <v>JYStY 1x2x0,8</v>
          </cell>
          <cell r="B170" t="str">
            <v>JYStY 1x2x0,8</v>
          </cell>
          <cell r="C170" t="str">
            <v>JYStY 1x2x0,8</v>
          </cell>
          <cell r="D170" t="str">
            <v>MM</v>
          </cell>
          <cell r="E170">
            <v>6</v>
          </cell>
          <cell r="F170">
            <v>2.5</v>
          </cell>
        </row>
        <row r="171">
          <cell r="A171" t="str">
            <v>CYKY 3Cx1,5-2001</v>
          </cell>
          <cell r="B171" t="str">
            <v>CYKY 3Cx1,5</v>
          </cell>
          <cell r="C171" t="str">
            <v>CYKY 3Cx1,5</v>
          </cell>
          <cell r="D171" t="str">
            <v>MM</v>
          </cell>
          <cell r="E171">
            <v>7.9</v>
          </cell>
          <cell r="F171">
            <v>2.5</v>
          </cell>
        </row>
        <row r="172">
          <cell r="A172" t="str">
            <v>CYKY 3Cx2,5</v>
          </cell>
          <cell r="B172" t="str">
            <v>CYKY 3Cx2,5</v>
          </cell>
          <cell r="C172" t="str">
            <v>CYKY 3Cx2,5</v>
          </cell>
          <cell r="D172" t="str">
            <v>MM</v>
          </cell>
          <cell r="E172">
            <v>16</v>
          </cell>
          <cell r="F172">
            <v>2.5</v>
          </cell>
        </row>
        <row r="173">
          <cell r="A173" t="str">
            <v>CYKY 7Cx1,5</v>
          </cell>
          <cell r="B173" t="str">
            <v>CYKY 7Cx1,5</v>
          </cell>
          <cell r="C173" t="str">
            <v>CYKY 7Cx1,5</v>
          </cell>
          <cell r="D173" t="str">
            <v>MM</v>
          </cell>
          <cell r="E173">
            <v>17.2</v>
          </cell>
          <cell r="F173">
            <v>2.5</v>
          </cell>
        </row>
        <row r="174">
          <cell r="A174" t="str">
            <v>CYKY 5Cx1,5-2001</v>
          </cell>
          <cell r="B174" t="str">
            <v>CYKY 5Cx1,5</v>
          </cell>
          <cell r="C174" t="str">
            <v>CYKY 5Cx1,5</v>
          </cell>
          <cell r="D174" t="str">
            <v>MM</v>
          </cell>
          <cell r="E174">
            <v>11.9</v>
          </cell>
          <cell r="F174">
            <v>2.5</v>
          </cell>
        </row>
        <row r="175">
          <cell r="A175" t="str">
            <v>CYKY 3Bx1,5</v>
          </cell>
          <cell r="B175" t="str">
            <v>CYKY 3Bx1,5</v>
          </cell>
          <cell r="C175" t="str">
            <v>CYKY 3Bx1,5</v>
          </cell>
          <cell r="D175" t="str">
            <v>MM</v>
          </cell>
          <cell r="E175">
            <v>9.6</v>
          </cell>
          <cell r="F175">
            <v>2.5</v>
          </cell>
        </row>
        <row r="176">
          <cell r="A176" t="str">
            <v>CYKY 5Cx2,5</v>
          </cell>
          <cell r="B176" t="str">
            <v>CYKY 5Cx2,5</v>
          </cell>
          <cell r="C176" t="str">
            <v>CYKY 5Cx2,5</v>
          </cell>
          <cell r="D176" t="str">
            <v>MM</v>
          </cell>
          <cell r="E176">
            <v>23.8</v>
          </cell>
          <cell r="F176">
            <v>2.5</v>
          </cell>
        </row>
        <row r="177">
          <cell r="A177" t="str">
            <v>CYKY 4Bx2,5-2000</v>
          </cell>
          <cell r="B177" t="str">
            <v>CYKY 4Bx2,5</v>
          </cell>
          <cell r="C177" t="str">
            <v>CYKY 4Bx2,5</v>
          </cell>
          <cell r="D177" t="str">
            <v>MM</v>
          </cell>
          <cell r="E177">
            <v>15</v>
          </cell>
          <cell r="F177">
            <v>2.5</v>
          </cell>
        </row>
        <row r="178">
          <cell r="A178" t="str">
            <v>CYKY 4Bx10-2000</v>
          </cell>
          <cell r="B178" t="str">
            <v>CYKY 4Bx10</v>
          </cell>
          <cell r="C178" t="str">
            <v>CYKY 4Bx10</v>
          </cell>
          <cell r="D178" t="str">
            <v>MM</v>
          </cell>
          <cell r="E178">
            <v>55</v>
          </cell>
          <cell r="F178">
            <v>3.8</v>
          </cell>
        </row>
        <row r="179">
          <cell r="A179" t="str">
            <v>PZ21</v>
          </cell>
          <cell r="B179" t="str">
            <v>PZ21</v>
          </cell>
          <cell r="C179" t="str">
            <v>Pancéřová trubka PZ 21 /m/</v>
          </cell>
          <cell r="D179" t="str">
            <v>MM</v>
          </cell>
          <cell r="E179">
            <v>40</v>
          </cell>
          <cell r="F179">
            <v>8.4499999999999993</v>
          </cell>
        </row>
        <row r="180">
          <cell r="A180" t="str">
            <v>PZ16</v>
          </cell>
          <cell r="B180" t="str">
            <v>PZ16</v>
          </cell>
          <cell r="C180" t="str">
            <v>Pancéřová trubka PZ 16 /m/</v>
          </cell>
          <cell r="D180" t="str">
            <v>MM</v>
          </cell>
          <cell r="E180">
            <v>30</v>
          </cell>
          <cell r="F180">
            <v>5</v>
          </cell>
        </row>
        <row r="181">
          <cell r="A181" t="str">
            <v>LV 24x22</v>
          </cell>
          <cell r="B181" t="str">
            <v>LV 24x22</v>
          </cell>
          <cell r="C181" t="str">
            <v>Plastový instalační žlab LV 24x22</v>
          </cell>
          <cell r="D181" t="str">
            <v>MM</v>
          </cell>
          <cell r="E181">
            <v>30</v>
          </cell>
          <cell r="F181">
            <v>7</v>
          </cell>
        </row>
        <row r="182">
          <cell r="A182" t="str">
            <v>LV 18x13</v>
          </cell>
          <cell r="B182" t="str">
            <v>LV 18x13</v>
          </cell>
          <cell r="C182" t="str">
            <v>Plastový instalační žlab LV 18x13</v>
          </cell>
          <cell r="D182" t="str">
            <v>MM</v>
          </cell>
          <cell r="E182">
            <v>15</v>
          </cell>
          <cell r="F182">
            <v>7</v>
          </cell>
        </row>
        <row r="183">
          <cell r="A183" t="str">
            <v>LV 40x15</v>
          </cell>
          <cell r="B183" t="str">
            <v>;</v>
          </cell>
          <cell r="C183" t="str">
            <v>Plastový instalační žlab LV 40x15</v>
          </cell>
          <cell r="D183" t="str">
            <v>MM</v>
          </cell>
          <cell r="E183">
            <v>34</v>
          </cell>
          <cell r="F183">
            <v>7</v>
          </cell>
        </row>
        <row r="184">
          <cell r="A184" t="str">
            <v>PVC60x40</v>
          </cell>
          <cell r="B184" t="str">
            <v>PVC60x40</v>
          </cell>
          <cell r="C184" t="str">
            <v>Lišta PVC 60x40 vč. víka</v>
          </cell>
          <cell r="D184" t="str">
            <v>MM</v>
          </cell>
          <cell r="E184">
            <v>44</v>
          </cell>
          <cell r="F184">
            <v>8</v>
          </cell>
        </row>
        <row r="185">
          <cell r="A185" t="str">
            <v>RK9062/CR 4 mm2, 12 svorek</v>
          </cell>
          <cell r="B185" t="str">
            <v>RK9062/CR 4 mm2, 12 svorek</v>
          </cell>
          <cell r="C185" t="str">
            <v>Plastová odbočná krabice</v>
          </cell>
          <cell r="D185" t="str">
            <v>MM</v>
          </cell>
          <cell r="E185">
            <v>80</v>
          </cell>
          <cell r="F185">
            <v>40</v>
          </cell>
        </row>
        <row r="186">
          <cell r="A186" t="str">
            <v>žl50</v>
          </cell>
          <cell r="B186" t="str">
            <v>žl50</v>
          </cell>
          <cell r="C186" t="str">
            <v>Kabelový žlab 62x50 vč. víka /2m ks/</v>
          </cell>
          <cell r="D186" t="str">
            <v>MM</v>
          </cell>
          <cell r="E186">
            <v>135</v>
          </cell>
          <cell r="F186">
            <v>46.6</v>
          </cell>
        </row>
        <row r="187">
          <cell r="A187" t="str">
            <v>žl125</v>
          </cell>
          <cell r="B187" t="str">
            <v>žl125</v>
          </cell>
          <cell r="C187" t="str">
            <v>Kabelový žlab 125x50 vč. víka /2m ks/</v>
          </cell>
          <cell r="D187" t="str">
            <v>MM</v>
          </cell>
          <cell r="E187">
            <v>172</v>
          </cell>
          <cell r="F187">
            <v>46.6</v>
          </cell>
        </row>
        <row r="188">
          <cell r="A188" t="str">
            <v>uk4</v>
          </cell>
          <cell r="B188" t="str">
            <v>uk4</v>
          </cell>
          <cell r="C188" t="str">
            <v>Ukončení kabelu do 4x4mm2</v>
          </cell>
          <cell r="D188" t="str">
            <v>MM</v>
          </cell>
          <cell r="E188">
            <v>0</v>
          </cell>
          <cell r="F188">
            <v>13.2</v>
          </cell>
        </row>
        <row r="189">
          <cell r="A189" t="str">
            <v>ukst4</v>
          </cell>
          <cell r="B189" t="str">
            <v>ukst4</v>
          </cell>
          <cell r="C189" t="str">
            <v>Ukončení stíněného kabelu do 4x1mm2</v>
          </cell>
          <cell r="D189" t="str">
            <v>MM</v>
          </cell>
          <cell r="E189">
            <v>0</v>
          </cell>
          <cell r="F189">
            <v>32</v>
          </cell>
        </row>
        <row r="190">
          <cell r="A190" t="str">
            <v>CY6</v>
          </cell>
          <cell r="B190" t="str">
            <v>CY6</v>
          </cell>
          <cell r="C190" t="str">
            <v>Vodič CY 6mm2 ŽZ</v>
          </cell>
          <cell r="D190" t="str">
            <v>MM</v>
          </cell>
          <cell r="E190">
            <v>8.9</v>
          </cell>
          <cell r="F190">
            <v>5.2</v>
          </cell>
        </row>
        <row r="191">
          <cell r="A191" t="str">
            <v>Zsv</v>
          </cell>
          <cell r="B191" t="str">
            <v>Zsv</v>
          </cell>
          <cell r="C191" t="str">
            <v>Zemnící svorky vč. CU pásků</v>
          </cell>
          <cell r="D191" t="str">
            <v>MM</v>
          </cell>
          <cell r="E191">
            <v>11</v>
          </cell>
          <cell r="F191">
            <v>4.5</v>
          </cell>
        </row>
        <row r="192">
          <cell r="A192" t="str">
            <v>H</v>
          </cell>
          <cell r="B192" t="str">
            <v>H</v>
          </cell>
          <cell r="C192" t="str">
            <v>Upevňovací bod hmoždinkou</v>
          </cell>
          <cell r="D192" t="str">
            <v>MM</v>
          </cell>
          <cell r="E192">
            <v>5.5</v>
          </cell>
          <cell r="F192">
            <v>2.1</v>
          </cell>
        </row>
        <row r="193">
          <cell r="B193" t="str">
            <v>Třípólový jistič Schrack 63A/B</v>
          </cell>
          <cell r="C193" t="str">
            <v>Třípólový jistič Schrack 63A/B</v>
          </cell>
          <cell r="D193" t="str">
            <v>Schrack</v>
          </cell>
          <cell r="E193">
            <v>1128</v>
          </cell>
        </row>
        <row r="195">
          <cell r="B195" t="str">
            <v>AM 24-SR</v>
          </cell>
          <cell r="C195" t="str">
            <v xml:space="preserve">Klapkový servopohon 24V, 0-10V, multifunkční technologie </v>
          </cell>
          <cell r="D195" t="str">
            <v>BOLA pohony</v>
          </cell>
          <cell r="E195">
            <v>7351</v>
          </cell>
          <cell r="F195">
            <v>80</v>
          </cell>
        </row>
        <row r="196">
          <cell r="B196" t="str">
            <v>NM 24-SR</v>
          </cell>
          <cell r="C196" t="str">
            <v>Klapkový servopohon NM 24-SR, 24V, 0-10V, 150s</v>
          </cell>
          <cell r="D196" t="str">
            <v>BOLA pohony</v>
          </cell>
          <cell r="E196">
            <v>6053</v>
          </cell>
          <cell r="F196">
            <v>80</v>
          </cell>
        </row>
        <row r="197">
          <cell r="B197" t="str">
            <v>LM 24-SR</v>
          </cell>
          <cell r="C197" t="str">
            <v>Klapkový servopohon 24V, 0-10V, 110s</v>
          </cell>
          <cell r="D197" t="str">
            <v>BOLA pohony</v>
          </cell>
          <cell r="E197">
            <v>4628</v>
          </cell>
          <cell r="F197">
            <v>80</v>
          </cell>
        </row>
        <row r="199">
          <cell r="B199" t="str">
            <v>LF 24</v>
          </cell>
          <cell r="C199" t="str">
            <v>Klapkový servopohon 24V, 2-polohová regulace, havarijní funkce</v>
          </cell>
          <cell r="D199" t="str">
            <v>BOLA pohony</v>
          </cell>
          <cell r="E199">
            <v>5622</v>
          </cell>
          <cell r="F199">
            <v>80</v>
          </cell>
        </row>
        <row r="200">
          <cell r="B200" t="str">
            <v>AF 230</v>
          </cell>
          <cell r="C200" t="str">
            <v>Klapkový servopohon 230V, 2-polohová regulace, 150s/16s, havarijní funkce</v>
          </cell>
          <cell r="D200" t="str">
            <v>BOLA pohony</v>
          </cell>
          <cell r="E200">
            <v>9246</v>
          </cell>
          <cell r="F200">
            <v>80</v>
          </cell>
        </row>
        <row r="202">
          <cell r="B202" t="str">
            <v xml:space="preserve">RV 102 ELB 6311-16/140-15
</v>
          </cell>
          <cell r="C202" t="str">
            <v>Regulační ventil RV 102 L, DN 15, PN 16
RV 102 ELB 6311-16/140-15
s el. pohonem SQX 62, 24 VAC
řízení 0 ... 10 V
provedení přírubové trojcestné směšovací
materiál tělesa šedá litina
průtočná charakteristika lineární, Kvs = 6,3 m3/h</v>
          </cell>
          <cell r="D202" t="str">
            <v>LDM 
Č. Třebová</v>
          </cell>
          <cell r="E202">
            <v>11320</v>
          </cell>
          <cell r="F202">
            <v>80</v>
          </cell>
        </row>
        <row r="203">
          <cell r="B203" t="str">
            <v xml:space="preserve">RV 102 ELB 6311-16/140-40
</v>
          </cell>
          <cell r="C203" t="str">
            <v>Regulační ventil RV 102 L, DN 40, PN 16
RV 102 ELB 6311-16/140-40
s el. pohonem SQX 62, 24 VAC
řízení 0 ... 10 V
provedení přírubové trojcestné směšovací
materiál tělesa šedá litina
průtočná charakteristika lineární, Kvs = 25 m3/h</v>
          </cell>
          <cell r="D203" t="str">
            <v>LDM 
Č. Třebová</v>
          </cell>
          <cell r="E203">
            <v>12800</v>
          </cell>
          <cell r="F203">
            <v>80</v>
          </cell>
        </row>
        <row r="204">
          <cell r="B204" t="str">
            <v xml:space="preserve">RV 103 ELB 6311-16/140-50
</v>
          </cell>
          <cell r="C204" t="str">
            <v>Regulační ventil RV 103 L, DN 50, PN 16
RV 102 ELB 6311-16/140-50
s el. pohonem SQX 62, 24 VAC
řízení 0 ... 10 V
provedení přírubové trojcestné směšovací
materiál tělesa šedá litina
průtočná charakteristika lineární, Kvs = 40 m3/h</v>
          </cell>
          <cell r="D204" t="str">
            <v>LDM 
Č. Třebová</v>
          </cell>
          <cell r="E204">
            <v>15100</v>
          </cell>
          <cell r="F204">
            <v>80</v>
          </cell>
        </row>
        <row r="206">
          <cell r="B206" t="str">
            <v>QAF81.3</v>
          </cell>
          <cell r="C206" t="str">
            <v>Protimrazový termostat QAF81.3, rozsah -5...10 stC, délka kapiláry 3 m</v>
          </cell>
          <cell r="D206" t="str">
            <v>Landis &amp; Staefa</v>
          </cell>
          <cell r="E206">
            <v>3317</v>
          </cell>
          <cell r="F206">
            <v>120</v>
          </cell>
        </row>
        <row r="208">
          <cell r="B208" t="str">
            <v>Snímač tlakové diference P33AB-9202</v>
          </cell>
          <cell r="C208" t="str">
            <v>Snímač tlakové diference, typ P33AB-9202</v>
          </cell>
          <cell r="D208" t="str">
            <v>Johnson 
Controls</v>
          </cell>
          <cell r="E208">
            <v>1239</v>
          </cell>
          <cell r="F208">
            <v>60</v>
          </cell>
        </row>
        <row r="209">
          <cell r="B209" t="str">
            <v>ventilátor 50 kW H-T</v>
          </cell>
          <cell r="C209" t="str">
            <v>Ventilátor 50 kW</v>
          </cell>
          <cell r="D209" t="str">
            <v>strojní
dodávka</v>
          </cell>
          <cell r="E209">
            <v>0</v>
          </cell>
          <cell r="F209">
            <v>160</v>
          </cell>
        </row>
        <row r="210">
          <cell r="B210" t="str">
            <v>ventilátor 4 kW H-T</v>
          </cell>
          <cell r="C210" t="str">
            <v>Ventilátor 4 kW</v>
          </cell>
          <cell r="D210" t="str">
            <v>strojní
dodávka</v>
          </cell>
          <cell r="E210">
            <v>0</v>
          </cell>
          <cell r="F210">
            <v>120</v>
          </cell>
        </row>
        <row r="211">
          <cell r="B211" t="str">
            <v xml:space="preserve">ventilátor 3 kW </v>
          </cell>
          <cell r="C211" t="str">
            <v>Ventilátor 3 kW</v>
          </cell>
          <cell r="D211" t="str">
            <v>strojní
dodávka</v>
          </cell>
          <cell r="E211">
            <v>0</v>
          </cell>
          <cell r="F211">
            <v>80</v>
          </cell>
        </row>
        <row r="214">
          <cell r="B214" t="str">
            <v>řs303</v>
          </cell>
          <cell r="C214" t="str">
            <v>Regulátor TR 303</v>
          </cell>
          <cell r="D214" t="str">
            <v>Tecont</v>
          </cell>
          <cell r="E214">
            <v>20500</v>
          </cell>
        </row>
        <row r="215">
          <cell r="B215" t="str">
            <v>řs304</v>
          </cell>
          <cell r="C215" t="str">
            <v>Regulátor TR 304</v>
          </cell>
          <cell r="D215" t="str">
            <v>Tecont</v>
          </cell>
          <cell r="E215">
            <v>23500</v>
          </cell>
        </row>
        <row r="216">
          <cell r="B216" t="str">
            <v>modul322</v>
          </cell>
          <cell r="C216" t="str">
            <v>Rozšiřující modul TR 322</v>
          </cell>
          <cell r="D216" t="str">
            <v>Tecont</v>
          </cell>
          <cell r="E216">
            <v>13500</v>
          </cell>
        </row>
        <row r="217">
          <cell r="B217" t="str">
            <v>ID05</v>
          </cell>
          <cell r="C217" t="str">
            <v>Operátorský panel ID-05, LCD 2x16, RS-232</v>
          </cell>
          <cell r="D217" t="str">
            <v>Teco</v>
          </cell>
          <cell r="E217">
            <v>3750</v>
          </cell>
        </row>
        <row r="219">
          <cell r="B219" t="str">
            <v>SWTECOREG</v>
          </cell>
          <cell r="C219" t="str">
            <v>Aplikační SW pro ŘS TECOREG</v>
          </cell>
          <cell r="D219" t="str">
            <v>Energie MaR</v>
          </cell>
          <cell r="E219">
            <v>500</v>
          </cell>
        </row>
        <row r="221">
          <cell r="B221" t="str">
            <v>CYKY 2Ax1,5-2001</v>
          </cell>
          <cell r="C221" t="str">
            <v>CYKY 2Ax1,5</v>
          </cell>
          <cell r="D221" t="str">
            <v>Elektram/kab</v>
          </cell>
          <cell r="E221">
            <v>5.8</v>
          </cell>
          <cell r="F221">
            <v>2.5</v>
          </cell>
        </row>
        <row r="222">
          <cell r="B222" t="str">
            <v>CYKY 3Cx1,5-2001</v>
          </cell>
          <cell r="C222" t="str">
            <v>CYKY 3Cx1,5</v>
          </cell>
          <cell r="D222" t="str">
            <v>Elektram/kab</v>
          </cell>
          <cell r="E222">
            <v>7.9</v>
          </cell>
          <cell r="F222">
            <v>2.5</v>
          </cell>
        </row>
        <row r="223">
          <cell r="B223" t="str">
            <v>CYKY 3Dx1,5-2001</v>
          </cell>
          <cell r="C223" t="str">
            <v>CYKY 3Cx1,5</v>
          </cell>
          <cell r="D223" t="str">
            <v>Elektram/kab</v>
          </cell>
          <cell r="E223">
            <v>7.9</v>
          </cell>
          <cell r="F223">
            <v>2.5</v>
          </cell>
        </row>
        <row r="224">
          <cell r="B224" t="str">
            <v>CYKY 4Bx1,5-2001</v>
          </cell>
          <cell r="C224" t="str">
            <v>CYKY 4Bx1,5</v>
          </cell>
          <cell r="D224" t="str">
            <v>Elektram/kab</v>
          </cell>
          <cell r="E224">
            <v>10.1</v>
          </cell>
          <cell r="F224">
            <v>2.5</v>
          </cell>
        </row>
        <row r="225">
          <cell r="B225" t="str">
            <v>CYKY 4Bx2,5-2001</v>
          </cell>
          <cell r="C225" t="str">
            <v>CYKY 4Bx2,5</v>
          </cell>
          <cell r="D225" t="str">
            <v>Elektram/kab</v>
          </cell>
          <cell r="E225">
            <v>14.7</v>
          </cell>
          <cell r="F225">
            <v>2.5</v>
          </cell>
        </row>
        <row r="226">
          <cell r="B226" t="str">
            <v>CYKY 4Bx4-2001</v>
          </cell>
          <cell r="C226" t="str">
            <v>CYKY 4Bx4</v>
          </cell>
          <cell r="D226" t="str">
            <v>Elektram/kab</v>
          </cell>
          <cell r="E226">
            <v>22.4</v>
          </cell>
          <cell r="F226">
            <v>3.8</v>
          </cell>
        </row>
        <row r="227">
          <cell r="B227" t="str">
            <v>CYKY 5Cx1,5-2001</v>
          </cell>
          <cell r="C227" t="str">
            <v>CYKY 5Cx1,5</v>
          </cell>
          <cell r="D227" t="str">
            <v>Elektram/kab</v>
          </cell>
          <cell r="E227">
            <v>11.9</v>
          </cell>
          <cell r="F227">
            <v>2.5</v>
          </cell>
        </row>
        <row r="228">
          <cell r="B228" t="str">
            <v>CYKY 5Dx1,5-2001</v>
          </cell>
          <cell r="C228" t="str">
            <v>CYKY 5Dx1,5</v>
          </cell>
          <cell r="D228" t="str">
            <v>Elektram/kab</v>
          </cell>
          <cell r="E228">
            <v>11.9</v>
          </cell>
          <cell r="F228">
            <v>2.5</v>
          </cell>
        </row>
        <row r="229">
          <cell r="B229" t="str">
            <v>CYKY 5Cx35-2001</v>
          </cell>
          <cell r="C229" t="str">
            <v>CYKY 5Cx35</v>
          </cell>
          <cell r="D229" t="str">
            <v>Elektram/kab</v>
          </cell>
          <cell r="E229">
            <v>231.4</v>
          </cell>
          <cell r="F229">
            <v>2.5</v>
          </cell>
        </row>
        <row r="230">
          <cell r="B230" t="str">
            <v>CYKY 2Ax1,5</v>
          </cell>
          <cell r="C230" t="str">
            <v>CYKY 2Ax1,5</v>
          </cell>
          <cell r="D230" t="str">
            <v>Elektram/kab</v>
          </cell>
          <cell r="E230">
            <v>6.5</v>
          </cell>
          <cell r="F230">
            <v>2.5</v>
          </cell>
        </row>
        <row r="231">
          <cell r="B231" t="str">
            <v>CYKY 2Ax2,5</v>
          </cell>
          <cell r="C231" t="str">
            <v>CYKY 2Ax2,5</v>
          </cell>
          <cell r="D231" t="str">
            <v>Elektram/kab</v>
          </cell>
          <cell r="E231">
            <v>9</v>
          </cell>
          <cell r="F231">
            <v>2.5</v>
          </cell>
        </row>
        <row r="232">
          <cell r="B232" t="str">
            <v>CYKY 2Dx1,5</v>
          </cell>
          <cell r="C232" t="str">
            <v>CYKY 2Dx1,5</v>
          </cell>
          <cell r="D232" t="str">
            <v>Elektram/kab</v>
          </cell>
          <cell r="E232">
            <v>7</v>
          </cell>
          <cell r="F232">
            <v>2.5</v>
          </cell>
        </row>
        <row r="233">
          <cell r="B233" t="str">
            <v>CYKY 3Ax1,5-2002</v>
          </cell>
          <cell r="C233" t="str">
            <v>CYKY 3Ax1,5</v>
          </cell>
          <cell r="D233" t="str">
            <v>Elektram/kab</v>
          </cell>
          <cell r="E233">
            <v>7.9</v>
          </cell>
          <cell r="F233">
            <v>2.5</v>
          </cell>
        </row>
        <row r="234">
          <cell r="B234" t="str">
            <v>CYKY 3Bx1,5</v>
          </cell>
          <cell r="C234" t="str">
            <v>CYKY 3Bx1,5</v>
          </cell>
          <cell r="D234" t="str">
            <v>Elektram/kab</v>
          </cell>
          <cell r="E234">
            <v>9.6</v>
          </cell>
          <cell r="F234">
            <v>2.5</v>
          </cell>
        </row>
        <row r="235">
          <cell r="B235" t="str">
            <v>CYKY 3Cx1,5</v>
          </cell>
          <cell r="C235" t="str">
            <v>CYKY 3Cx1,5</v>
          </cell>
          <cell r="D235" t="str">
            <v>Elektram/kab</v>
          </cell>
          <cell r="E235">
            <v>9.6</v>
          </cell>
          <cell r="F235">
            <v>2.5</v>
          </cell>
        </row>
        <row r="236">
          <cell r="B236" t="str">
            <v>CYKY 3Dx1,5</v>
          </cell>
          <cell r="C236" t="str">
            <v>CYKY 3Dx1,5</v>
          </cell>
          <cell r="D236" t="str">
            <v>Elektram/kab</v>
          </cell>
          <cell r="E236">
            <v>8</v>
          </cell>
          <cell r="F236">
            <v>2.5</v>
          </cell>
        </row>
        <row r="237">
          <cell r="B237" t="str">
            <v>CYKY 3Cx2,5</v>
          </cell>
          <cell r="C237" t="str">
            <v>CYKY 3Cx2,5</v>
          </cell>
          <cell r="D237" t="str">
            <v>Elektram/kab</v>
          </cell>
          <cell r="E237">
            <v>16</v>
          </cell>
          <cell r="F237">
            <v>2.5</v>
          </cell>
        </row>
        <row r="238">
          <cell r="B238" t="str">
            <v>CYKY 3Ax2,5</v>
          </cell>
          <cell r="C238" t="str">
            <v>CYKY 3Ax2,5</v>
          </cell>
          <cell r="D238" t="str">
            <v>Elektram/kab</v>
          </cell>
          <cell r="E238">
            <v>16</v>
          </cell>
          <cell r="F238">
            <v>2.5</v>
          </cell>
        </row>
        <row r="239">
          <cell r="B239" t="str">
            <v>CYKY 3Cx4</v>
          </cell>
          <cell r="C239" t="str">
            <v>CYKY 3Cx4</v>
          </cell>
          <cell r="D239" t="str">
            <v>Elektram/kab</v>
          </cell>
          <cell r="E239">
            <v>19</v>
          </cell>
          <cell r="F239">
            <v>2.5</v>
          </cell>
        </row>
        <row r="240">
          <cell r="B240" t="str">
            <v>CYKY 4Cx1,5</v>
          </cell>
          <cell r="C240" t="str">
            <v>CYKY 4Cx1,5</v>
          </cell>
          <cell r="D240" t="str">
            <v>Elektram/kab</v>
          </cell>
          <cell r="E240">
            <v>11</v>
          </cell>
          <cell r="F240">
            <v>2.5</v>
          </cell>
        </row>
        <row r="241">
          <cell r="B241" t="str">
            <v>CYKY 4Bx1,5</v>
          </cell>
          <cell r="C241" t="str">
            <v>CYKY 4Bx1,5</v>
          </cell>
          <cell r="D241" t="str">
            <v>Elektram/kab</v>
          </cell>
          <cell r="E241">
            <v>11</v>
          </cell>
          <cell r="F241">
            <v>2.5</v>
          </cell>
        </row>
        <row r="242">
          <cell r="B242" t="str">
            <v>CYKY 4Bx2,5</v>
          </cell>
          <cell r="C242" t="str">
            <v>CYKY 4Bx2,5</v>
          </cell>
          <cell r="D242" t="str">
            <v>Elektram/kab</v>
          </cell>
          <cell r="E242">
            <v>15</v>
          </cell>
          <cell r="F242">
            <v>2.5</v>
          </cell>
        </row>
        <row r="243">
          <cell r="B243" t="str">
            <v>CYKY 4Bx10</v>
          </cell>
          <cell r="C243" t="str">
            <v>CYKY 4Bx10</v>
          </cell>
          <cell r="D243" t="str">
            <v>Elektram/kab</v>
          </cell>
          <cell r="E243">
            <v>55</v>
          </cell>
          <cell r="F243">
            <v>3.8</v>
          </cell>
        </row>
        <row r="244">
          <cell r="B244" t="str">
            <v>CYKY 4Bx4</v>
          </cell>
          <cell r="C244" t="str">
            <v>CYKY 4Bx4</v>
          </cell>
          <cell r="D244" t="str">
            <v>Elektram/kab</v>
          </cell>
          <cell r="E244">
            <v>32</v>
          </cell>
          <cell r="F244">
            <v>3.8</v>
          </cell>
        </row>
        <row r="245">
          <cell r="B245" t="str">
            <v>CYKY 5Cx1,5</v>
          </cell>
          <cell r="C245" t="str">
            <v>CYKY 5Cx1,5</v>
          </cell>
          <cell r="D245" t="str">
            <v>Elektram/kab</v>
          </cell>
          <cell r="E245">
            <v>15</v>
          </cell>
          <cell r="F245">
            <v>2.5</v>
          </cell>
        </row>
        <row r="246">
          <cell r="B246" t="str">
            <v>CYKY 5Cx2,5</v>
          </cell>
          <cell r="C246" t="str">
            <v>CYKY 5Cx2,5</v>
          </cell>
          <cell r="D246" t="str">
            <v>Elektram/kab</v>
          </cell>
          <cell r="E246">
            <v>23.8</v>
          </cell>
          <cell r="F246">
            <v>2.5</v>
          </cell>
        </row>
        <row r="247">
          <cell r="B247" t="str">
            <v>CYKY 5Cx4</v>
          </cell>
          <cell r="C247" t="str">
            <v>CYKY 5Cx4</v>
          </cell>
          <cell r="D247" t="str">
            <v>Elektram/kab</v>
          </cell>
          <cell r="E247">
            <v>34.299999999999997</v>
          </cell>
          <cell r="F247">
            <v>2.5</v>
          </cell>
        </row>
        <row r="248">
          <cell r="B248" t="str">
            <v>CYKY 5Cx6</v>
          </cell>
          <cell r="C248" t="str">
            <v>CYKY 5Cx6</v>
          </cell>
          <cell r="D248" t="str">
            <v>Elektram/kab</v>
          </cell>
          <cell r="E248">
            <v>38</v>
          </cell>
          <cell r="F248">
            <v>3.8</v>
          </cell>
        </row>
        <row r="249">
          <cell r="B249" t="str">
            <v>CYKY 5Cx10</v>
          </cell>
          <cell r="C249" t="str">
            <v>CYKY 5Cx10</v>
          </cell>
          <cell r="D249" t="str">
            <v>Elektram/kab</v>
          </cell>
          <cell r="E249">
            <v>72</v>
          </cell>
          <cell r="F249">
            <v>3.8</v>
          </cell>
        </row>
        <row r="250">
          <cell r="B250" t="str">
            <v>CYKY 5C x 10</v>
          </cell>
          <cell r="C250" t="str">
            <v>CYKY 5Cx10</v>
          </cell>
          <cell r="D250" t="str">
            <v>Elektram/kab</v>
          </cell>
          <cell r="E250">
            <v>62</v>
          </cell>
          <cell r="F250">
            <v>3.8</v>
          </cell>
        </row>
        <row r="251">
          <cell r="B251" t="str">
            <v>CYKY 7Cx1,5</v>
          </cell>
          <cell r="C251" t="str">
            <v>CYKY 7Cx1,5</v>
          </cell>
          <cell r="D251" t="str">
            <v>Elektram/kab</v>
          </cell>
          <cell r="E251">
            <v>17.2</v>
          </cell>
          <cell r="F251">
            <v>2.5</v>
          </cell>
        </row>
        <row r="252">
          <cell r="B252" t="str">
            <v>CYKY 12Cx1,5</v>
          </cell>
          <cell r="C252" t="str">
            <v>CYKY 12Cx1,5</v>
          </cell>
          <cell r="D252" t="str">
            <v>Elektram/kab</v>
          </cell>
          <cell r="E252">
            <v>34</v>
          </cell>
          <cell r="F252">
            <v>2.5</v>
          </cell>
        </row>
        <row r="253">
          <cell r="B253" t="str">
            <v>CYKY 12x1,5</v>
          </cell>
          <cell r="C253" t="str">
            <v>CYKY 12x1,5</v>
          </cell>
          <cell r="D253" t="str">
            <v>Elektram/kab</v>
          </cell>
          <cell r="E253">
            <v>34</v>
          </cell>
          <cell r="F253">
            <v>2.5</v>
          </cell>
        </row>
        <row r="254">
          <cell r="B254" t="str">
            <v>CYKY 19Cx1,5</v>
          </cell>
          <cell r="C254" t="str">
            <v xml:space="preserve">CYKY 19Cx1,5 </v>
          </cell>
          <cell r="D254" t="str">
            <v>Elektram/kab</v>
          </cell>
          <cell r="E254">
            <v>50.4</v>
          </cell>
          <cell r="F254">
            <v>2.5</v>
          </cell>
        </row>
        <row r="255">
          <cell r="B255" t="str">
            <v>CYKY 4Bx25</v>
          </cell>
          <cell r="C255" t="str">
            <v>CYKY 4Bx25</v>
          </cell>
          <cell r="D255" t="str">
            <v>Elektram/kab</v>
          </cell>
          <cell r="E255">
            <v>50.4</v>
          </cell>
          <cell r="F255">
            <v>2.5</v>
          </cell>
        </row>
        <row r="256">
          <cell r="B256" t="str">
            <v>CGSG 4Bx6</v>
          </cell>
          <cell r="C256" t="str">
            <v>CGSG 4Bx6</v>
          </cell>
          <cell r="D256" t="str">
            <v>Elektram/kab</v>
          </cell>
          <cell r="E256">
            <v>50.4</v>
          </cell>
          <cell r="F256">
            <v>2.5</v>
          </cell>
        </row>
        <row r="258">
          <cell r="B258" t="str">
            <v>TCEPKPFLE 3x4x0,8-DR</v>
          </cell>
          <cell r="C258" t="str">
            <v>TCEPKPFLE 3x4x0,8</v>
          </cell>
          <cell r="D258" t="str">
            <v>Elektram/kab</v>
          </cell>
          <cell r="E258">
            <v>21.3</v>
          </cell>
          <cell r="F258">
            <v>2.5</v>
          </cell>
        </row>
        <row r="259">
          <cell r="B259" t="str">
            <v>TCEPKPFLE 1x4x0,8-DR</v>
          </cell>
          <cell r="C259" t="str">
            <v>TCEPKPFLE 1x4x0,8</v>
          </cell>
          <cell r="D259" t="str">
            <v>Elektram/kab</v>
          </cell>
          <cell r="E259">
            <v>10.3</v>
          </cell>
          <cell r="F259">
            <v>2.5</v>
          </cell>
        </row>
        <row r="260">
          <cell r="B260" t="str">
            <v>Kabelový žlab drátěný FN60</v>
          </cell>
          <cell r="C260" t="str">
            <v>Kabelový žlab drátěný FN60</v>
          </cell>
          <cell r="D260" t="str">
            <v>Elektram/kab</v>
          </cell>
          <cell r="E260">
            <v>110</v>
          </cell>
          <cell r="F260">
            <v>46.6</v>
          </cell>
        </row>
        <row r="261">
          <cell r="B261" t="str">
            <v>Kabelová chránička</v>
          </cell>
          <cell r="C261" t="str">
            <v>Kabelová chránička</v>
          </cell>
          <cell r="D261" t="str">
            <v>Elektram/kab</v>
          </cell>
          <cell r="E261">
            <v>60</v>
          </cell>
          <cell r="F261">
            <v>2.5</v>
          </cell>
        </row>
        <row r="262">
          <cell r="B262" t="str">
            <v>Ukončovací skříně MX</v>
          </cell>
          <cell r="C262" t="str">
            <v>Ukončovací skříně MX</v>
          </cell>
          <cell r="D262" t="str">
            <v>Elektram/kab</v>
          </cell>
          <cell r="E262">
            <v>1300</v>
          </cell>
          <cell r="F262">
            <v>170</v>
          </cell>
        </row>
        <row r="263">
          <cell r="B263" t="str">
            <v>Zatažení a ukončení v objektu</v>
          </cell>
          <cell r="C263" t="str">
            <v>Zatažení a ukončení v objektu</v>
          </cell>
          <cell r="D263" t="str">
            <v>Elektram/kab</v>
          </cell>
          <cell r="E263">
            <v>200</v>
          </cell>
          <cell r="F263">
            <v>50</v>
          </cell>
        </row>
        <row r="264">
          <cell r="B264" t="str">
            <v>Krycí fólie</v>
          </cell>
          <cell r="C264" t="str">
            <v>Krycí fólie</v>
          </cell>
          <cell r="D264" t="str">
            <v>Elektram/kab</v>
          </cell>
          <cell r="E264">
            <v>3</v>
          </cell>
          <cell r="F264">
            <v>0.5</v>
          </cell>
        </row>
        <row r="265">
          <cell r="B265" t="str">
            <v>Kabelová spojka</v>
          </cell>
          <cell r="C265" t="str">
            <v>Kabelová spojka</v>
          </cell>
          <cell r="D265" t="str">
            <v>Elektram/kab</v>
          </cell>
          <cell r="E265">
            <v>1200</v>
          </cell>
          <cell r="F265">
            <v>200</v>
          </cell>
        </row>
        <row r="266">
          <cell r="B266" t="str">
            <v>Proměření kabelů a vystavení protokolů</v>
          </cell>
          <cell r="C266" t="str">
            <v>Proměření kabelů a vystavení protokolů</v>
          </cell>
          <cell r="D266" t="str">
            <v>Energie MaR</v>
          </cell>
          <cell r="E266">
            <v>0</v>
          </cell>
          <cell r="F266">
            <v>35</v>
          </cell>
        </row>
        <row r="268">
          <cell r="B268" t="str">
            <v>V05J-K 16 GNZE</v>
          </cell>
          <cell r="C268" t="str">
            <v>Kabely propojovací a zemnící V05J-K 16 GNZE</v>
          </cell>
          <cell r="D268" t="str">
            <v>MM</v>
          </cell>
        </row>
        <row r="269">
          <cell r="B269" t="str">
            <v>4x1 LAM-DATAPÁR</v>
          </cell>
          <cell r="C269" t="str">
            <v>Kabely komunikační 4x1 LAM-DATAPÁR opletený</v>
          </cell>
          <cell r="D269" t="str">
            <v>MM</v>
          </cell>
        </row>
        <row r="273">
          <cell r="B273" t="str">
            <v>Kabely silové CYKY 4B 2,5qmm</v>
          </cell>
          <cell r="C273" t="str">
            <v>Kabely silové CYKY 4B 2,5qmm</v>
          </cell>
          <cell r="D273" t="str">
            <v>Elektram/kab</v>
          </cell>
          <cell r="E273">
            <v>13.478260869565219</v>
          </cell>
          <cell r="F273">
            <v>2.5</v>
          </cell>
        </row>
        <row r="274">
          <cell r="B274" t="str">
            <v>Kabely silové CYKY 4B 4qmm</v>
          </cell>
          <cell r="C274" t="str">
            <v>Kabely silové CYKY 4B 4qmm</v>
          </cell>
          <cell r="D274" t="str">
            <v>Elektram/kab</v>
          </cell>
          <cell r="E274">
            <v>23.913043478260871</v>
          </cell>
          <cell r="F274">
            <v>2.5</v>
          </cell>
        </row>
        <row r="275">
          <cell r="B275" t="str">
            <v>Kabely silové CYKY 3C 1,5qmm</v>
          </cell>
          <cell r="C275" t="str">
            <v>Kabely silové CYKY 3C 1,5qmm</v>
          </cell>
          <cell r="D275" t="str">
            <v>Elektram/kab</v>
          </cell>
          <cell r="E275">
            <v>8.6956521739130448</v>
          </cell>
          <cell r="F275">
            <v>2.5</v>
          </cell>
        </row>
        <row r="276">
          <cell r="B276" t="str">
            <v>Kabely silové CYKY 3A 1,5qmm</v>
          </cell>
          <cell r="C276" t="str">
            <v>Kabely silové CYKY 3A 1,5qmm</v>
          </cell>
          <cell r="D276" t="str">
            <v>Elektram/kab</v>
          </cell>
          <cell r="E276">
            <v>8.6956521739130448</v>
          </cell>
          <cell r="F276">
            <v>2.5</v>
          </cell>
        </row>
        <row r="277">
          <cell r="B277" t="str">
            <v>Kabely silové CYKY 2A 1,5qmm</v>
          </cell>
          <cell r="C277" t="str">
            <v>Kabely silové CYKY 2A 1,5qmm</v>
          </cell>
          <cell r="D277" t="str">
            <v>Elektram/kab</v>
          </cell>
          <cell r="E277">
            <v>6.6086956521739131</v>
          </cell>
          <cell r="F277">
            <v>2.5</v>
          </cell>
        </row>
        <row r="278">
          <cell r="B278" t="str">
            <v>Kabely měření a regulace JY(ST)Y 1x2x0,8</v>
          </cell>
          <cell r="C278" t="str">
            <v>Kabely měření a regulace JY(ST)Y 1x2x0,8</v>
          </cell>
          <cell r="D278" t="str">
            <v>Elektram/kab</v>
          </cell>
          <cell r="E278">
            <v>4.8695652173913047</v>
          </cell>
          <cell r="F278">
            <v>2.5</v>
          </cell>
        </row>
        <row r="279">
          <cell r="B279" t="str">
            <v>Kabely měření a regulace JY(ST)Y 2x2x0,8</v>
          </cell>
          <cell r="C279" t="str">
            <v>Kabely měření a regulace JY(ST)Y 2x2x0,8</v>
          </cell>
          <cell r="D279" t="str">
            <v>Elektram/kab</v>
          </cell>
          <cell r="E279">
            <v>6.3478260869565224</v>
          </cell>
          <cell r="F279">
            <v>2.5</v>
          </cell>
        </row>
        <row r="280">
          <cell r="B280" t="str">
            <v>Kabely měření do země TCEKFE 4P-0,8</v>
          </cell>
          <cell r="C280" t="str">
            <v>Kabely měření do země TCEKFE 4P-0,8</v>
          </cell>
          <cell r="D280" t="str">
            <v>Elektram/kab</v>
          </cell>
          <cell r="E280">
            <v>20.869565217391305</v>
          </cell>
          <cell r="F280">
            <v>2.5</v>
          </cell>
        </row>
        <row r="281">
          <cell r="B281" t="str">
            <v>Kabely měření do země TCEKFE 1P-0,8</v>
          </cell>
          <cell r="C281" t="str">
            <v>Kabely měření do země TCEKFE 1P-0,8</v>
          </cell>
          <cell r="D281" t="str">
            <v>Elektram/kab</v>
          </cell>
          <cell r="E281">
            <v>10</v>
          </cell>
          <cell r="F281">
            <v>2.5</v>
          </cell>
        </row>
        <row r="282">
          <cell r="B282" t="str">
            <v>Kabely propojovací a zemnící V05J-K 16 GNYE</v>
          </cell>
          <cell r="C282" t="str">
            <v>Kabely propojovací a zemnící V05J-K 16 GNYE</v>
          </cell>
          <cell r="D282" t="str">
            <v>Elektram/kab</v>
          </cell>
          <cell r="E282">
            <v>13.043478260869566</v>
          </cell>
          <cell r="F282">
            <v>2.5</v>
          </cell>
        </row>
        <row r="283">
          <cell r="B283" t="str">
            <v>Kabely komunikační 4x1 LAM-DATAPÁR opletený</v>
          </cell>
          <cell r="C283" t="str">
            <v>Kabely komunikační 4x1 LAM-DATAPÁR opletený</v>
          </cell>
          <cell r="D283" t="str">
            <v>Elektram/kab</v>
          </cell>
          <cell r="E283">
            <v>14.782608695652176</v>
          </cell>
          <cell r="F283">
            <v>2.5</v>
          </cell>
        </row>
        <row r="284">
          <cell r="D284" t="str">
            <v>MM</v>
          </cell>
        </row>
        <row r="285">
          <cell r="B285" t="str">
            <v>Spojovací a montážní materiál, nosné pomocné</v>
          </cell>
          <cell r="C285" t="str">
            <v>Spojovací a montážní materiál, nosné pomocné
ocelové konstrukce pro kabelové vedení MaR</v>
          </cell>
          <cell r="D285" t="str">
            <v>MM</v>
          </cell>
          <cell r="E285">
            <v>869.56521739130437</v>
          </cell>
          <cell r="F285">
            <v>0</v>
          </cell>
        </row>
        <row r="286">
          <cell r="B286" t="str">
            <v>Kabelové žlaby vč. Víka MARS 62x50 měření a regul.</v>
          </cell>
          <cell r="C286" t="str">
            <v>Kabelové žlaby vč. Víka MARS 62x50 měření a regul.</v>
          </cell>
          <cell r="D286" t="str">
            <v>MM</v>
          </cell>
          <cell r="E286">
            <v>170.43478260869566</v>
          </cell>
          <cell r="F286">
            <v>50</v>
          </cell>
        </row>
        <row r="287">
          <cell r="B287" t="str">
            <v>Kabelový ocelový rošt š 400mm pro vedení MaR</v>
          </cell>
          <cell r="C287" t="str">
            <v>Kabelový ocelový rošt š 400mm pro vedení MaR
vč. závěsu pro uchycení na stěnu do betonu</v>
          </cell>
          <cell r="D287" t="str">
            <v>MM</v>
          </cell>
          <cell r="E287">
            <v>165.21739130434784</v>
          </cell>
          <cell r="F287">
            <v>50</v>
          </cell>
        </row>
        <row r="288">
          <cell r="B288" t="str">
            <v>Kabelové žlaby vč. Víka MARS 62x50 silnoproud</v>
          </cell>
          <cell r="C288" t="str">
            <v>Kabelové žlaby vč. Víka MARS 62x50 silnoproud</v>
          </cell>
          <cell r="D288" t="str">
            <v>MM</v>
          </cell>
          <cell r="E288">
            <v>170.43478260869566</v>
          </cell>
          <cell r="F288">
            <v>50</v>
          </cell>
        </row>
        <row r="289">
          <cell r="B289" t="str">
            <v>Koleno MARS 62x50 žlabu vč.víka</v>
          </cell>
          <cell r="C289" t="str">
            <v>Koleno MARS 62x50 žlabu vč.víka</v>
          </cell>
          <cell r="D289" t="str">
            <v>MM</v>
          </cell>
          <cell r="E289">
            <v>160.86956521739131</v>
          </cell>
          <cell r="F289">
            <v>50</v>
          </cell>
        </row>
        <row r="290">
          <cell r="B290" t="str">
            <v>T kus MARS 62x50 žlabu vč.víka</v>
          </cell>
          <cell r="C290" t="str">
            <v>T kus MARS 62x50 žlabu vč.víka</v>
          </cell>
          <cell r="D290" t="str">
            <v>MM</v>
          </cell>
          <cell r="E290">
            <v>173.91304347826087</v>
          </cell>
          <cell r="F290">
            <v>50</v>
          </cell>
        </row>
        <row r="291">
          <cell r="B291" t="str">
            <v>Lišta DIN TS 35/50</v>
          </cell>
          <cell r="C291" t="str">
            <v>Lišta DIN TS 35/50</v>
          </cell>
          <cell r="D291" t="str">
            <v>MM</v>
          </cell>
          <cell r="E291">
            <v>39.130434782608695</v>
          </cell>
          <cell r="F291">
            <v>6.25</v>
          </cell>
        </row>
        <row r="292">
          <cell r="B292" t="str">
            <v>Příchytka M-Quick 2</v>
          </cell>
          <cell r="C292" t="str">
            <v>Příchytka M-Quick 2</v>
          </cell>
          <cell r="D292" t="str">
            <v>MM</v>
          </cell>
          <cell r="E292">
            <v>3.0434782608695654</v>
          </cell>
          <cell r="F292">
            <v>2.5</v>
          </cell>
        </row>
        <row r="293">
          <cell r="B293" t="str">
            <v>Příchytka M-Quick 3</v>
          </cell>
          <cell r="C293" t="str">
            <v>Příchytka M-Quick 3</v>
          </cell>
          <cell r="D293" t="str">
            <v>MM</v>
          </cell>
          <cell r="E293">
            <v>3.9130434782608701</v>
          </cell>
          <cell r="F293">
            <v>2.5</v>
          </cell>
        </row>
        <row r="294">
          <cell r="B294" t="str">
            <v>PVC novodurová roura 2323</v>
          </cell>
          <cell r="C294" t="str">
            <v>PVC novodurová roura 2323</v>
          </cell>
          <cell r="D294" t="str">
            <v>MM</v>
          </cell>
          <cell r="E294">
            <v>6.9565217391304355</v>
          </cell>
          <cell r="F294">
            <v>3</v>
          </cell>
        </row>
        <row r="295">
          <cell r="B295" t="str">
            <v>PVC novodurová roura 2329</v>
          </cell>
          <cell r="C295" t="str">
            <v>PVC novodurová roura 2329</v>
          </cell>
          <cell r="D295" t="str">
            <v>MM</v>
          </cell>
          <cell r="E295">
            <v>10.869565217391305</v>
          </cell>
          <cell r="F295">
            <v>3</v>
          </cell>
        </row>
        <row r="296">
          <cell r="B296" t="str">
            <v>PVC novodurová roura 2336</v>
          </cell>
          <cell r="C296" t="str">
            <v>PVC novodurová roura 2336</v>
          </cell>
          <cell r="D296" t="str">
            <v>MM</v>
          </cell>
          <cell r="E296">
            <v>12.173913043478262</v>
          </cell>
          <cell r="F296">
            <v>3</v>
          </cell>
        </row>
        <row r="297">
          <cell r="B297" t="str">
            <v>Vývodky Pg 13,5 komplet</v>
          </cell>
          <cell r="C297" t="str">
            <v>Vývodky Pg 13,5 komplet</v>
          </cell>
          <cell r="D297" t="str">
            <v>MM</v>
          </cell>
          <cell r="E297">
            <v>7.8260869565217401</v>
          </cell>
          <cell r="F297">
            <v>2.5</v>
          </cell>
        </row>
        <row r="298">
          <cell r="B298" t="str">
            <v>Trhací nýt 4x8</v>
          </cell>
          <cell r="C298" t="str">
            <v>Trhací nýt 4x8</v>
          </cell>
          <cell r="D298" t="str">
            <v>MM</v>
          </cell>
          <cell r="E298">
            <v>1.7391304347826089</v>
          </cell>
          <cell r="F298">
            <v>1.25</v>
          </cell>
        </row>
        <row r="299">
          <cell r="B299" t="str">
            <v>PE držák rour</v>
          </cell>
          <cell r="C299" t="str">
            <v>PE držák rour</v>
          </cell>
          <cell r="D299" t="str">
            <v>MM</v>
          </cell>
          <cell r="E299">
            <v>4.3478260869565224</v>
          </cell>
          <cell r="F299">
            <v>2.5</v>
          </cell>
        </row>
        <row r="300">
          <cell r="B300" t="str">
            <v>Páska DYMO 40913 9 mm</v>
          </cell>
          <cell r="C300" t="str">
            <v>Páska DYMO 40913 9 mm</v>
          </cell>
          <cell r="D300" t="str">
            <v>MM</v>
          </cell>
          <cell r="E300">
            <v>52.173913043478265</v>
          </cell>
          <cell r="F300">
            <v>0</v>
          </cell>
        </row>
        <row r="301">
          <cell r="B301" t="str">
            <v>Drobný spojovací matriál</v>
          </cell>
          <cell r="C301" t="str">
            <v>Drobný spojovací matriál</v>
          </cell>
          <cell r="D301" t="str">
            <v>MM</v>
          </cell>
          <cell r="E301">
            <v>86.956521739130437</v>
          </cell>
          <cell r="F301">
            <v>0</v>
          </cell>
        </row>
        <row r="302">
          <cell r="B302" t="str">
            <v>Trubky ocelové pr.30mm</v>
          </cell>
          <cell r="C302" t="str">
            <v>Trubky ocelové pr.30mm</v>
          </cell>
          <cell r="D302" t="str">
            <v>MM</v>
          </cell>
          <cell r="E302">
            <v>48.695652173913047</v>
          </cell>
          <cell r="F302">
            <v>7.5</v>
          </cell>
        </row>
        <row r="303">
          <cell r="B303" t="str">
            <v>Ocelové příchytky SONAP</v>
          </cell>
          <cell r="C303" t="str">
            <v>Ocelové příchytky SONAP</v>
          </cell>
          <cell r="D303" t="str">
            <v>MM</v>
          </cell>
          <cell r="E303">
            <v>13.043478260869566</v>
          </cell>
          <cell r="F303">
            <v>2.5</v>
          </cell>
        </row>
        <row r="304">
          <cell r="B304" t="str">
            <v>Elektroinstalační krabice Hensel s řadovými</v>
          </cell>
          <cell r="C304" t="str">
            <v>Elektroinstalační krabice Hensel s řadovými
svorkami K9101/CR, vč.6ks Pg16 vývodek</v>
          </cell>
          <cell r="D304" t="str">
            <v>MM</v>
          </cell>
          <cell r="E304">
            <v>534.78260869565224</v>
          </cell>
          <cell r="F304">
            <v>37.5</v>
          </cell>
        </row>
        <row r="305">
          <cell r="B305" t="str">
            <v>PVC chránička průměr 100 pod silnicí</v>
          </cell>
          <cell r="C305" t="str">
            <v>PVC chránička průměr 100 pod silnicí</v>
          </cell>
          <cell r="D305" t="str">
            <v>MM</v>
          </cell>
          <cell r="E305">
            <v>69.565217391304358</v>
          </cell>
          <cell r="F305">
            <v>3</v>
          </cell>
        </row>
        <row r="306">
          <cell r="B306" t="str">
            <v>PVC ohebná kabelová ochranná roura pr.50  KOPOS</v>
          </cell>
          <cell r="C306" t="str">
            <v>PVC ohebná kabelová ochranná roura pr.50  KOPOS</v>
          </cell>
          <cell r="D306" t="str">
            <v>MM</v>
          </cell>
          <cell r="E306">
            <v>13.739130434782611</v>
          </cell>
          <cell r="F306">
            <v>3</v>
          </cell>
        </row>
        <row r="307">
          <cell r="B307" t="str">
            <v>Kabelový výkop hl 80 š 50 pro kabelové vedení</v>
          </cell>
          <cell r="C307" t="str">
            <v>Kabelový výkop hl 80 š 50 pro kabelové vedení
vč.pískového lože</v>
          </cell>
          <cell r="D307" t="str">
            <v>MM</v>
          </cell>
          <cell r="E307">
            <v>0</v>
          </cell>
          <cell r="F307">
            <v>100</v>
          </cell>
        </row>
        <row r="308">
          <cell r="B308" t="str">
            <v>PE výstražná folie pro el.zemní vedení</v>
          </cell>
          <cell r="C308" t="str">
            <v>PE výstražná folie pro el.zemní vedení</v>
          </cell>
          <cell r="D308" t="str">
            <v>MM</v>
          </cell>
          <cell r="E308">
            <v>2.6086956521739131</v>
          </cell>
          <cell r="F308">
            <v>0.5</v>
          </cell>
        </row>
        <row r="309">
          <cell r="B309" t="str">
            <v>Nátěrová hmota na železo</v>
          </cell>
          <cell r="C309" t="str">
            <v>Nátěrová hmota na železo</v>
          </cell>
          <cell r="D309" t="str">
            <v>MM</v>
          </cell>
          <cell r="E309">
            <v>173.91304347826087</v>
          </cell>
          <cell r="F309">
            <v>75</v>
          </cell>
        </row>
        <row r="310">
          <cell r="B310" t="str">
            <v>PU pěna nebo těsnící materiál</v>
          </cell>
          <cell r="C310" t="str">
            <v>PU pěna nebo těsnící materiál</v>
          </cell>
          <cell r="D310" t="str">
            <v>MM</v>
          </cell>
          <cell r="E310">
            <v>434.78260869565219</v>
          </cell>
          <cell r="F310">
            <v>25</v>
          </cell>
        </row>
        <row r="313">
          <cell r="B313" t="str">
            <v>Skříňový rozvaděč 2000x800x600 sokl 100
krytí IP40, vývod spodem, RAL7032, kompletní</v>
          </cell>
          <cell r="C313" t="str">
            <v>Skříňový rozvaděč 2000x800x600 sokl 100
krytí IP40, vývod spodem, RAL7032, kompletní</v>
          </cell>
          <cell r="D313" t="str">
            <v>rozv</v>
          </cell>
          <cell r="E313">
            <v>29910</v>
          </cell>
          <cell r="F313">
            <v>400</v>
          </cell>
        </row>
        <row r="314">
          <cell r="B314" t="str">
            <v>Jištění 6A/230V s pom. Kontakty</v>
          </cell>
          <cell r="C314" t="str">
            <v>Jištění 6A/230V s pom. Kontakty</v>
          </cell>
          <cell r="D314" t="str">
            <v>rozv</v>
          </cell>
          <cell r="E314">
            <v>266</v>
          </cell>
        </row>
        <row r="315">
          <cell r="B315" t="str">
            <v>Jištění 16A/230V s pom. Kontakty</v>
          </cell>
          <cell r="C315" t="str">
            <v>Jištění 16A/230V s pom. Kontakty</v>
          </cell>
          <cell r="D315" t="str">
            <v>rozv</v>
          </cell>
          <cell r="E315">
            <v>252</v>
          </cell>
        </row>
        <row r="316">
          <cell r="B316" t="str">
            <v>Řídící systém PDC2 SAIA * viz bod b)</v>
          </cell>
          <cell r="C316" t="str">
            <v>Řídící systém PDC2 SAIA * viz bod b)</v>
          </cell>
          <cell r="D316" t="str">
            <v>rozv</v>
          </cell>
        </row>
        <row r="317">
          <cell r="B317" t="str">
            <v>Svorky Phoenix do 2,5qmm</v>
          </cell>
          <cell r="C317" t="str">
            <v>Svorky Phoenix do 2,5qmm</v>
          </cell>
          <cell r="D317" t="str">
            <v>rozv</v>
          </cell>
          <cell r="E317">
            <v>20</v>
          </cell>
        </row>
        <row r="318">
          <cell r="B318" t="str">
            <v>Pomocné napájecí vývody do 4A/230V</v>
          </cell>
          <cell r="C318" t="str">
            <v>Pomocné napájecí vývody do 4A/230V</v>
          </cell>
          <cell r="D318" t="str">
            <v>rozv</v>
          </cell>
          <cell r="E318">
            <v>380</v>
          </cell>
        </row>
        <row r="319">
          <cell r="B319" t="str">
            <v>Rozjišťovací desky pojistek 24V s optickým
výstupem sumární poruchy</v>
          </cell>
          <cell r="C319" t="str">
            <v>Rozjišťovací desky pojistek 24V s optickým
výstupem sumární poruchy</v>
          </cell>
          <cell r="D319" t="str">
            <v>rozv</v>
          </cell>
          <cell r="E319">
            <v>1500</v>
          </cell>
        </row>
        <row r="320">
          <cell r="B320" t="str">
            <v>Mikrorelé Finder 6mm 24VDC vč. Patice</v>
          </cell>
          <cell r="C320" t="str">
            <v>Mikrorelé Finder 6mm 24VDC vč. Patice</v>
          </cell>
          <cell r="D320" t="str">
            <v>rozv</v>
          </cell>
          <cell r="E320">
            <v>150</v>
          </cell>
        </row>
        <row r="321">
          <cell r="B321" t="str">
            <v>Napájecí zdroj 24VDC-8A</v>
          </cell>
          <cell r="C321" t="str">
            <v>Napájecí zdroj 24VDC-8A</v>
          </cell>
          <cell r="D321" t="str">
            <v>rozv</v>
          </cell>
          <cell r="E321">
            <v>900</v>
          </cell>
        </row>
        <row r="322">
          <cell r="B322" t="str">
            <v>Napájecí zdroj 24VAC-300VA</v>
          </cell>
          <cell r="C322" t="str">
            <v>Napájecí zdroj 24VAC-300VA</v>
          </cell>
          <cell r="D322" t="str">
            <v>rozv</v>
          </cell>
          <cell r="E322">
            <v>5750</v>
          </cell>
        </row>
        <row r="323">
          <cell r="B323" t="str">
            <v>Vnitřní osvětlení skříně - zářivková trubice kompl.</v>
          </cell>
          <cell r="C323" t="str">
            <v>Vnitřní osvětlení skříně - zářivková trubice kompl.</v>
          </cell>
          <cell r="D323" t="str">
            <v>rozv</v>
          </cell>
          <cell r="E323">
            <v>1025</v>
          </cell>
        </row>
        <row r="324">
          <cell r="B324" t="str">
            <v>Servisní zásuvka 230V/10A</v>
          </cell>
          <cell r="C324" t="str">
            <v>Servisní zásuvka 230V/10A</v>
          </cell>
          <cell r="D324" t="str">
            <v>rozv</v>
          </cell>
          <cell r="E324">
            <v>147</v>
          </cell>
        </row>
        <row r="325">
          <cell r="B325" t="str">
            <v>Přepěťová ochrana sítě 230V 3.stupně</v>
          </cell>
          <cell r="C325" t="str">
            <v>Přepěťová ochrana sítě 230V 3.stupně</v>
          </cell>
          <cell r="D325" t="str">
            <v>rozv</v>
          </cell>
          <cell r="E325">
            <v>1725</v>
          </cell>
        </row>
        <row r="326">
          <cell r="B326" t="str">
            <v>Přepěťová ochrana linky komunikace RS485</v>
          </cell>
          <cell r="C326" t="str">
            <v>Přepěťová ochrana linky komunikace RS485</v>
          </cell>
          <cell r="D326" t="str">
            <v>rozv</v>
          </cell>
          <cell r="E326">
            <v>1245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Ost"/>
      <sheetName val="NabMakra"/>
      <sheetName val="položky"/>
      <sheetName val="app_6"/>
      <sheetName val="dodav"/>
      <sheetName val="DATA"/>
      <sheetName val="položkový rozpočet"/>
    </sheetNames>
    <sheetDataSet>
      <sheetData sheetId="0"/>
      <sheetData sheetId="1"/>
      <sheetData sheetId="2"/>
      <sheetData sheetId="3">
        <row r="22">
          <cell r="C22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Ost"/>
      <sheetName val="NabMakra"/>
      <sheetName val="mar"/>
      <sheetName val="dodav"/>
      <sheetName val="SO 01 - 06 ELEKTROINSTALACE"/>
      <sheetName val="rekapitulace"/>
      <sheetName val="položky"/>
    </sheetNames>
    <sheetDataSet>
      <sheetData sheetId="0"/>
      <sheetData sheetId="1"/>
      <sheetData sheetId="2"/>
      <sheetData sheetId="3">
        <row r="22">
          <cell r="I22">
            <v>1.2950190000000001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"/>
      <sheetName val="MZDY"/>
      <sheetName val="KONSTRUKCE"/>
      <sheetName val="SEZNAM"/>
      <sheetName val="soupis mezd"/>
      <sheetName val="List4"/>
      <sheetName val="List1"/>
      <sheetName val="SOUPIS MAT."/>
      <sheetName val="OBALKA"/>
      <sheetName val="chybí"/>
      <sheetName val="mar"/>
      <sheetName val="dodav"/>
      <sheetName val="Rekapitulace"/>
      <sheetName val="rozpočet"/>
    </sheetNames>
    <sheetDataSet>
      <sheetData sheetId="0">
        <row r="87">
          <cell r="B87" t="str">
            <v>Donn Novatone Fissured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dum A"/>
      <sheetName val="dum B"/>
      <sheetName val="dum C"/>
      <sheetName val="Hrubá"/>
      <sheetName val="Místnosti"/>
      <sheetName val="Povrchy"/>
      <sheetName val="Tabulky"/>
      <sheetName val="Piloty"/>
      <sheetName val="Kritéria"/>
      <sheetName val="úprava faktury"/>
      <sheetName val="dodav"/>
      <sheetName val="Stavba"/>
      <sheetName val="so 11.1a výkaz výměr"/>
      <sheetName val="OBALKA"/>
    </sheetNames>
    <sheetDataSet>
      <sheetData sheetId="0"/>
      <sheetData sheetId="1"/>
      <sheetData sheetId="2"/>
      <sheetData sheetId="3"/>
      <sheetData sheetId="4">
        <row r="11">
          <cell r="G11">
            <v>129.1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.  SO 02"/>
      <sheetName val="Sešit3"/>
      <sheetName val="Rekapitulace"/>
      <sheetName val="položk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e"/>
      <sheetName val="Stavební část"/>
      <sheetName val="ZTI"/>
      <sheetName val="Venkovní práce a IS"/>
      <sheetName val="Vedlejší náklady"/>
      <sheetName val="1.1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. elektr."/>
      <sheetName val="Rob. zewn. i budowl."/>
      <sheetName val="Instalacje sanitarne, ppoż."/>
      <sheetName val="Sieci zewn."/>
      <sheetName val="Inst. energetyczne"/>
      <sheetName val="Rob_ elektr_"/>
      <sheetName val="Rob__elektr_"/>
      <sheetName val="Rob__zewn__i_budowl_"/>
      <sheetName val="Instalacje_sanitarne,_ppoż_"/>
      <sheetName val="Sieci_zewn_"/>
      <sheetName val="Inst__energetyczne"/>
      <sheetName val="Rob__elektr_1"/>
      <sheetName val="Rob__elektr_2"/>
      <sheetName val="Rob__zewn__i_budowl_1"/>
      <sheetName val="Instalacje_sanitarne,_ppoż_1"/>
      <sheetName val="Sieci_zewn_1"/>
      <sheetName val="Inst__energetyczne1"/>
      <sheetName val="Rob__elektr_3"/>
      <sheetName val="Oceněný VV 11 2018"/>
      <sheetName val="Systém slabo"/>
      <sheetName val="VRN Slabo 11-2017"/>
      <sheetName val="Oceněný VV 11 2018 (2)"/>
      <sheetName val="Systém nové p+r Stand."/>
      <sheetName val="OLD"/>
      <sheetName val="keyword"/>
      <sheetName val="Rob__elektr_4"/>
      <sheetName val="Rob__zewn__i_budowl_2"/>
      <sheetName val="Instalacje_sanitarne,_ppoż_2"/>
      <sheetName val="Sieci_zewn_2"/>
      <sheetName val="Inst__energetyczne2"/>
      <sheetName val="Rob__elektr_5"/>
      <sheetName val="Oceněný_VV_11_2018"/>
      <sheetName val="Systém_slabo"/>
      <sheetName val="VRN_Slabo_11-2017"/>
      <sheetName val="Oceněný_VV_11_2018_(2)"/>
      <sheetName val="Systém_nové_p+r_Stand_"/>
      <sheetName val="Rob__elektr_6"/>
      <sheetName val="Rob__zewn__i_budowl_3"/>
      <sheetName val="Instalacje_sanitarne,_ppoż_3"/>
      <sheetName val="Sieci_zewn_3"/>
      <sheetName val="Inst__energetyczne3"/>
      <sheetName val="Rob__elektr_7"/>
      <sheetName val="Oceněný_VV_11_20181"/>
      <sheetName val="Systém_slabo1"/>
      <sheetName val="VRN_Slabo_11-20171"/>
      <sheetName val="Oceněný_VV_11_2018_(2)1"/>
      <sheetName val="Systém_nové_p+r_Stand_1"/>
      <sheetName val="Rob__elektr_8"/>
      <sheetName val="Rob__zewn__i_budowl_4"/>
      <sheetName val="Instalacje_sanitarne,_ppoż_4"/>
      <sheetName val="Sieci_zewn_4"/>
      <sheetName val="Inst__energetyczne4"/>
      <sheetName val="Rob__elektr_9"/>
      <sheetName val="Oceněný_VV_11_20182"/>
      <sheetName val="Systém_slabo2"/>
      <sheetName val="VRN_Slabo_11-20172"/>
      <sheetName val="Oceněný_VV_11_2018_(2)2"/>
      <sheetName val="Systém_nové_p+r_Stand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a"/>
      <sheetName val="Lbc"/>
      <sheetName val="Nákl"/>
      <sheetName val="Rozp"/>
      <sheetName val="CS"/>
      <sheetName val="LON"/>
      <sheetName val="Hwl"/>
      <sheetName val="Lan"/>
      <sheetName val="Rozv"/>
      <sheetName val="COP"/>
      <sheetName val="Silno"/>
      <sheetName val="AnlgSním"/>
      <sheetName val="Kab"/>
      <sheetName val="BinSním"/>
      <sheetName val="VentPoh"/>
      <sheetName val="KabelyElis"/>
      <sheetName val="Ost"/>
      <sheetName val="NabMak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Rekapitulace "/>
      <sheetName val="Statická část"/>
      <sheetName val="stavebni C-D"/>
      <sheetName val="Stavební F"/>
      <sheetName val="venkovní rampa"/>
      <sheetName val="pěší komunikace"/>
      <sheetName val="ZTI_C"/>
      <sheetName val="ZTI_D"/>
      <sheetName val="ÚT-C"/>
      <sheetName val="ÚT-D"/>
      <sheetName val="silnoproud"/>
      <sheetName val="slaboproud"/>
      <sheetName val="VZT"/>
      <sheetName val="MaR"/>
      <sheetName val="Parame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4">
          <cell r="C44" t="str">
            <v>EGT347F101</v>
          </cell>
        </row>
      </sheetData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boty sanitarne"/>
      <sheetName val="Roboty budowlane"/>
      <sheetName val="Roboty elektryczne"/>
      <sheetName val="Roboty_sanitarne"/>
      <sheetName val="Roboty_budowlane"/>
      <sheetName val="Roboty_elektryczne"/>
      <sheetName val="Roboty_sanitarne1"/>
      <sheetName val="Roboty_budowlane1"/>
      <sheetName val="Roboty_elektryczne1"/>
      <sheetName val="OS7700-LVb"/>
      <sheetName val="List1"/>
      <sheetName val="MaR"/>
      <sheetName val="Roboty_sanitarne2"/>
      <sheetName val="Roboty_budowlane2"/>
      <sheetName val="Roboty_elektryczne2"/>
      <sheetName val="Roboty_sanitarne3"/>
      <sheetName val="Roboty_budowlane3"/>
      <sheetName val="Roboty_elektryczne3"/>
      <sheetName val="Roboty_sanitarne4"/>
      <sheetName val="Roboty_budowlane4"/>
      <sheetName val="Roboty_elektryczne4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51.4 Výkaz výměr"/>
      <sheetName val="SO 51_4 Výkaz výměr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."/>
      <sheetName val="Nákladová kalkulace"/>
      <sheetName val="Celková rekapitulace"/>
      <sheetName val="rekapitulace SO 07"/>
      <sheetName val="Budova"/>
      <sheetName val="Venky"/>
      <sheetName val="Sazby R,Ri,Z"/>
      <sheetName val="ZS, VR"/>
      <sheetName val="Financování"/>
      <sheetName val="Platební kalendář"/>
      <sheetName val="x"/>
      <sheetName val="Chlum u Třeboně REKAP"/>
      <sheetName val="položkový rozpoč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1">
          <cell r="A11">
            <v>3</v>
          </cell>
        </row>
        <row r="13">
          <cell r="A13" t="str">
            <v>1.</v>
          </cell>
        </row>
        <row r="14">
          <cell r="A14" t="str">
            <v>2.</v>
          </cell>
        </row>
        <row r="15">
          <cell r="A15" t="str">
            <v>3.</v>
          </cell>
        </row>
        <row r="16">
          <cell r="A16" t="str">
            <v>4.</v>
          </cell>
        </row>
        <row r="17">
          <cell r="A17" t="str">
            <v>5.</v>
          </cell>
        </row>
        <row r="18">
          <cell r="A18" t="str">
            <v>6.</v>
          </cell>
        </row>
        <row r="19">
          <cell r="A19" t="str">
            <v>7.</v>
          </cell>
        </row>
        <row r="21">
          <cell r="A21">
            <v>6</v>
          </cell>
        </row>
        <row r="23">
          <cell r="A23" t="str">
            <v>1.</v>
          </cell>
        </row>
        <row r="24">
          <cell r="A24" t="str">
            <v>3.</v>
          </cell>
        </row>
        <row r="25">
          <cell r="A25" t="str">
            <v>4.</v>
          </cell>
        </row>
        <row r="26">
          <cell r="A26" t="str">
            <v>5.</v>
          </cell>
        </row>
        <row r="27">
          <cell r="A27" t="str">
            <v>6.</v>
          </cell>
        </row>
        <row r="28">
          <cell r="A28" t="str">
            <v>7.</v>
          </cell>
        </row>
        <row r="29">
          <cell r="A29" t="str">
            <v>8.</v>
          </cell>
        </row>
        <row r="30">
          <cell r="A30" t="str">
            <v>9.</v>
          </cell>
        </row>
        <row r="31">
          <cell r="A31" t="str">
            <v>10.</v>
          </cell>
        </row>
        <row r="32">
          <cell r="A32" t="str">
            <v>11.</v>
          </cell>
        </row>
        <row r="34">
          <cell r="A34" t="str">
            <v>12.</v>
          </cell>
        </row>
        <row r="35">
          <cell r="A35" t="str">
            <v>13.</v>
          </cell>
        </row>
        <row r="36">
          <cell r="A36" t="str">
            <v>14.</v>
          </cell>
        </row>
        <row r="38">
          <cell r="A38" t="str">
            <v>15.</v>
          </cell>
        </row>
        <row r="39">
          <cell r="A39" t="str">
            <v>16.</v>
          </cell>
        </row>
        <row r="40">
          <cell r="A40" t="str">
            <v>17.</v>
          </cell>
        </row>
        <row r="44">
          <cell r="A44" t="str">
            <v>1.</v>
          </cell>
        </row>
        <row r="45">
          <cell r="A45" t="str">
            <v>2.</v>
          </cell>
        </row>
        <row r="47">
          <cell r="A47" t="str">
            <v>3.</v>
          </cell>
        </row>
        <row r="49">
          <cell r="A49" t="str">
            <v>4.</v>
          </cell>
        </row>
        <row r="51">
          <cell r="A51" t="str">
            <v>5.</v>
          </cell>
        </row>
        <row r="52">
          <cell r="A52" t="str">
            <v>6.</v>
          </cell>
        </row>
        <row r="53">
          <cell r="A53" t="str">
            <v>7.</v>
          </cell>
        </row>
        <row r="55">
          <cell r="A55" t="str">
            <v>8.</v>
          </cell>
        </row>
        <row r="56">
          <cell r="A56" t="str">
            <v>9.</v>
          </cell>
        </row>
        <row r="58">
          <cell r="A58">
            <v>9</v>
          </cell>
        </row>
        <row r="60">
          <cell r="A60" t="str">
            <v>1.</v>
          </cell>
        </row>
        <row r="63">
          <cell r="A63" t="str">
            <v>2.</v>
          </cell>
        </row>
        <row r="67">
          <cell r="A67" t="str">
            <v>3.</v>
          </cell>
        </row>
        <row r="70">
          <cell r="A70" t="str">
            <v>4.</v>
          </cell>
        </row>
        <row r="73">
          <cell r="A73" t="str">
            <v>5.</v>
          </cell>
        </row>
        <row r="76">
          <cell r="A76" t="str">
            <v>6.</v>
          </cell>
        </row>
        <row r="79">
          <cell r="A79" t="str">
            <v>8.</v>
          </cell>
        </row>
        <row r="81">
          <cell r="A81" t="str">
            <v>9.</v>
          </cell>
        </row>
        <row r="83">
          <cell r="A83" t="str">
            <v>10.</v>
          </cell>
        </row>
        <row r="86">
          <cell r="A86">
            <v>711</v>
          </cell>
        </row>
        <row r="89">
          <cell r="A89" t="str">
            <v>1.</v>
          </cell>
        </row>
        <row r="91">
          <cell r="A91" t="str">
            <v>2.</v>
          </cell>
        </row>
        <row r="92">
          <cell r="A92" t="str">
            <v>3.</v>
          </cell>
        </row>
        <row r="94">
          <cell r="A94" t="str">
            <v>4.</v>
          </cell>
        </row>
        <row r="95">
          <cell r="A95" t="str">
            <v>5.</v>
          </cell>
        </row>
        <row r="96">
          <cell r="A96" t="str">
            <v>6.</v>
          </cell>
        </row>
        <row r="97">
          <cell r="A97" t="str">
            <v>7.</v>
          </cell>
        </row>
        <row r="100">
          <cell r="A100" t="str">
            <v>8.</v>
          </cell>
        </row>
        <row r="101">
          <cell r="A101" t="str">
            <v>9.</v>
          </cell>
        </row>
        <row r="102">
          <cell r="A102" t="str">
            <v>10.</v>
          </cell>
        </row>
        <row r="103">
          <cell r="A103" t="str">
            <v>11.</v>
          </cell>
        </row>
        <row r="105">
          <cell r="A105">
            <v>713</v>
          </cell>
        </row>
        <row r="108">
          <cell r="A108" t="str">
            <v>1.</v>
          </cell>
        </row>
        <row r="109">
          <cell r="A109" t="str">
            <v>2.</v>
          </cell>
        </row>
        <row r="110">
          <cell r="A110" t="str">
            <v>3.</v>
          </cell>
        </row>
        <row r="111">
          <cell r="A111" t="str">
            <v>4.</v>
          </cell>
        </row>
        <row r="112">
          <cell r="A112" t="str">
            <v>5.</v>
          </cell>
        </row>
        <row r="116">
          <cell r="A116" t="str">
            <v>6.</v>
          </cell>
        </row>
        <row r="117">
          <cell r="A117" t="str">
            <v>7.</v>
          </cell>
        </row>
        <row r="118">
          <cell r="A118" t="str">
            <v>8.</v>
          </cell>
        </row>
        <row r="119">
          <cell r="A119" t="str">
            <v>9.</v>
          </cell>
        </row>
        <row r="120">
          <cell r="A120" t="str">
            <v>10.</v>
          </cell>
        </row>
        <row r="121">
          <cell r="A121" t="str">
            <v>11.</v>
          </cell>
        </row>
        <row r="122">
          <cell r="A122" t="str">
            <v>12.</v>
          </cell>
        </row>
        <row r="125">
          <cell r="A125" t="str">
            <v>13.</v>
          </cell>
        </row>
        <row r="126">
          <cell r="A126" t="str">
            <v>14.</v>
          </cell>
        </row>
        <row r="127">
          <cell r="A127" t="str">
            <v>15.</v>
          </cell>
        </row>
        <row r="128">
          <cell r="A128" t="str">
            <v>16.</v>
          </cell>
        </row>
        <row r="129">
          <cell r="A129" t="str">
            <v>17.</v>
          </cell>
        </row>
        <row r="131">
          <cell r="A131">
            <v>764</v>
          </cell>
        </row>
        <row r="134">
          <cell r="A134" t="str">
            <v>1.</v>
          </cell>
        </row>
        <row r="135">
          <cell r="A135" t="str">
            <v>2.</v>
          </cell>
        </row>
        <row r="137">
          <cell r="A137" t="str">
            <v>3.</v>
          </cell>
        </row>
        <row r="138">
          <cell r="A138" t="str">
            <v>4.</v>
          </cell>
        </row>
        <row r="140">
          <cell r="A140" t="str">
            <v>5.</v>
          </cell>
        </row>
        <row r="141">
          <cell r="A141" t="str">
            <v>6.</v>
          </cell>
        </row>
        <row r="142">
          <cell r="A142" t="str">
            <v>7.</v>
          </cell>
        </row>
        <row r="144">
          <cell r="A144" t="str">
            <v>8.</v>
          </cell>
        </row>
        <row r="145">
          <cell r="A145" t="str">
            <v>9.</v>
          </cell>
        </row>
        <row r="146">
          <cell r="A146" t="str">
            <v>10.</v>
          </cell>
        </row>
        <row r="147">
          <cell r="A147" t="str">
            <v>11.</v>
          </cell>
        </row>
        <row r="149">
          <cell r="A149" t="str">
            <v>12.</v>
          </cell>
        </row>
        <row r="150">
          <cell r="A150" t="str">
            <v>13.</v>
          </cell>
        </row>
        <row r="152">
          <cell r="A152" t="str">
            <v>14.</v>
          </cell>
        </row>
        <row r="153">
          <cell r="A153" t="str">
            <v>15.</v>
          </cell>
        </row>
        <row r="154">
          <cell r="A154" t="str">
            <v>16.</v>
          </cell>
        </row>
        <row r="156">
          <cell r="A156" t="str">
            <v>17.</v>
          </cell>
        </row>
        <row r="157">
          <cell r="A157" t="str">
            <v>18.</v>
          </cell>
        </row>
        <row r="158">
          <cell r="A158" t="str">
            <v>19.</v>
          </cell>
        </row>
        <row r="160">
          <cell r="A160" t="str">
            <v>20.</v>
          </cell>
        </row>
        <row r="163">
          <cell r="A163" t="str">
            <v>21.</v>
          </cell>
        </row>
        <row r="164">
          <cell r="A164" t="str">
            <v>22.</v>
          </cell>
        </row>
        <row r="165">
          <cell r="A165" t="str">
            <v>23.</v>
          </cell>
        </row>
        <row r="167">
          <cell r="A167" t="str">
            <v>24.</v>
          </cell>
        </row>
        <row r="168">
          <cell r="A168" t="str">
            <v>25.</v>
          </cell>
        </row>
        <row r="169">
          <cell r="A169" t="str">
            <v>26.</v>
          </cell>
        </row>
        <row r="170">
          <cell r="A170" t="str">
            <v>27.</v>
          </cell>
        </row>
        <row r="172">
          <cell r="A172" t="str">
            <v>28.</v>
          </cell>
        </row>
        <row r="173">
          <cell r="A173" t="str">
            <v>29.</v>
          </cell>
        </row>
        <row r="175">
          <cell r="A175" t="str">
            <v>30.</v>
          </cell>
        </row>
        <row r="177">
          <cell r="A177" t="str">
            <v>31.</v>
          </cell>
        </row>
        <row r="178">
          <cell r="A178" t="str">
            <v>32.</v>
          </cell>
        </row>
        <row r="179">
          <cell r="A179" t="str">
            <v>33.</v>
          </cell>
        </row>
        <row r="181">
          <cell r="A181" t="str">
            <v>34.</v>
          </cell>
        </row>
        <row r="183">
          <cell r="A183" t="str">
            <v>35.</v>
          </cell>
        </row>
        <row r="187">
          <cell r="A187">
            <v>766</v>
          </cell>
        </row>
        <row r="189">
          <cell r="A189" t="str">
            <v>1.</v>
          </cell>
        </row>
        <row r="192">
          <cell r="A192" t="str">
            <v>2.</v>
          </cell>
        </row>
        <row r="195">
          <cell r="A195" t="str">
            <v>3.</v>
          </cell>
        </row>
        <row r="198">
          <cell r="A198" t="str">
            <v>4.</v>
          </cell>
        </row>
        <row r="201">
          <cell r="A201" t="str">
            <v>5.</v>
          </cell>
        </row>
        <row r="205">
          <cell r="A205" t="str">
            <v>6a</v>
          </cell>
        </row>
        <row r="210">
          <cell r="A210" t="str">
            <v>6b</v>
          </cell>
        </row>
        <row r="215">
          <cell r="A215" t="str">
            <v>6c</v>
          </cell>
        </row>
        <row r="220">
          <cell r="A220" t="str">
            <v>7.</v>
          </cell>
        </row>
        <row r="225">
          <cell r="A225" t="str">
            <v>8.</v>
          </cell>
        </row>
        <row r="230">
          <cell r="A230" t="str">
            <v>9.</v>
          </cell>
        </row>
        <row r="236">
          <cell r="A236" t="str">
            <v>10.</v>
          </cell>
        </row>
        <row r="241">
          <cell r="A241" t="str">
            <v>11.</v>
          </cell>
        </row>
        <row r="246">
          <cell r="A246" t="str">
            <v>12.</v>
          </cell>
        </row>
        <row r="251">
          <cell r="A251" t="str">
            <v>13.</v>
          </cell>
        </row>
        <row r="256">
          <cell r="A256" t="str">
            <v>14.</v>
          </cell>
        </row>
        <row r="261">
          <cell r="A261">
            <v>767</v>
          </cell>
        </row>
        <row r="266">
          <cell r="A266" t="str">
            <v>1.</v>
          </cell>
        </row>
        <row r="271">
          <cell r="A271" t="str">
            <v>2.</v>
          </cell>
        </row>
        <row r="273">
          <cell r="A273" t="str">
            <v>3.</v>
          </cell>
        </row>
        <row r="276">
          <cell r="A276" t="str">
            <v>4.</v>
          </cell>
        </row>
        <row r="280">
          <cell r="A280" t="str">
            <v>5.</v>
          </cell>
        </row>
        <row r="284">
          <cell r="A284" t="str">
            <v>6.</v>
          </cell>
        </row>
        <row r="289">
          <cell r="A289" t="str">
            <v>7.</v>
          </cell>
        </row>
        <row r="292">
          <cell r="A292" t="str">
            <v>8.</v>
          </cell>
        </row>
        <row r="296">
          <cell r="A296" t="str">
            <v>9.</v>
          </cell>
        </row>
        <row r="299">
          <cell r="A299" t="str">
            <v>10.</v>
          </cell>
        </row>
        <row r="302">
          <cell r="A302" t="str">
            <v>11.</v>
          </cell>
        </row>
        <row r="305">
          <cell r="A305" t="str">
            <v>12.</v>
          </cell>
        </row>
        <row r="308">
          <cell r="A308" t="str">
            <v>13.</v>
          </cell>
        </row>
        <row r="310">
          <cell r="A310" t="str">
            <v>14.</v>
          </cell>
        </row>
        <row r="314">
          <cell r="A314" t="str">
            <v>15.</v>
          </cell>
        </row>
        <row r="318">
          <cell r="A318" t="str">
            <v>16.</v>
          </cell>
        </row>
        <row r="323">
          <cell r="A323" t="str">
            <v>17.</v>
          </cell>
        </row>
        <row r="326">
          <cell r="A326" t="str">
            <v>18.</v>
          </cell>
        </row>
        <row r="330">
          <cell r="A330" t="str">
            <v>19.</v>
          </cell>
        </row>
        <row r="335">
          <cell r="A335" t="str">
            <v>20.</v>
          </cell>
        </row>
        <row r="340">
          <cell r="A340" t="str">
            <v>21.</v>
          </cell>
        </row>
        <row r="345">
          <cell r="A345" t="str">
            <v>22.</v>
          </cell>
        </row>
        <row r="350">
          <cell r="A350" t="str">
            <v>23.</v>
          </cell>
        </row>
        <row r="355">
          <cell r="A355" t="str">
            <v>24.</v>
          </cell>
        </row>
        <row r="360">
          <cell r="A360" t="str">
            <v>25.</v>
          </cell>
        </row>
        <row r="365">
          <cell r="A365" t="str">
            <v>26.</v>
          </cell>
        </row>
        <row r="370">
          <cell r="A370" t="str">
            <v>27.</v>
          </cell>
        </row>
        <row r="375">
          <cell r="A375" t="str">
            <v>28.</v>
          </cell>
        </row>
        <row r="380">
          <cell r="A380" t="str">
            <v>29.</v>
          </cell>
        </row>
        <row r="385">
          <cell r="A385" t="str">
            <v>30.</v>
          </cell>
        </row>
        <row r="390">
          <cell r="A390" t="str">
            <v>31.</v>
          </cell>
        </row>
        <row r="398">
          <cell r="A398" t="str">
            <v>32.</v>
          </cell>
        </row>
        <row r="403">
          <cell r="A403" t="str">
            <v>33.</v>
          </cell>
        </row>
        <row r="408">
          <cell r="A408" t="str">
            <v>34.</v>
          </cell>
        </row>
        <row r="413">
          <cell r="A413" t="str">
            <v>35.</v>
          </cell>
        </row>
        <row r="419">
          <cell r="A419" t="str">
            <v>36.</v>
          </cell>
        </row>
        <row r="426">
          <cell r="A426" t="str">
            <v>37.</v>
          </cell>
        </row>
        <row r="431">
          <cell r="A431" t="str">
            <v>38.</v>
          </cell>
        </row>
        <row r="436">
          <cell r="A436" t="str">
            <v>39.</v>
          </cell>
        </row>
        <row r="441">
          <cell r="A441" t="str">
            <v>40.</v>
          </cell>
        </row>
        <row r="447">
          <cell r="A447" t="str">
            <v>41.</v>
          </cell>
        </row>
        <row r="452">
          <cell r="A452" t="str">
            <v>42.</v>
          </cell>
        </row>
        <row r="456">
          <cell r="A456" t="str">
            <v>43.</v>
          </cell>
        </row>
        <row r="461">
          <cell r="A461" t="str">
            <v>44.</v>
          </cell>
        </row>
        <row r="465">
          <cell r="A465" t="str">
            <v>45.</v>
          </cell>
        </row>
        <row r="469">
          <cell r="A469" t="str">
            <v>46.</v>
          </cell>
        </row>
        <row r="473">
          <cell r="A473" t="str">
            <v>47.</v>
          </cell>
        </row>
        <row r="477">
          <cell r="A477" t="str">
            <v>48.</v>
          </cell>
        </row>
        <row r="481">
          <cell r="A481" t="str">
            <v>48.</v>
          </cell>
        </row>
        <row r="485">
          <cell r="A485" t="str">
            <v>49.</v>
          </cell>
        </row>
        <row r="489">
          <cell r="A489" t="str">
            <v>50.</v>
          </cell>
        </row>
        <row r="494">
          <cell r="A494" t="str">
            <v>51.</v>
          </cell>
        </row>
        <row r="498">
          <cell r="A498" t="str">
            <v>52.</v>
          </cell>
        </row>
        <row r="502">
          <cell r="A502" t="str">
            <v>53.</v>
          </cell>
        </row>
        <row r="506">
          <cell r="A506" t="str">
            <v>54.</v>
          </cell>
        </row>
        <row r="510">
          <cell r="A510" t="str">
            <v>55.</v>
          </cell>
        </row>
        <row r="515">
          <cell r="A515" t="str">
            <v>56.</v>
          </cell>
        </row>
        <row r="520">
          <cell r="A520" t="str">
            <v>57.</v>
          </cell>
        </row>
        <row r="524">
          <cell r="A524" t="str">
            <v>58.</v>
          </cell>
        </row>
        <row r="528">
          <cell r="A528" t="str">
            <v>59.</v>
          </cell>
        </row>
        <row r="533">
          <cell r="A533" t="str">
            <v>60.</v>
          </cell>
        </row>
        <row r="538">
          <cell r="A538" t="str">
            <v>61.</v>
          </cell>
        </row>
        <row r="542">
          <cell r="A542" t="str">
            <v>62.</v>
          </cell>
        </row>
        <row r="546">
          <cell r="A546" t="str">
            <v>63.</v>
          </cell>
        </row>
        <row r="551">
          <cell r="A551" t="str">
            <v>64.</v>
          </cell>
        </row>
        <row r="552">
          <cell r="A552" t="str">
            <v>64a.</v>
          </cell>
        </row>
        <row r="553">
          <cell r="A553" t="str">
            <v>64b.</v>
          </cell>
        </row>
        <row r="561">
          <cell r="A561" t="str">
            <v>65.</v>
          </cell>
        </row>
        <row r="563">
          <cell r="A563" t="str">
            <v>66.</v>
          </cell>
        </row>
        <row r="566">
          <cell r="A566" t="str">
            <v>67.</v>
          </cell>
        </row>
        <row r="569">
          <cell r="A569" t="str">
            <v>68.</v>
          </cell>
        </row>
        <row r="571">
          <cell r="A571" t="str">
            <v>69.</v>
          </cell>
        </row>
        <row r="573">
          <cell r="A573" t="str">
            <v>70.</v>
          </cell>
        </row>
        <row r="579">
          <cell r="A579" t="str">
            <v>71.</v>
          </cell>
        </row>
        <row r="582">
          <cell r="A582" t="str">
            <v>72.</v>
          </cell>
        </row>
        <row r="586">
          <cell r="A586" t="str">
            <v>73.</v>
          </cell>
        </row>
        <row r="590">
          <cell r="A590" t="str">
            <v>74.</v>
          </cell>
        </row>
        <row r="594">
          <cell r="A594" t="str">
            <v>75.</v>
          </cell>
        </row>
        <row r="597">
          <cell r="A597" t="str">
            <v>76.</v>
          </cell>
        </row>
        <row r="600">
          <cell r="A600" t="str">
            <v>77.</v>
          </cell>
        </row>
        <row r="605">
          <cell r="A605">
            <v>771</v>
          </cell>
        </row>
        <row r="607">
          <cell r="A607" t="str">
            <v>1.</v>
          </cell>
        </row>
        <row r="610">
          <cell r="A610" t="str">
            <v>2.</v>
          </cell>
        </row>
        <row r="613">
          <cell r="A613" t="str">
            <v>3.</v>
          </cell>
        </row>
        <row r="618">
          <cell r="A618">
            <v>772</v>
          </cell>
        </row>
        <row r="620">
          <cell r="A620" t="str">
            <v>1.</v>
          </cell>
        </row>
        <row r="623">
          <cell r="A623" t="str">
            <v>2.</v>
          </cell>
        </row>
        <row r="625">
          <cell r="A625" t="str">
            <v>3.</v>
          </cell>
        </row>
        <row r="628">
          <cell r="A628" t="str">
            <v>4.</v>
          </cell>
        </row>
        <row r="631">
          <cell r="A631" t="str">
            <v>5.</v>
          </cell>
        </row>
        <row r="634">
          <cell r="A634" t="str">
            <v>6.</v>
          </cell>
        </row>
        <row r="638">
          <cell r="A638">
            <v>776</v>
          </cell>
        </row>
        <row r="640">
          <cell r="A640" t="str">
            <v>1.</v>
          </cell>
        </row>
        <row r="643">
          <cell r="A643" t="str">
            <v>2.</v>
          </cell>
        </row>
        <row r="646">
          <cell r="A646" t="str">
            <v>3.</v>
          </cell>
        </row>
        <row r="650">
          <cell r="A650">
            <v>777</v>
          </cell>
        </row>
        <row r="652">
          <cell r="A652" t="str">
            <v>1.</v>
          </cell>
        </row>
        <row r="654">
          <cell r="A654" t="str">
            <v>2.</v>
          </cell>
        </row>
        <row r="656">
          <cell r="A656" t="str">
            <v>3.</v>
          </cell>
        </row>
        <row r="658">
          <cell r="A658" t="str">
            <v>4.</v>
          </cell>
        </row>
        <row r="660">
          <cell r="A660" t="str">
            <v>5.</v>
          </cell>
        </row>
        <row r="662">
          <cell r="A662">
            <v>781</v>
          </cell>
        </row>
        <row r="664">
          <cell r="A664" t="str">
            <v>1.</v>
          </cell>
        </row>
        <row r="668">
          <cell r="A668">
            <v>782</v>
          </cell>
        </row>
        <row r="670">
          <cell r="A670" t="str">
            <v>1.</v>
          </cell>
        </row>
        <row r="673">
          <cell r="A673" t="str">
            <v>2.</v>
          </cell>
        </row>
        <row r="676">
          <cell r="A676">
            <v>783</v>
          </cell>
        </row>
        <row r="678">
          <cell r="A678" t="str">
            <v>1.</v>
          </cell>
        </row>
        <row r="680">
          <cell r="A680" t="str">
            <v>2.</v>
          </cell>
        </row>
        <row r="682">
          <cell r="A682" t="str">
            <v>3.</v>
          </cell>
        </row>
        <row r="684">
          <cell r="A684">
            <v>784</v>
          </cell>
        </row>
        <row r="686">
          <cell r="A686" t="str">
            <v>1.</v>
          </cell>
        </row>
        <row r="692">
          <cell r="A692">
            <v>1</v>
          </cell>
        </row>
        <row r="693">
          <cell r="A693" t="str">
            <v>1.1.</v>
          </cell>
        </row>
        <row r="695">
          <cell r="A695" t="str">
            <v>1.2.</v>
          </cell>
        </row>
        <row r="697">
          <cell r="A697" t="str">
            <v>1.3.</v>
          </cell>
        </row>
        <row r="698">
          <cell r="A698" t="str">
            <v>1.4.</v>
          </cell>
        </row>
        <row r="699">
          <cell r="A699" t="str">
            <v>1.5.</v>
          </cell>
        </row>
        <row r="702">
          <cell r="A702">
            <v>2</v>
          </cell>
        </row>
        <row r="703">
          <cell r="A703" t="str">
            <v>2.1.</v>
          </cell>
        </row>
        <row r="707">
          <cell r="A707" t="str">
            <v>2.2.</v>
          </cell>
        </row>
        <row r="710">
          <cell r="A710" t="str">
            <v>2.3.</v>
          </cell>
        </row>
        <row r="712">
          <cell r="A712" t="str">
            <v>2.4.</v>
          </cell>
        </row>
        <row r="714">
          <cell r="A714" t="str">
            <v>Pozn.:</v>
          </cell>
        </row>
        <row r="718">
          <cell r="A718">
            <v>3</v>
          </cell>
        </row>
        <row r="719">
          <cell r="A719" t="str">
            <v>3.1.</v>
          </cell>
        </row>
        <row r="722">
          <cell r="A722" t="str">
            <v>3.2.</v>
          </cell>
        </row>
        <row r="724">
          <cell r="A724" t="str">
            <v>3.3.</v>
          </cell>
        </row>
        <row r="727">
          <cell r="A727">
            <v>4</v>
          </cell>
        </row>
        <row r="728">
          <cell r="A728" t="str">
            <v>4.1.</v>
          </cell>
        </row>
        <row r="732">
          <cell r="A732" t="str">
            <v>4.2.</v>
          </cell>
        </row>
        <row r="735">
          <cell r="A735">
            <v>5</v>
          </cell>
        </row>
        <row r="738">
          <cell r="A738">
            <v>6</v>
          </cell>
        </row>
        <row r="743">
          <cell r="A743">
            <v>7</v>
          </cell>
        </row>
        <row r="747">
          <cell r="A747">
            <v>8</v>
          </cell>
        </row>
        <row r="749">
          <cell r="A749" t="str">
            <v>8.1.</v>
          </cell>
        </row>
        <row r="750">
          <cell r="A750" t="str">
            <v>8.2.</v>
          </cell>
        </row>
        <row r="761">
          <cell r="A761">
            <v>10</v>
          </cell>
        </row>
        <row r="768">
          <cell r="A768" t="str">
            <v>Pozn.:</v>
          </cell>
        </row>
        <row r="772">
          <cell r="A772">
            <v>11</v>
          </cell>
        </row>
        <row r="773">
          <cell r="A773" t="str">
            <v>11.1.</v>
          </cell>
        </row>
        <row r="774">
          <cell r="A774" t="str">
            <v>11.2.</v>
          </cell>
        </row>
        <row r="779">
          <cell r="A779" t="str">
            <v>11.3.</v>
          </cell>
        </row>
        <row r="788">
          <cell r="A788">
            <v>1</v>
          </cell>
        </row>
        <row r="790">
          <cell r="A790" t="str">
            <v>1.</v>
          </cell>
        </row>
        <row r="791">
          <cell r="A791" t="str">
            <v>2.</v>
          </cell>
        </row>
        <row r="792">
          <cell r="A792" t="str">
            <v>3.</v>
          </cell>
        </row>
        <row r="793">
          <cell r="A793" t="str">
            <v>4.</v>
          </cell>
        </row>
        <row r="794">
          <cell r="A794" t="str">
            <v>5.</v>
          </cell>
        </row>
        <row r="796">
          <cell r="A796">
            <v>2</v>
          </cell>
        </row>
        <row r="798">
          <cell r="A798" t="str">
            <v>1.</v>
          </cell>
        </row>
        <row r="799">
          <cell r="A799" t="str">
            <v>2.</v>
          </cell>
        </row>
        <row r="800">
          <cell r="A800" t="str">
            <v>3.</v>
          </cell>
        </row>
        <row r="801">
          <cell r="A801" t="str">
            <v>4.</v>
          </cell>
        </row>
        <row r="802">
          <cell r="A802" t="str">
            <v>5.</v>
          </cell>
        </row>
        <row r="803">
          <cell r="A803" t="str">
            <v>6.</v>
          </cell>
        </row>
        <row r="805">
          <cell r="A805">
            <v>3</v>
          </cell>
        </row>
        <row r="807">
          <cell r="A807" t="str">
            <v>1.</v>
          </cell>
        </row>
        <row r="808">
          <cell r="A808" t="str">
            <v>2.</v>
          </cell>
        </row>
        <row r="810">
          <cell r="A810" t="str">
            <v>3.</v>
          </cell>
        </row>
        <row r="811">
          <cell r="A811" t="str">
            <v>4.</v>
          </cell>
        </row>
        <row r="812">
          <cell r="A812" t="str">
            <v>5.</v>
          </cell>
        </row>
        <row r="814">
          <cell r="A814" t="str">
            <v>6.</v>
          </cell>
        </row>
        <row r="815">
          <cell r="A815" t="str">
            <v>7.</v>
          </cell>
        </row>
        <row r="816">
          <cell r="A816" t="str">
            <v>8.</v>
          </cell>
        </row>
        <row r="818">
          <cell r="A818" t="str">
            <v>9.</v>
          </cell>
        </row>
        <row r="829">
          <cell r="A829" t="str">
            <v>1.</v>
          </cell>
        </row>
        <row r="845">
          <cell r="A845" t="str">
            <v>2.</v>
          </cell>
        </row>
        <row r="857">
          <cell r="A857" t="str">
            <v>3.</v>
          </cell>
        </row>
        <row r="865">
          <cell r="A865" t="str">
            <v>1.</v>
          </cell>
        </row>
        <row r="874">
          <cell r="A874" t="str">
            <v>2.</v>
          </cell>
        </row>
        <row r="879">
          <cell r="A879" t="str">
            <v>3.</v>
          </cell>
        </row>
        <row r="882">
          <cell r="A882" t="str">
            <v>4.</v>
          </cell>
        </row>
        <row r="894">
          <cell r="A894" t="str">
            <v>5.</v>
          </cell>
        </row>
        <row r="898">
          <cell r="A898" t="str">
            <v>1.</v>
          </cell>
        </row>
        <row r="907">
          <cell r="A907" t="str">
            <v>2.</v>
          </cell>
        </row>
        <row r="910">
          <cell r="A910" t="str">
            <v>3.</v>
          </cell>
        </row>
        <row r="912">
          <cell r="A912" t="str">
            <v>4.</v>
          </cell>
        </row>
        <row r="918">
          <cell r="A918" t="str">
            <v>1.</v>
          </cell>
        </row>
        <row r="919">
          <cell r="A919" t="str">
            <v>2.</v>
          </cell>
        </row>
        <row r="920">
          <cell r="A920" t="str">
            <v>3.</v>
          </cell>
        </row>
        <row r="921">
          <cell r="A921" t="str">
            <v>4.</v>
          </cell>
        </row>
        <row r="922">
          <cell r="A922" t="str">
            <v>5.</v>
          </cell>
        </row>
        <row r="923">
          <cell r="A923" t="str">
            <v>6.</v>
          </cell>
        </row>
        <row r="924">
          <cell r="A924" t="str">
            <v>7.</v>
          </cell>
        </row>
        <row r="925">
          <cell r="A925" t="str">
            <v>8.</v>
          </cell>
        </row>
        <row r="926">
          <cell r="A926" t="str">
            <v>9.</v>
          </cell>
        </row>
        <row r="927">
          <cell r="A927" t="str">
            <v>10.</v>
          </cell>
        </row>
        <row r="928">
          <cell r="A928" t="str">
            <v>11.</v>
          </cell>
        </row>
        <row r="929">
          <cell r="A929" t="str">
            <v>12.</v>
          </cell>
        </row>
        <row r="930">
          <cell r="A930" t="str">
            <v>13.</v>
          </cell>
        </row>
        <row r="931">
          <cell r="A931" t="str">
            <v>14.</v>
          </cell>
        </row>
        <row r="932">
          <cell r="A932" t="str">
            <v>15.</v>
          </cell>
        </row>
        <row r="933">
          <cell r="A933" t="str">
            <v>16.</v>
          </cell>
        </row>
        <row r="934">
          <cell r="A934" t="str">
            <v>17.</v>
          </cell>
        </row>
        <row r="937">
          <cell r="A937" t="str">
            <v>18.</v>
          </cell>
        </row>
        <row r="938">
          <cell r="A938" t="str">
            <v>19.</v>
          </cell>
        </row>
        <row r="939">
          <cell r="A939" t="str">
            <v>20.</v>
          </cell>
        </row>
        <row r="940">
          <cell r="A940" t="str">
            <v>21.</v>
          </cell>
        </row>
        <row r="941">
          <cell r="A941" t="str">
            <v>22.</v>
          </cell>
        </row>
        <row r="942">
          <cell r="A942" t="str">
            <v>23.</v>
          </cell>
        </row>
        <row r="943">
          <cell r="A943" t="str">
            <v>24.</v>
          </cell>
        </row>
        <row r="944">
          <cell r="A944" t="str">
            <v>25.</v>
          </cell>
        </row>
        <row r="945">
          <cell r="A945" t="str">
            <v>26.</v>
          </cell>
        </row>
        <row r="952">
          <cell r="A952">
            <v>1</v>
          </cell>
        </row>
        <row r="956">
          <cell r="A956">
            <v>2</v>
          </cell>
        </row>
        <row r="960">
          <cell r="A960">
            <v>3</v>
          </cell>
        </row>
        <row r="964">
          <cell r="A964">
            <v>4</v>
          </cell>
        </row>
        <row r="968">
          <cell r="A968">
            <v>5</v>
          </cell>
        </row>
        <row r="972">
          <cell r="A972">
            <v>6</v>
          </cell>
        </row>
        <row r="976">
          <cell r="A976">
            <v>7</v>
          </cell>
        </row>
        <row r="980">
          <cell r="A980">
            <v>8</v>
          </cell>
        </row>
        <row r="984">
          <cell r="A984">
            <v>9</v>
          </cell>
        </row>
        <row r="988">
          <cell r="A988">
            <v>10</v>
          </cell>
        </row>
        <row r="992">
          <cell r="A992">
            <v>11</v>
          </cell>
        </row>
        <row r="996">
          <cell r="A996">
            <v>12</v>
          </cell>
        </row>
        <row r="1000">
          <cell r="A1000">
            <v>13</v>
          </cell>
        </row>
        <row r="1004">
          <cell r="A1004">
            <v>14</v>
          </cell>
        </row>
        <row r="1008">
          <cell r="A1008">
            <v>15</v>
          </cell>
        </row>
        <row r="1013">
          <cell r="A1013">
            <v>16</v>
          </cell>
        </row>
        <row r="1017">
          <cell r="A1017">
            <v>17</v>
          </cell>
        </row>
        <row r="1023">
          <cell r="A1023">
            <v>18</v>
          </cell>
        </row>
        <row r="1024">
          <cell r="A1024">
            <v>19</v>
          </cell>
        </row>
        <row r="1025">
          <cell r="A1025">
            <v>20</v>
          </cell>
        </row>
        <row r="1026">
          <cell r="A1026">
            <v>21</v>
          </cell>
        </row>
        <row r="1027">
          <cell r="A1027">
            <v>22</v>
          </cell>
        </row>
        <row r="1028">
          <cell r="A1028">
            <v>23</v>
          </cell>
        </row>
        <row r="1029">
          <cell r="A1029">
            <v>24</v>
          </cell>
        </row>
        <row r="1030">
          <cell r="A1030">
            <v>25</v>
          </cell>
        </row>
        <row r="1031">
          <cell r="A1031">
            <v>26</v>
          </cell>
        </row>
        <row r="1032">
          <cell r="A1032">
            <v>27</v>
          </cell>
        </row>
        <row r="1033">
          <cell r="A1033">
            <v>28</v>
          </cell>
        </row>
        <row r="1034">
          <cell r="A1034" t="str">
            <v xml:space="preserve"> </v>
          </cell>
        </row>
        <row r="1038">
          <cell r="A1038">
            <v>29</v>
          </cell>
        </row>
        <row r="1039">
          <cell r="A1039">
            <v>30</v>
          </cell>
        </row>
        <row r="1040">
          <cell r="A1040">
            <v>31</v>
          </cell>
        </row>
        <row r="1041">
          <cell r="A1041">
            <v>32</v>
          </cell>
        </row>
        <row r="1046">
          <cell r="A1046">
            <v>33</v>
          </cell>
        </row>
        <row r="1047">
          <cell r="A1047">
            <v>34</v>
          </cell>
        </row>
        <row r="1048">
          <cell r="A1048">
            <v>35</v>
          </cell>
        </row>
        <row r="1049">
          <cell r="A1049">
            <v>36</v>
          </cell>
        </row>
        <row r="1054">
          <cell r="A1054">
            <v>37</v>
          </cell>
        </row>
        <row r="1055">
          <cell r="A1055">
            <v>38</v>
          </cell>
        </row>
        <row r="1056">
          <cell r="A1056">
            <v>39</v>
          </cell>
        </row>
        <row r="1057">
          <cell r="A1057">
            <v>40</v>
          </cell>
        </row>
        <row r="1058">
          <cell r="A1058">
            <v>41</v>
          </cell>
        </row>
        <row r="1062">
          <cell r="A1062">
            <v>42</v>
          </cell>
        </row>
        <row r="1063">
          <cell r="A1063">
            <v>43</v>
          </cell>
        </row>
        <row r="1064">
          <cell r="A1064">
            <v>44</v>
          </cell>
        </row>
        <row r="1065">
          <cell r="A1065">
            <v>45</v>
          </cell>
        </row>
        <row r="1066">
          <cell r="A1066">
            <v>46</v>
          </cell>
        </row>
        <row r="1067">
          <cell r="A1067">
            <v>47</v>
          </cell>
        </row>
        <row r="1068">
          <cell r="A1068">
            <v>48</v>
          </cell>
        </row>
        <row r="1069">
          <cell r="A1069">
            <v>49</v>
          </cell>
        </row>
        <row r="1070">
          <cell r="A1070">
            <v>50</v>
          </cell>
        </row>
        <row r="1071">
          <cell r="A1071">
            <v>51</v>
          </cell>
        </row>
        <row r="1072">
          <cell r="A1072">
            <v>52</v>
          </cell>
        </row>
        <row r="1073">
          <cell r="A1073">
            <v>53</v>
          </cell>
        </row>
        <row r="1074">
          <cell r="A1074">
            <v>54</v>
          </cell>
        </row>
        <row r="1075">
          <cell r="A1075">
            <v>55</v>
          </cell>
        </row>
        <row r="1076">
          <cell r="A1076">
            <v>56</v>
          </cell>
        </row>
        <row r="1077">
          <cell r="A1077">
            <v>57</v>
          </cell>
        </row>
        <row r="1078">
          <cell r="A1078">
            <v>58</v>
          </cell>
        </row>
        <row r="1079">
          <cell r="A1079">
            <v>59</v>
          </cell>
        </row>
        <row r="1080">
          <cell r="A1080">
            <v>60</v>
          </cell>
        </row>
        <row r="1081">
          <cell r="A1081">
            <v>61</v>
          </cell>
        </row>
        <row r="1082">
          <cell r="A1082">
            <v>62</v>
          </cell>
        </row>
        <row r="1083">
          <cell r="A1083">
            <v>63</v>
          </cell>
        </row>
        <row r="1087">
          <cell r="A1087">
            <v>64</v>
          </cell>
        </row>
        <row r="1088">
          <cell r="A1088">
            <v>65</v>
          </cell>
        </row>
        <row r="1089">
          <cell r="A1089">
            <v>66</v>
          </cell>
        </row>
        <row r="1090">
          <cell r="A1090">
            <v>67</v>
          </cell>
        </row>
        <row r="1091">
          <cell r="A1091">
            <v>68</v>
          </cell>
        </row>
        <row r="1092">
          <cell r="A1092">
            <v>69</v>
          </cell>
        </row>
        <row r="1093">
          <cell r="A1093">
            <v>70</v>
          </cell>
        </row>
        <row r="1094">
          <cell r="A1094">
            <v>71</v>
          </cell>
        </row>
        <row r="1095">
          <cell r="A1095">
            <v>72</v>
          </cell>
        </row>
        <row r="1099">
          <cell r="A1099">
            <v>73</v>
          </cell>
        </row>
        <row r="1100">
          <cell r="A1100">
            <v>74</v>
          </cell>
        </row>
        <row r="1101">
          <cell r="A1101">
            <v>75</v>
          </cell>
        </row>
        <row r="1102">
          <cell r="A1102">
            <v>76</v>
          </cell>
        </row>
        <row r="1103">
          <cell r="A1103">
            <v>77</v>
          </cell>
        </row>
        <row r="1104">
          <cell r="A1104">
            <v>78</v>
          </cell>
        </row>
        <row r="1105">
          <cell r="A1105">
            <v>79</v>
          </cell>
        </row>
        <row r="1106">
          <cell r="A1106">
            <v>80</v>
          </cell>
        </row>
        <row r="1107">
          <cell r="A1107">
            <v>81</v>
          </cell>
        </row>
        <row r="1108">
          <cell r="A1108">
            <v>82</v>
          </cell>
        </row>
        <row r="1112">
          <cell r="A1112">
            <v>83</v>
          </cell>
        </row>
        <row r="1113">
          <cell r="A1113">
            <v>84</v>
          </cell>
        </row>
        <row r="1114">
          <cell r="A1114">
            <v>85</v>
          </cell>
        </row>
        <row r="1115">
          <cell r="A1115">
            <v>86</v>
          </cell>
        </row>
        <row r="1116">
          <cell r="A1116">
            <v>87</v>
          </cell>
        </row>
        <row r="1117">
          <cell r="A1117">
            <v>88</v>
          </cell>
        </row>
        <row r="1118">
          <cell r="A1118">
            <v>89</v>
          </cell>
        </row>
        <row r="1119">
          <cell r="A1119">
            <v>90</v>
          </cell>
        </row>
        <row r="1120">
          <cell r="A1120">
            <v>91</v>
          </cell>
        </row>
        <row r="1121">
          <cell r="A1121">
            <v>92</v>
          </cell>
        </row>
        <row r="1122">
          <cell r="A1122">
            <v>93</v>
          </cell>
        </row>
        <row r="1123">
          <cell r="A1123">
            <v>94</v>
          </cell>
        </row>
        <row r="1124">
          <cell r="A1124">
            <v>95</v>
          </cell>
        </row>
        <row r="1125">
          <cell r="A1125">
            <v>96</v>
          </cell>
        </row>
        <row r="1126">
          <cell r="A1126">
            <v>97</v>
          </cell>
        </row>
        <row r="1127">
          <cell r="A1127">
            <v>98</v>
          </cell>
        </row>
        <row r="1128">
          <cell r="A1128">
            <v>99</v>
          </cell>
        </row>
        <row r="1129">
          <cell r="A1129">
            <v>100</v>
          </cell>
        </row>
        <row r="1130">
          <cell r="A1130">
            <v>101</v>
          </cell>
        </row>
        <row r="1131">
          <cell r="A1131">
            <v>102</v>
          </cell>
        </row>
        <row r="1132">
          <cell r="A1132">
            <v>103</v>
          </cell>
        </row>
        <row r="1133">
          <cell r="A1133">
            <v>104</v>
          </cell>
        </row>
        <row r="1134">
          <cell r="A1134">
            <v>105</v>
          </cell>
        </row>
        <row r="1135">
          <cell r="A1135">
            <v>106</v>
          </cell>
        </row>
        <row r="1136">
          <cell r="A1136">
            <v>107</v>
          </cell>
        </row>
        <row r="1137">
          <cell r="A1137">
            <v>108</v>
          </cell>
        </row>
        <row r="1138">
          <cell r="A1138">
            <v>109</v>
          </cell>
        </row>
        <row r="1139">
          <cell r="A1139">
            <v>110</v>
          </cell>
        </row>
        <row r="1140">
          <cell r="A1140" t="str">
            <v xml:space="preserve"> </v>
          </cell>
        </row>
        <row r="1143">
          <cell r="A1143">
            <v>111</v>
          </cell>
        </row>
        <row r="1144">
          <cell r="A1144">
            <v>112</v>
          </cell>
        </row>
        <row r="1145">
          <cell r="A1145">
            <v>113</v>
          </cell>
        </row>
        <row r="1146">
          <cell r="A1146">
            <v>114</v>
          </cell>
        </row>
        <row r="1147">
          <cell r="A1147">
            <v>115</v>
          </cell>
        </row>
        <row r="1148">
          <cell r="A1148">
            <v>116</v>
          </cell>
        </row>
        <row r="1149">
          <cell r="A1149">
            <v>117</v>
          </cell>
        </row>
        <row r="1150">
          <cell r="A1150">
            <v>118</v>
          </cell>
        </row>
        <row r="1151">
          <cell r="A1151">
            <v>119</v>
          </cell>
        </row>
        <row r="1157">
          <cell r="A1157">
            <v>120</v>
          </cell>
        </row>
        <row r="1158">
          <cell r="A1158" t="str">
            <v xml:space="preserve"> </v>
          </cell>
        </row>
        <row r="1193">
          <cell r="A1193">
            <v>121</v>
          </cell>
        </row>
        <row r="1194">
          <cell r="A1194" t="str">
            <v xml:space="preserve"> </v>
          </cell>
        </row>
        <row r="1220">
          <cell r="A1220">
            <v>122</v>
          </cell>
        </row>
        <row r="1221">
          <cell r="A1221" t="str">
            <v xml:space="preserve"> </v>
          </cell>
        </row>
        <row r="1244">
          <cell r="A1244">
            <v>123</v>
          </cell>
        </row>
        <row r="1245">
          <cell r="A1245" t="str">
            <v xml:space="preserve"> </v>
          </cell>
        </row>
        <row r="1266">
          <cell r="A1266">
            <v>124</v>
          </cell>
        </row>
        <row r="1267">
          <cell r="A1267" t="str">
            <v xml:space="preserve"> </v>
          </cell>
        </row>
        <row r="1288">
          <cell r="A1288">
            <v>125</v>
          </cell>
        </row>
        <row r="1289">
          <cell r="A1289" t="str">
            <v xml:space="preserve"> </v>
          </cell>
        </row>
        <row r="1313">
          <cell r="A1313">
            <v>126</v>
          </cell>
        </row>
        <row r="1314">
          <cell r="A1314" t="str">
            <v xml:space="preserve"> </v>
          </cell>
        </row>
        <row r="1338">
          <cell r="A1338">
            <v>127</v>
          </cell>
        </row>
        <row r="1369">
          <cell r="A1369">
            <v>128</v>
          </cell>
        </row>
        <row r="1380">
          <cell r="A1380">
            <v>129</v>
          </cell>
        </row>
        <row r="1388">
          <cell r="A1388">
            <v>130</v>
          </cell>
        </row>
        <row r="1401">
          <cell r="A1401" t="str">
            <v>1.</v>
          </cell>
        </row>
        <row r="1404">
          <cell r="A1404" t="str">
            <v>2.</v>
          </cell>
        </row>
        <row r="1406">
          <cell r="A1406" t="str">
            <v>3.</v>
          </cell>
        </row>
        <row r="1407">
          <cell r="A1407" t="str">
            <v>4.</v>
          </cell>
        </row>
        <row r="1408">
          <cell r="A1408" t="str">
            <v>5.</v>
          </cell>
        </row>
        <row r="1409">
          <cell r="A1409" t="str">
            <v>6.</v>
          </cell>
        </row>
        <row r="1410">
          <cell r="A1410" t="str">
            <v>7.</v>
          </cell>
        </row>
        <row r="1411">
          <cell r="A1411" t="str">
            <v>8.</v>
          </cell>
        </row>
        <row r="1412">
          <cell r="A1412" t="str">
            <v>9.</v>
          </cell>
        </row>
        <row r="1413">
          <cell r="A1413" t="str">
            <v>10.</v>
          </cell>
        </row>
        <row r="1414">
          <cell r="A1414" t="str">
            <v>11.</v>
          </cell>
        </row>
        <row r="1415">
          <cell r="A1415" t="str">
            <v>12.</v>
          </cell>
        </row>
        <row r="1416">
          <cell r="A1416" t="str">
            <v>13.</v>
          </cell>
        </row>
        <row r="1417">
          <cell r="A1417" t="str">
            <v>14.</v>
          </cell>
        </row>
        <row r="1418">
          <cell r="A1418" t="str">
            <v>15.</v>
          </cell>
        </row>
        <row r="1419">
          <cell r="A1419" t="str">
            <v>16.</v>
          </cell>
        </row>
        <row r="1420">
          <cell r="A1420" t="str">
            <v>17.</v>
          </cell>
        </row>
        <row r="1422">
          <cell r="A1422" t="str">
            <v>18.</v>
          </cell>
        </row>
        <row r="1424">
          <cell r="A1424" t="str">
            <v>19.</v>
          </cell>
        </row>
        <row r="1425">
          <cell r="A1425" t="str">
            <v>20.</v>
          </cell>
        </row>
        <row r="1426">
          <cell r="A1426" t="str">
            <v>21.</v>
          </cell>
        </row>
        <row r="1427">
          <cell r="A1427" t="str">
            <v>22.</v>
          </cell>
        </row>
        <row r="1428">
          <cell r="A1428" t="str">
            <v>23.</v>
          </cell>
        </row>
        <row r="1429">
          <cell r="A1429" t="str">
            <v>24.</v>
          </cell>
        </row>
        <row r="1430">
          <cell r="A1430" t="str">
            <v>25.</v>
          </cell>
        </row>
        <row r="1431">
          <cell r="A1431" t="str">
            <v>26.</v>
          </cell>
        </row>
        <row r="1432">
          <cell r="A1432" t="str">
            <v>27.</v>
          </cell>
        </row>
        <row r="1433">
          <cell r="A1433" t="str">
            <v>28.</v>
          </cell>
        </row>
        <row r="1434">
          <cell r="A1434" t="str">
            <v>29.</v>
          </cell>
        </row>
        <row r="1435">
          <cell r="A1435" t="str">
            <v>30.</v>
          </cell>
        </row>
        <row r="1436">
          <cell r="A1436" t="str">
            <v>31.</v>
          </cell>
        </row>
        <row r="1440">
          <cell r="A1440" t="str">
            <v>32.</v>
          </cell>
        </row>
        <row r="1442">
          <cell r="A1442" t="str">
            <v>33.</v>
          </cell>
        </row>
        <row r="1443">
          <cell r="A1443" t="str">
            <v>34.</v>
          </cell>
        </row>
        <row r="1444">
          <cell r="A1444" t="str">
            <v>35.</v>
          </cell>
        </row>
        <row r="1445">
          <cell r="A1445" t="str">
            <v>36.</v>
          </cell>
        </row>
        <row r="1446">
          <cell r="A1446" t="str">
            <v>37.</v>
          </cell>
        </row>
        <row r="1447">
          <cell r="A1447" t="str">
            <v>38.</v>
          </cell>
        </row>
        <row r="1448">
          <cell r="A1448" t="str">
            <v>39.</v>
          </cell>
        </row>
        <row r="1449">
          <cell r="A1449" t="str">
            <v>40.</v>
          </cell>
        </row>
        <row r="1450">
          <cell r="A1450" t="str">
            <v>41.</v>
          </cell>
        </row>
        <row r="1451">
          <cell r="A1451" t="str">
            <v>42.</v>
          </cell>
        </row>
        <row r="1452">
          <cell r="A1452" t="str">
            <v>43.</v>
          </cell>
        </row>
        <row r="1453">
          <cell r="A1453" t="str">
            <v>44.</v>
          </cell>
        </row>
        <row r="1457">
          <cell r="A1457" t="str">
            <v>1.</v>
          </cell>
        </row>
        <row r="1459">
          <cell r="A1459" t="str">
            <v>2.</v>
          </cell>
        </row>
        <row r="1461">
          <cell r="A1461" t="str">
            <v>3.</v>
          </cell>
        </row>
        <row r="1462">
          <cell r="A1462" t="str">
            <v>4.</v>
          </cell>
        </row>
        <row r="1463">
          <cell r="A1463" t="str">
            <v>5.</v>
          </cell>
        </row>
        <row r="1464">
          <cell r="A1464" t="str">
            <v>6.</v>
          </cell>
        </row>
        <row r="1465">
          <cell r="A1465" t="str">
            <v>7.</v>
          </cell>
        </row>
        <row r="1466">
          <cell r="A1466" t="str">
            <v>8.</v>
          </cell>
        </row>
        <row r="1467">
          <cell r="A1467" t="str">
            <v>9.</v>
          </cell>
        </row>
        <row r="1468">
          <cell r="A1468" t="str">
            <v>10.</v>
          </cell>
        </row>
        <row r="1470">
          <cell r="A1470" t="str">
            <v>11.</v>
          </cell>
        </row>
        <row r="1473">
          <cell r="A1473" t="str">
            <v>12.</v>
          </cell>
        </row>
        <row r="1475">
          <cell r="A1475" t="str">
            <v>13.</v>
          </cell>
        </row>
        <row r="1476">
          <cell r="A1476" t="str">
            <v>14.</v>
          </cell>
        </row>
        <row r="1477">
          <cell r="A1477" t="str">
            <v>15.</v>
          </cell>
        </row>
        <row r="1478">
          <cell r="A1478" t="str">
            <v>16.</v>
          </cell>
        </row>
        <row r="1479">
          <cell r="A1479" t="str">
            <v>17.</v>
          </cell>
        </row>
        <row r="1480">
          <cell r="A1480" t="str">
            <v>18.</v>
          </cell>
        </row>
        <row r="1481">
          <cell r="A1481" t="str">
            <v>19.</v>
          </cell>
        </row>
        <row r="1484">
          <cell r="A1484" t="str">
            <v>20.</v>
          </cell>
        </row>
        <row r="1487">
          <cell r="A1487" t="str">
            <v>21.</v>
          </cell>
        </row>
        <row r="1490">
          <cell r="A1490" t="str">
            <v>22.</v>
          </cell>
        </row>
        <row r="1493">
          <cell r="A1493" t="str">
            <v>23.</v>
          </cell>
        </row>
        <row r="1494">
          <cell r="A1494" t="str">
            <v>24.</v>
          </cell>
        </row>
        <row r="1495">
          <cell r="A1495" t="str">
            <v>25.</v>
          </cell>
        </row>
        <row r="1496">
          <cell r="A1496" t="str">
            <v>26.</v>
          </cell>
        </row>
        <row r="1497">
          <cell r="A1497" t="str">
            <v>27.</v>
          </cell>
        </row>
        <row r="1498">
          <cell r="A1498" t="str">
            <v>28.</v>
          </cell>
        </row>
        <row r="1499">
          <cell r="A1499" t="str">
            <v>29.</v>
          </cell>
        </row>
        <row r="1500">
          <cell r="A1500" t="str">
            <v>30.</v>
          </cell>
        </row>
        <row r="1501">
          <cell r="A1501" t="str">
            <v>31.</v>
          </cell>
        </row>
        <row r="1502">
          <cell r="A1502" t="str">
            <v>32.</v>
          </cell>
        </row>
        <row r="1503">
          <cell r="A1503" t="str">
            <v>33.</v>
          </cell>
        </row>
        <row r="1509">
          <cell r="A1509" t="str">
            <v>1.</v>
          </cell>
        </row>
        <row r="1521">
          <cell r="A1521" t="str">
            <v>2.</v>
          </cell>
        </row>
        <row r="1535">
          <cell r="A1535" t="str">
            <v>3.</v>
          </cell>
        </row>
        <row r="1542">
          <cell r="A1542" t="str">
            <v>4.</v>
          </cell>
        </row>
        <row r="1554">
          <cell r="A1554" t="str">
            <v>5.</v>
          </cell>
        </row>
        <row r="1562">
          <cell r="A1562" t="str">
            <v>6.</v>
          </cell>
        </row>
        <row r="1569">
          <cell r="A1569" t="str">
            <v>7.</v>
          </cell>
        </row>
        <row r="1575">
          <cell r="A1575" t="str">
            <v>8.</v>
          </cell>
        </row>
        <row r="1581">
          <cell r="A1581" t="str">
            <v>9.</v>
          </cell>
        </row>
        <row r="1588">
          <cell r="A1588" t="str">
            <v>10.</v>
          </cell>
        </row>
        <row r="1594">
          <cell r="A1594" t="str">
            <v>11.</v>
          </cell>
        </row>
        <row r="1599">
          <cell r="A1599" t="str">
            <v>12.</v>
          </cell>
        </row>
        <row r="1603">
          <cell r="A1603">
            <v>13</v>
          </cell>
        </row>
        <row r="1608">
          <cell r="A1608" t="str">
            <v>14.</v>
          </cell>
        </row>
        <row r="1612">
          <cell r="A1612" t="str">
            <v>15.</v>
          </cell>
        </row>
        <row r="1618">
          <cell r="A1618" t="str">
            <v>16.</v>
          </cell>
        </row>
        <row r="1621">
          <cell r="A1621" t="str">
            <v>17.</v>
          </cell>
        </row>
        <row r="1624">
          <cell r="A1624" t="str">
            <v>18.</v>
          </cell>
        </row>
        <row r="1629">
          <cell r="A1629" t="str">
            <v>19.</v>
          </cell>
        </row>
        <row r="1634">
          <cell r="A1634" t="str">
            <v>20.</v>
          </cell>
        </row>
        <row r="1639">
          <cell r="A1639" t="str">
            <v>21.</v>
          </cell>
        </row>
        <row r="1642">
          <cell r="A1642" t="str">
            <v>22.</v>
          </cell>
        </row>
        <row r="1645">
          <cell r="A1645" t="str">
            <v>23.</v>
          </cell>
        </row>
        <row r="1649">
          <cell r="A1649" t="str">
            <v>24.</v>
          </cell>
        </row>
        <row r="1652">
          <cell r="A1652" t="str">
            <v>25.</v>
          </cell>
        </row>
        <row r="1655">
          <cell r="A1655" t="str">
            <v>26.</v>
          </cell>
        </row>
        <row r="1658">
          <cell r="A1658" t="str">
            <v>27.</v>
          </cell>
        </row>
        <row r="1661">
          <cell r="A1661" t="str">
            <v>28.</v>
          </cell>
        </row>
        <row r="1665">
          <cell r="A1665" t="str">
            <v>29.</v>
          </cell>
        </row>
        <row r="1669">
          <cell r="A1669" t="str">
            <v>30.</v>
          </cell>
        </row>
        <row r="1673">
          <cell r="A1673" t="str">
            <v>31.</v>
          </cell>
        </row>
        <row r="1678">
          <cell r="A1678" t="str">
            <v>32.</v>
          </cell>
        </row>
        <row r="1683">
          <cell r="A1683" t="str">
            <v>33.</v>
          </cell>
        </row>
        <row r="1687">
          <cell r="A1687" t="str">
            <v>34.</v>
          </cell>
        </row>
        <row r="1691">
          <cell r="A1691" t="str">
            <v>35.</v>
          </cell>
        </row>
        <row r="1698">
          <cell r="A1698">
            <v>1</v>
          </cell>
        </row>
        <row r="1699">
          <cell r="A1699">
            <v>2</v>
          </cell>
        </row>
        <row r="1700">
          <cell r="A1700">
            <v>3</v>
          </cell>
        </row>
        <row r="1701">
          <cell r="A1701">
            <v>4</v>
          </cell>
        </row>
        <row r="1702">
          <cell r="A1702">
            <v>5</v>
          </cell>
        </row>
        <row r="1703">
          <cell r="A1703">
            <v>6</v>
          </cell>
        </row>
        <row r="1704">
          <cell r="A1704">
            <v>7</v>
          </cell>
        </row>
        <row r="1705">
          <cell r="A1705">
            <v>8</v>
          </cell>
        </row>
        <row r="1706">
          <cell r="A1706">
            <v>9</v>
          </cell>
        </row>
        <row r="1707">
          <cell r="A1707">
            <v>10</v>
          </cell>
        </row>
        <row r="1708">
          <cell r="A1708">
            <v>11</v>
          </cell>
        </row>
        <row r="1709">
          <cell r="A1709">
            <v>12</v>
          </cell>
        </row>
        <row r="1710">
          <cell r="A1710">
            <v>13</v>
          </cell>
        </row>
        <row r="1711">
          <cell r="A1711">
            <v>14</v>
          </cell>
        </row>
        <row r="1712">
          <cell r="A1712">
            <v>15</v>
          </cell>
        </row>
        <row r="1713">
          <cell r="A1713">
            <v>16</v>
          </cell>
        </row>
        <row r="1714">
          <cell r="A1714">
            <v>17</v>
          </cell>
        </row>
        <row r="1715">
          <cell r="A1715">
            <v>18</v>
          </cell>
        </row>
        <row r="1716">
          <cell r="A1716">
            <v>19</v>
          </cell>
        </row>
        <row r="1720">
          <cell r="A1720">
            <v>1</v>
          </cell>
        </row>
        <row r="1721">
          <cell r="A1721">
            <v>2</v>
          </cell>
        </row>
        <row r="1722">
          <cell r="A1722">
            <v>3</v>
          </cell>
        </row>
        <row r="1723">
          <cell r="A1723">
            <v>4</v>
          </cell>
        </row>
        <row r="1724">
          <cell r="A1724">
            <v>5</v>
          </cell>
        </row>
        <row r="1725">
          <cell r="A1725">
            <v>6</v>
          </cell>
        </row>
        <row r="1726">
          <cell r="A1726">
            <v>7</v>
          </cell>
        </row>
        <row r="1727">
          <cell r="A1727">
            <v>8</v>
          </cell>
        </row>
        <row r="1728">
          <cell r="A1728">
            <v>9</v>
          </cell>
        </row>
        <row r="1729">
          <cell r="A1729">
            <v>10</v>
          </cell>
        </row>
        <row r="1730">
          <cell r="A1730">
            <v>11</v>
          </cell>
        </row>
        <row r="1731">
          <cell r="A1731">
            <v>12</v>
          </cell>
        </row>
        <row r="1732">
          <cell r="A1732">
            <v>13</v>
          </cell>
        </row>
        <row r="1733">
          <cell r="A1733">
            <v>14</v>
          </cell>
        </row>
        <row r="1734">
          <cell r="A1734">
            <v>15</v>
          </cell>
        </row>
        <row r="1735">
          <cell r="A1735">
            <v>16</v>
          </cell>
        </row>
        <row r="1736">
          <cell r="A1736">
            <v>17</v>
          </cell>
        </row>
        <row r="1737">
          <cell r="A1737">
            <v>18</v>
          </cell>
        </row>
        <row r="1738">
          <cell r="A1738">
            <v>19</v>
          </cell>
        </row>
        <row r="1739">
          <cell r="A1739">
            <v>20</v>
          </cell>
        </row>
        <row r="1740">
          <cell r="A1740">
            <v>21</v>
          </cell>
        </row>
        <row r="1741">
          <cell r="A1741">
            <v>22</v>
          </cell>
        </row>
        <row r="1742">
          <cell r="A1742">
            <v>23</v>
          </cell>
        </row>
        <row r="1743">
          <cell r="A1743">
            <v>24</v>
          </cell>
        </row>
        <row r="1744">
          <cell r="A1744">
            <v>25</v>
          </cell>
        </row>
        <row r="1745">
          <cell r="A1745">
            <v>26</v>
          </cell>
        </row>
        <row r="1746">
          <cell r="A1746">
            <v>27</v>
          </cell>
        </row>
        <row r="1747">
          <cell r="A1747">
            <v>28</v>
          </cell>
        </row>
        <row r="1748">
          <cell r="A1748">
            <v>29</v>
          </cell>
        </row>
        <row r="1749">
          <cell r="A1749">
            <v>30</v>
          </cell>
        </row>
        <row r="1754">
          <cell r="A1754">
            <v>31</v>
          </cell>
        </row>
        <row r="1760">
          <cell r="A1760">
            <v>32</v>
          </cell>
        </row>
        <row r="1763">
          <cell r="A1763">
            <v>33</v>
          </cell>
        </row>
        <row r="1765">
          <cell r="A1765">
            <v>34</v>
          </cell>
        </row>
        <row r="1769">
          <cell r="A1769">
            <v>1</v>
          </cell>
        </row>
        <row r="1770">
          <cell r="A1770">
            <v>2</v>
          </cell>
        </row>
        <row r="1771">
          <cell r="A1771">
            <v>3</v>
          </cell>
        </row>
        <row r="1772">
          <cell r="A1772">
            <v>4</v>
          </cell>
        </row>
        <row r="1773">
          <cell r="A1773">
            <v>5</v>
          </cell>
        </row>
        <row r="1774">
          <cell r="A1774">
            <v>6</v>
          </cell>
        </row>
        <row r="1775">
          <cell r="A1775">
            <v>7</v>
          </cell>
        </row>
        <row r="1776">
          <cell r="A1776">
            <v>8</v>
          </cell>
        </row>
        <row r="1777">
          <cell r="A1777">
            <v>9</v>
          </cell>
        </row>
        <row r="1778">
          <cell r="A1778">
            <v>10</v>
          </cell>
        </row>
        <row r="1779">
          <cell r="A1779">
            <v>11</v>
          </cell>
        </row>
        <row r="1780">
          <cell r="A1780">
            <v>12</v>
          </cell>
        </row>
        <row r="1781">
          <cell r="A1781">
            <v>13</v>
          </cell>
        </row>
        <row r="1782">
          <cell r="A1782">
            <v>14</v>
          </cell>
        </row>
        <row r="1783">
          <cell r="A1783">
            <v>15</v>
          </cell>
        </row>
        <row r="1784">
          <cell r="A1784">
            <v>16</v>
          </cell>
        </row>
        <row r="1785">
          <cell r="A1785">
            <v>17</v>
          </cell>
        </row>
        <row r="1789">
          <cell r="A1789">
            <v>1</v>
          </cell>
        </row>
        <row r="1790">
          <cell r="A1790">
            <v>2</v>
          </cell>
        </row>
        <row r="1791">
          <cell r="A1791">
            <v>3</v>
          </cell>
        </row>
        <row r="1792">
          <cell r="A1792">
            <v>4</v>
          </cell>
        </row>
        <row r="1793">
          <cell r="A1793">
            <v>5</v>
          </cell>
        </row>
        <row r="1794">
          <cell r="A1794">
            <v>6</v>
          </cell>
        </row>
        <row r="1795">
          <cell r="A1795">
            <v>7</v>
          </cell>
        </row>
        <row r="1796">
          <cell r="A1796">
            <v>8</v>
          </cell>
        </row>
        <row r="1797">
          <cell r="A1797">
            <v>9</v>
          </cell>
        </row>
        <row r="1798">
          <cell r="A1798">
            <v>10</v>
          </cell>
        </row>
        <row r="1799">
          <cell r="A1799">
            <v>11</v>
          </cell>
        </row>
        <row r="1800">
          <cell r="A1800">
            <v>12</v>
          </cell>
        </row>
        <row r="1801">
          <cell r="A1801">
            <v>13</v>
          </cell>
        </row>
        <row r="1802">
          <cell r="A1802">
            <v>14</v>
          </cell>
        </row>
        <row r="1803">
          <cell r="A1803">
            <v>15</v>
          </cell>
        </row>
        <row r="1804">
          <cell r="A1804">
            <v>16</v>
          </cell>
        </row>
        <row r="1805">
          <cell r="A1805">
            <v>17</v>
          </cell>
        </row>
        <row r="1806">
          <cell r="A1806">
            <v>18</v>
          </cell>
        </row>
        <row r="1807">
          <cell r="A1807">
            <v>19</v>
          </cell>
        </row>
        <row r="1808">
          <cell r="A1808">
            <v>20</v>
          </cell>
        </row>
        <row r="1809">
          <cell r="A1809">
            <v>21</v>
          </cell>
        </row>
        <row r="1810">
          <cell r="A1810">
            <v>22</v>
          </cell>
        </row>
        <row r="1816">
          <cell r="A1816">
            <v>1</v>
          </cell>
        </row>
        <row r="1817">
          <cell r="A1817">
            <v>2</v>
          </cell>
        </row>
        <row r="1818">
          <cell r="A1818">
            <v>3</v>
          </cell>
        </row>
        <row r="1819">
          <cell r="A1819">
            <v>4</v>
          </cell>
        </row>
        <row r="1820">
          <cell r="A1820">
            <v>5</v>
          </cell>
        </row>
        <row r="1821">
          <cell r="A1821">
            <v>6</v>
          </cell>
        </row>
        <row r="1822">
          <cell r="A1822">
            <v>7</v>
          </cell>
        </row>
        <row r="1823">
          <cell r="A1823">
            <v>8</v>
          </cell>
        </row>
        <row r="1824">
          <cell r="A1824">
            <v>9</v>
          </cell>
        </row>
        <row r="1825">
          <cell r="A1825">
            <v>10</v>
          </cell>
        </row>
        <row r="1826">
          <cell r="A1826">
            <v>11</v>
          </cell>
        </row>
        <row r="1827">
          <cell r="A1827">
            <v>12</v>
          </cell>
        </row>
        <row r="1828">
          <cell r="A1828">
            <v>13</v>
          </cell>
        </row>
        <row r="1829">
          <cell r="A1829">
            <v>14</v>
          </cell>
        </row>
        <row r="1830">
          <cell r="A1830">
            <v>15</v>
          </cell>
        </row>
        <row r="1831">
          <cell r="A1831">
            <v>16</v>
          </cell>
        </row>
        <row r="1832">
          <cell r="A1832">
            <v>17</v>
          </cell>
        </row>
        <row r="1833">
          <cell r="A1833">
            <v>18</v>
          </cell>
        </row>
        <row r="1834">
          <cell r="A1834">
            <v>19</v>
          </cell>
        </row>
        <row r="1835">
          <cell r="A1835">
            <v>20</v>
          </cell>
        </row>
        <row r="1836">
          <cell r="A1836">
            <v>21</v>
          </cell>
        </row>
        <row r="1837">
          <cell r="A1837">
            <v>22</v>
          </cell>
        </row>
        <row r="1838">
          <cell r="A1838">
            <v>23</v>
          </cell>
        </row>
        <row r="1839">
          <cell r="A1839">
            <v>24</v>
          </cell>
        </row>
        <row r="1840">
          <cell r="A1840">
            <v>25</v>
          </cell>
        </row>
        <row r="1841">
          <cell r="A1841">
            <v>26</v>
          </cell>
        </row>
        <row r="1842">
          <cell r="A1842">
            <v>27</v>
          </cell>
        </row>
        <row r="1843">
          <cell r="A1843">
            <v>28</v>
          </cell>
        </row>
        <row r="1844">
          <cell r="A1844">
            <v>29</v>
          </cell>
        </row>
        <row r="1845">
          <cell r="A1845">
            <v>30</v>
          </cell>
        </row>
        <row r="1847">
          <cell r="A1847">
            <v>31</v>
          </cell>
        </row>
        <row r="1862">
          <cell r="A1862">
            <v>32</v>
          </cell>
        </row>
        <row r="1868">
          <cell r="A1868">
            <v>33</v>
          </cell>
        </row>
        <row r="1869">
          <cell r="A1869">
            <v>34</v>
          </cell>
        </row>
        <row r="1870">
          <cell r="A1870">
            <v>35</v>
          </cell>
        </row>
        <row r="1871">
          <cell r="A1871">
            <v>36</v>
          </cell>
        </row>
        <row r="1872">
          <cell r="A1872">
            <v>37</v>
          </cell>
        </row>
        <row r="1873">
          <cell r="A1873">
            <v>38</v>
          </cell>
        </row>
        <row r="1874">
          <cell r="A1874">
            <v>39</v>
          </cell>
        </row>
        <row r="1875">
          <cell r="A1875">
            <v>40</v>
          </cell>
        </row>
        <row r="1876">
          <cell r="A1876">
            <v>41</v>
          </cell>
        </row>
        <row r="1877">
          <cell r="A1877">
            <v>42</v>
          </cell>
        </row>
        <row r="1878">
          <cell r="A1878">
            <v>43</v>
          </cell>
        </row>
        <row r="1879">
          <cell r="A1879">
            <v>44</v>
          </cell>
        </row>
        <row r="1880">
          <cell r="A1880">
            <v>45</v>
          </cell>
        </row>
        <row r="1881">
          <cell r="A1881">
            <v>46</v>
          </cell>
        </row>
        <row r="1885">
          <cell r="A1885">
            <v>1</v>
          </cell>
        </row>
        <row r="1886">
          <cell r="A1886">
            <v>2</v>
          </cell>
        </row>
        <row r="1887">
          <cell r="A1887">
            <v>3</v>
          </cell>
        </row>
        <row r="1888">
          <cell r="A1888">
            <v>4</v>
          </cell>
        </row>
        <row r="1889">
          <cell r="A1889">
            <v>5</v>
          </cell>
        </row>
        <row r="1890">
          <cell r="A1890">
            <v>6</v>
          </cell>
        </row>
        <row r="1891">
          <cell r="A1891">
            <v>7</v>
          </cell>
        </row>
        <row r="1892">
          <cell r="A1892">
            <v>8</v>
          </cell>
        </row>
        <row r="1893">
          <cell r="A1893">
            <v>9</v>
          </cell>
        </row>
        <row r="1894">
          <cell r="A1894">
            <v>10</v>
          </cell>
        </row>
        <row r="1895">
          <cell r="A1895">
            <v>11</v>
          </cell>
        </row>
        <row r="1896">
          <cell r="A1896">
            <v>12</v>
          </cell>
        </row>
        <row r="1897">
          <cell r="A1897">
            <v>13</v>
          </cell>
        </row>
        <row r="1898">
          <cell r="A1898">
            <v>14</v>
          </cell>
        </row>
        <row r="1899">
          <cell r="A1899">
            <v>15</v>
          </cell>
        </row>
        <row r="1900">
          <cell r="A1900">
            <v>16</v>
          </cell>
        </row>
        <row r="1901">
          <cell r="A1901">
            <v>17</v>
          </cell>
        </row>
        <row r="1902">
          <cell r="A1902">
            <v>18</v>
          </cell>
        </row>
        <row r="1903">
          <cell r="A1903">
            <v>19</v>
          </cell>
        </row>
        <row r="1904">
          <cell r="A1904">
            <v>20</v>
          </cell>
        </row>
        <row r="1905">
          <cell r="A1905">
            <v>21</v>
          </cell>
        </row>
        <row r="1906">
          <cell r="A1906">
            <v>22</v>
          </cell>
        </row>
        <row r="1907">
          <cell r="A1907">
            <v>23</v>
          </cell>
        </row>
        <row r="1908">
          <cell r="A1908">
            <v>24</v>
          </cell>
        </row>
        <row r="1909">
          <cell r="A1909">
            <v>25</v>
          </cell>
        </row>
        <row r="1910">
          <cell r="A1910">
            <v>26</v>
          </cell>
        </row>
        <row r="1911">
          <cell r="A1911">
            <v>27</v>
          </cell>
        </row>
        <row r="1912">
          <cell r="A1912">
            <v>28</v>
          </cell>
        </row>
        <row r="1913">
          <cell r="A1913">
            <v>29</v>
          </cell>
        </row>
        <row r="1914">
          <cell r="A1914">
            <v>30</v>
          </cell>
        </row>
        <row r="1915">
          <cell r="A1915">
            <v>31</v>
          </cell>
        </row>
        <row r="1922">
          <cell r="A1922" t="str">
            <v>1.</v>
          </cell>
        </row>
        <row r="1948">
          <cell r="A1948" t="str">
            <v>1.</v>
          </cell>
        </row>
        <row r="1951">
          <cell r="A1951" t="str">
            <v>2.</v>
          </cell>
        </row>
        <row r="1954">
          <cell r="A1954" t="str">
            <v>3.</v>
          </cell>
        </row>
        <row r="1958">
          <cell r="A1958" t="str">
            <v>4.</v>
          </cell>
        </row>
        <row r="1961">
          <cell r="A1961" t="str">
            <v>5.</v>
          </cell>
        </row>
        <row r="1964">
          <cell r="A1964" t="str">
            <v>6.</v>
          </cell>
        </row>
        <row r="1967">
          <cell r="A1967" t="str">
            <v>7.</v>
          </cell>
        </row>
        <row r="1970">
          <cell r="A1970" t="str">
            <v>8.</v>
          </cell>
        </row>
        <row r="1974">
          <cell r="A1974" t="str">
            <v>9.</v>
          </cell>
        </row>
        <row r="1977">
          <cell r="A1977" t="str">
            <v>10.</v>
          </cell>
        </row>
        <row r="1979">
          <cell r="A1979" t="str">
            <v>11.</v>
          </cell>
        </row>
        <row r="1981">
          <cell r="A1981" t="str">
            <v>12.</v>
          </cell>
        </row>
        <row r="1984">
          <cell r="A1984" t="str">
            <v>13.</v>
          </cell>
        </row>
        <row r="1989">
          <cell r="A1989" t="str">
            <v>14.</v>
          </cell>
        </row>
        <row r="1993">
          <cell r="A1993" t="str">
            <v>15.</v>
          </cell>
        </row>
        <row r="1996">
          <cell r="A1996" t="str">
            <v>16.</v>
          </cell>
        </row>
        <row r="2000">
          <cell r="A2000" t="str">
            <v>17.</v>
          </cell>
        </row>
        <row r="2002">
          <cell r="A2002" t="str">
            <v>18.</v>
          </cell>
        </row>
        <row r="2004">
          <cell r="A2004" t="str">
            <v>19.</v>
          </cell>
        </row>
        <row r="2006">
          <cell r="A2006" t="str">
            <v>20.</v>
          </cell>
        </row>
        <row r="2009">
          <cell r="A2009" t="str">
            <v>1.</v>
          </cell>
        </row>
        <row r="2014">
          <cell r="A2014" t="str">
            <v>2.</v>
          </cell>
        </row>
        <row r="2019">
          <cell r="A2019" t="str">
            <v>3.</v>
          </cell>
        </row>
        <row r="2023">
          <cell r="A2023" t="str">
            <v>4.</v>
          </cell>
        </row>
        <row r="2025">
          <cell r="A2025" t="str">
            <v>5.</v>
          </cell>
        </row>
        <row r="2027">
          <cell r="A2027" t="str">
            <v>6.</v>
          </cell>
        </row>
        <row r="2029">
          <cell r="A2029" t="str">
            <v>7.</v>
          </cell>
        </row>
        <row r="2031">
          <cell r="A2031" t="str">
            <v>8.</v>
          </cell>
        </row>
        <row r="2035">
          <cell r="A2035" t="str">
            <v>9.</v>
          </cell>
        </row>
        <row r="2039">
          <cell r="A2039" t="str">
            <v>1.</v>
          </cell>
        </row>
        <row r="2044">
          <cell r="A2044" t="str">
            <v>1.</v>
          </cell>
        </row>
        <row r="2047">
          <cell r="A2047" t="str">
            <v>2.</v>
          </cell>
        </row>
        <row r="2050">
          <cell r="A2050" t="str">
            <v>3.</v>
          </cell>
        </row>
        <row r="2054">
          <cell r="A2054" t="str">
            <v>4.</v>
          </cell>
        </row>
        <row r="2056">
          <cell r="A2056" t="str">
            <v>5.</v>
          </cell>
        </row>
        <row r="2058">
          <cell r="A2058" t="str">
            <v>6.</v>
          </cell>
        </row>
        <row r="2063">
          <cell r="A2063" t="str">
            <v>7.</v>
          </cell>
        </row>
        <row r="2066">
          <cell r="A2066" t="str">
            <v>8.</v>
          </cell>
        </row>
        <row r="2068">
          <cell r="A2068" t="str">
            <v>9.</v>
          </cell>
        </row>
        <row r="2075">
          <cell r="A2075">
            <v>1</v>
          </cell>
        </row>
        <row r="2087">
          <cell r="A2087" t="str">
            <v>1.1</v>
          </cell>
        </row>
        <row r="2091">
          <cell r="A2091" t="str">
            <v>2.1</v>
          </cell>
        </row>
        <row r="2093">
          <cell r="A2093" t="str">
            <v>2.2</v>
          </cell>
        </row>
        <row r="2095">
          <cell r="A2095" t="str">
            <v>2.3</v>
          </cell>
        </row>
        <row r="2099">
          <cell r="A2099" t="str">
            <v>3.1</v>
          </cell>
        </row>
        <row r="2101">
          <cell r="A2101" t="str">
            <v>3.2</v>
          </cell>
        </row>
        <row r="2106">
          <cell r="A2106" t="str">
            <v>4.1</v>
          </cell>
        </row>
        <row r="2108">
          <cell r="A2108" t="str">
            <v>4.2</v>
          </cell>
        </row>
        <row r="2112">
          <cell r="A2112" t="str">
            <v>5.1</v>
          </cell>
        </row>
        <row r="2114">
          <cell r="A2114" t="str">
            <v>5.2</v>
          </cell>
        </row>
        <row r="2118">
          <cell r="A2118" t="str">
            <v>6.1</v>
          </cell>
        </row>
        <row r="2120">
          <cell r="A2120" t="str">
            <v>6.2</v>
          </cell>
        </row>
        <row r="2122">
          <cell r="A2122" t="str">
            <v>6.3</v>
          </cell>
        </row>
        <row r="2124">
          <cell r="A2124" t="str">
            <v>6.4</v>
          </cell>
        </row>
        <row r="2126">
          <cell r="A2126" t="str">
            <v>6.5</v>
          </cell>
        </row>
        <row r="2133">
          <cell r="A2133" t="str">
            <v>20.1</v>
          </cell>
        </row>
        <row r="2135">
          <cell r="A2135" t="str">
            <v>20.2</v>
          </cell>
        </row>
        <row r="2137">
          <cell r="A2137" t="str">
            <v>20.3</v>
          </cell>
        </row>
        <row r="2139">
          <cell r="A2139" t="str">
            <v>20.4</v>
          </cell>
        </row>
        <row r="2143">
          <cell r="A2143" t="str">
            <v>21.1</v>
          </cell>
        </row>
        <row r="2148">
          <cell r="A2148" t="str">
            <v>22.1</v>
          </cell>
        </row>
        <row r="2150">
          <cell r="A2150" t="str">
            <v>22.2</v>
          </cell>
        </row>
        <row r="2155">
          <cell r="A2155" t="str">
            <v>24.1</v>
          </cell>
        </row>
        <row r="2157">
          <cell r="A2157" t="str">
            <v>24.2</v>
          </cell>
        </row>
        <row r="2159">
          <cell r="A2159" t="str">
            <v>24.3</v>
          </cell>
        </row>
        <row r="2161">
          <cell r="A2161" t="str">
            <v>24.4</v>
          </cell>
        </row>
        <row r="2165">
          <cell r="A2165" t="str">
            <v>25.1</v>
          </cell>
        </row>
        <row r="2167">
          <cell r="A2167" t="str">
            <v>25.2</v>
          </cell>
        </row>
        <row r="2170">
          <cell r="A2170" t="str">
            <v>26.1</v>
          </cell>
        </row>
        <row r="2172">
          <cell r="A2172" t="str">
            <v>26.2</v>
          </cell>
        </row>
        <row r="2178">
          <cell r="A2178" t="str">
            <v>27.1</v>
          </cell>
        </row>
        <row r="2180">
          <cell r="A2180" t="str">
            <v>27.2</v>
          </cell>
        </row>
        <row r="2185">
          <cell r="A2185" t="str">
            <v>28.1</v>
          </cell>
        </row>
        <row r="2190">
          <cell r="A2190" t="str">
            <v>29.1</v>
          </cell>
        </row>
        <row r="2192">
          <cell r="A2192" t="str">
            <v>29.2</v>
          </cell>
        </row>
        <row r="2196">
          <cell r="A2196" t="str">
            <v>30.1</v>
          </cell>
        </row>
        <row r="2198">
          <cell r="A2198" t="str">
            <v>30.2</v>
          </cell>
        </row>
        <row r="2202">
          <cell r="A2202" t="str">
            <v>31.1</v>
          </cell>
        </row>
        <row r="2204">
          <cell r="A2204" t="str">
            <v>31.2</v>
          </cell>
        </row>
        <row r="2210">
          <cell r="A2210" t="str">
            <v>32.1</v>
          </cell>
        </row>
        <row r="2212">
          <cell r="A2212" t="str">
            <v>32.2</v>
          </cell>
        </row>
        <row r="2214">
          <cell r="A2214" t="str">
            <v>32.3</v>
          </cell>
        </row>
        <row r="2216">
          <cell r="A2216" t="str">
            <v>32.4</v>
          </cell>
        </row>
        <row r="2222">
          <cell r="A2222" t="str">
            <v>33.1</v>
          </cell>
        </row>
        <row r="2224">
          <cell r="A2224" t="str">
            <v>33.2</v>
          </cell>
        </row>
        <row r="2228">
          <cell r="A2228" t="str">
            <v>34.1</v>
          </cell>
        </row>
        <row r="2230">
          <cell r="A2230" t="str">
            <v>34.2</v>
          </cell>
        </row>
        <row r="2236">
          <cell r="A2236" t="str">
            <v>35.1</v>
          </cell>
        </row>
        <row r="2238">
          <cell r="A2238" t="str">
            <v>35.2</v>
          </cell>
        </row>
        <row r="2242">
          <cell r="A2242" t="str">
            <v>35a.1</v>
          </cell>
        </row>
        <row r="2248">
          <cell r="A2248" t="str">
            <v>36.1</v>
          </cell>
        </row>
        <row r="2252">
          <cell r="A2252" t="str">
            <v>37.1</v>
          </cell>
        </row>
        <row r="2259">
          <cell r="A2259" t="str">
            <v>38.1</v>
          </cell>
        </row>
        <row r="2261">
          <cell r="A2261" t="str">
            <v>38.2</v>
          </cell>
        </row>
        <row r="2265">
          <cell r="A2265" t="str">
            <v>39.1</v>
          </cell>
        </row>
        <row r="2270">
          <cell r="A2270" t="str">
            <v>40.1</v>
          </cell>
        </row>
        <row r="2272">
          <cell r="A2272" t="str">
            <v>40.2</v>
          </cell>
        </row>
        <row r="2276">
          <cell r="A2276" t="str">
            <v>42.1</v>
          </cell>
        </row>
        <row r="2278">
          <cell r="A2278" t="str">
            <v>42.2</v>
          </cell>
        </row>
        <row r="2280">
          <cell r="A2280" t="str">
            <v>42.3</v>
          </cell>
        </row>
        <row r="2282">
          <cell r="A2282" t="str">
            <v>42.4</v>
          </cell>
        </row>
        <row r="2287">
          <cell r="A2287" t="str">
            <v>50.1</v>
          </cell>
        </row>
        <row r="2290">
          <cell r="A2290" t="str">
            <v>51.1</v>
          </cell>
        </row>
        <row r="2292">
          <cell r="A2292" t="str">
            <v>51.2</v>
          </cell>
        </row>
        <row r="2296">
          <cell r="A2296" t="str">
            <v>52.1</v>
          </cell>
        </row>
        <row r="2300">
          <cell r="A2300" t="str">
            <v>60.1</v>
          </cell>
        </row>
        <row r="2303">
          <cell r="A2303" t="str">
            <v>60.2</v>
          </cell>
        </row>
        <row r="2305">
          <cell r="A2305" t="str">
            <v>60.3</v>
          </cell>
        </row>
        <row r="2307">
          <cell r="A2307" t="str">
            <v>60.4</v>
          </cell>
        </row>
        <row r="2311">
          <cell r="A2311" t="str">
            <v>61.1</v>
          </cell>
        </row>
        <row r="2314">
          <cell r="A2314" t="str">
            <v>61.2 a další</v>
          </cell>
        </row>
        <row r="2318">
          <cell r="A2318" t="str">
            <v>62.1</v>
          </cell>
        </row>
        <row r="2321">
          <cell r="A2321" t="str">
            <v>62.2 a další</v>
          </cell>
        </row>
      </sheetData>
      <sheetData sheetId="5">
        <row r="11">
          <cell r="A11" t="str">
            <v>1.</v>
          </cell>
        </row>
        <row r="12">
          <cell r="A12" t="str">
            <v>2.</v>
          </cell>
        </row>
        <row r="13">
          <cell r="A13" t="str">
            <v>3.</v>
          </cell>
        </row>
        <row r="15">
          <cell r="A15" t="str">
            <v>4.</v>
          </cell>
        </row>
        <row r="16">
          <cell r="A16" t="str">
            <v>5.</v>
          </cell>
        </row>
        <row r="19">
          <cell r="A19" t="str">
            <v>6.</v>
          </cell>
        </row>
        <row r="20">
          <cell r="A20" t="str">
            <v>7.</v>
          </cell>
        </row>
        <row r="21">
          <cell r="A21" t="str">
            <v>8.</v>
          </cell>
        </row>
        <row r="23">
          <cell r="A23" t="str">
            <v>9.</v>
          </cell>
        </row>
        <row r="24">
          <cell r="A24" t="str">
            <v>10.</v>
          </cell>
        </row>
        <row r="29">
          <cell r="A29" t="str">
            <v>1.</v>
          </cell>
        </row>
        <row r="30">
          <cell r="A30" t="str">
            <v>2.</v>
          </cell>
        </row>
        <row r="31">
          <cell r="A31" t="str">
            <v>3.</v>
          </cell>
        </row>
        <row r="32">
          <cell r="A32" t="str">
            <v>4.</v>
          </cell>
        </row>
        <row r="33">
          <cell r="A33" t="str">
            <v>6.</v>
          </cell>
        </row>
        <row r="34">
          <cell r="A34" t="str">
            <v>7.</v>
          </cell>
        </row>
        <row r="35">
          <cell r="A35" t="str">
            <v>8.</v>
          </cell>
        </row>
        <row r="36">
          <cell r="A36" t="str">
            <v>9.</v>
          </cell>
        </row>
        <row r="37">
          <cell r="A37" t="str">
            <v>10.</v>
          </cell>
        </row>
        <row r="42">
          <cell r="A42" t="str">
            <v>1.</v>
          </cell>
        </row>
        <row r="43">
          <cell r="A43" t="str">
            <v>2.</v>
          </cell>
        </row>
        <row r="44">
          <cell r="A44" t="str">
            <v>3.</v>
          </cell>
        </row>
        <row r="45">
          <cell r="A45" t="str">
            <v>4.</v>
          </cell>
        </row>
        <row r="46">
          <cell r="A46" t="str">
            <v>5.</v>
          </cell>
        </row>
        <row r="47">
          <cell r="A47" t="str">
            <v>6.</v>
          </cell>
        </row>
        <row r="48">
          <cell r="A48" t="str">
            <v>7.</v>
          </cell>
        </row>
        <row r="53">
          <cell r="A53" t="str">
            <v>1.</v>
          </cell>
        </row>
        <row r="54">
          <cell r="A54" t="str">
            <v>2.</v>
          </cell>
        </row>
        <row r="55">
          <cell r="A55" t="str">
            <v>3.</v>
          </cell>
        </row>
        <row r="56">
          <cell r="A56" t="str">
            <v>4.</v>
          </cell>
        </row>
        <row r="57">
          <cell r="A57" t="str">
            <v>5.</v>
          </cell>
        </row>
        <row r="58">
          <cell r="A58" t="str">
            <v>6.</v>
          </cell>
        </row>
        <row r="63">
          <cell r="A63" t="str">
            <v>1.</v>
          </cell>
        </row>
        <row r="64">
          <cell r="A64" t="str">
            <v>2.</v>
          </cell>
        </row>
        <row r="65">
          <cell r="A65" t="str">
            <v>3.</v>
          </cell>
        </row>
        <row r="66">
          <cell r="A66" t="str">
            <v>4.</v>
          </cell>
        </row>
        <row r="67">
          <cell r="A67" t="str">
            <v>5.</v>
          </cell>
        </row>
        <row r="68">
          <cell r="A68" t="str">
            <v>6.</v>
          </cell>
        </row>
        <row r="69">
          <cell r="A69" t="str">
            <v>7.</v>
          </cell>
        </row>
        <row r="70">
          <cell r="A70" t="str">
            <v>8.</v>
          </cell>
        </row>
        <row r="71">
          <cell r="A71" t="str">
            <v>9.</v>
          </cell>
        </row>
        <row r="72">
          <cell r="A72" t="str">
            <v>10.</v>
          </cell>
        </row>
        <row r="77">
          <cell r="A77" t="str">
            <v>1.</v>
          </cell>
        </row>
        <row r="78">
          <cell r="A78" t="str">
            <v>2.</v>
          </cell>
        </row>
        <row r="79">
          <cell r="A79" t="str">
            <v>3.</v>
          </cell>
        </row>
        <row r="80">
          <cell r="A80" t="str">
            <v>4.</v>
          </cell>
        </row>
        <row r="81">
          <cell r="A81" t="str">
            <v>5.</v>
          </cell>
        </row>
        <row r="82">
          <cell r="A82" t="str">
            <v>6.</v>
          </cell>
        </row>
        <row r="83">
          <cell r="A83" t="str">
            <v>7.</v>
          </cell>
        </row>
        <row r="84">
          <cell r="A84" t="str">
            <v>8.</v>
          </cell>
        </row>
        <row r="85">
          <cell r="A85" t="str">
            <v>9.</v>
          </cell>
        </row>
        <row r="86">
          <cell r="A86" t="str">
            <v>10.</v>
          </cell>
        </row>
        <row r="87">
          <cell r="A87" t="str">
            <v>11.</v>
          </cell>
        </row>
        <row r="88">
          <cell r="A88" t="str">
            <v>12.</v>
          </cell>
        </row>
        <row r="89">
          <cell r="A89" t="str">
            <v>13.</v>
          </cell>
        </row>
        <row r="90">
          <cell r="A90" t="str">
            <v>14.</v>
          </cell>
        </row>
        <row r="91">
          <cell r="A91" t="str">
            <v>15.</v>
          </cell>
        </row>
        <row r="92">
          <cell r="A92" t="str">
            <v>16.</v>
          </cell>
        </row>
        <row r="93">
          <cell r="A93" t="str">
            <v>17.</v>
          </cell>
        </row>
        <row r="94">
          <cell r="A94" t="str">
            <v>18.</v>
          </cell>
        </row>
        <row r="95">
          <cell r="A95" t="str">
            <v>19.</v>
          </cell>
        </row>
        <row r="96">
          <cell r="A96" t="str">
            <v>20.</v>
          </cell>
        </row>
        <row r="97">
          <cell r="A97" t="str">
            <v>21.</v>
          </cell>
        </row>
        <row r="98">
          <cell r="A98" t="str">
            <v>22.</v>
          </cell>
        </row>
        <row r="104">
          <cell r="A104" t="str">
            <v>1.</v>
          </cell>
        </row>
        <row r="107">
          <cell r="A107" t="str">
            <v>2.</v>
          </cell>
        </row>
        <row r="112">
          <cell r="A112" t="str">
            <v>3.</v>
          </cell>
        </row>
        <row r="114">
          <cell r="A114" t="str">
            <v>4.</v>
          </cell>
        </row>
        <row r="116">
          <cell r="A116" t="str">
            <v>5.</v>
          </cell>
        </row>
        <row r="119">
          <cell r="A119" t="str">
            <v>6.</v>
          </cell>
        </row>
        <row r="121">
          <cell r="A121" t="str">
            <v>7.</v>
          </cell>
        </row>
        <row r="123">
          <cell r="A123" t="str">
            <v>8.</v>
          </cell>
        </row>
        <row r="129">
          <cell r="A129" t="str">
            <v>9.</v>
          </cell>
        </row>
        <row r="131">
          <cell r="A131" t="str">
            <v>10.</v>
          </cell>
        </row>
        <row r="134">
          <cell r="A134" t="str">
            <v>11.</v>
          </cell>
        </row>
        <row r="138">
          <cell r="A138" t="str">
            <v>12.</v>
          </cell>
        </row>
        <row r="141">
          <cell r="A141" t="str">
            <v>13.</v>
          </cell>
        </row>
        <row r="144">
          <cell r="A144" t="str">
            <v>14.</v>
          </cell>
        </row>
        <row r="147">
          <cell r="A147" t="str">
            <v>15.</v>
          </cell>
        </row>
        <row r="150">
          <cell r="A150" t="str">
            <v>16.</v>
          </cell>
        </row>
        <row r="152">
          <cell r="A152" t="str">
            <v>17.</v>
          </cell>
        </row>
        <row r="156">
          <cell r="A156" t="str">
            <v>18.</v>
          </cell>
        </row>
        <row r="168">
          <cell r="A168" t="str">
            <v>19.</v>
          </cell>
        </row>
        <row r="171">
          <cell r="A171" t="str">
            <v>20.</v>
          </cell>
        </row>
        <row r="176">
          <cell r="A176" t="str">
            <v>21.</v>
          </cell>
        </row>
        <row r="178">
          <cell r="A178" t="str">
            <v>22.</v>
          </cell>
        </row>
        <row r="182">
          <cell r="A182" t="str">
            <v>23.</v>
          </cell>
        </row>
        <row r="187">
          <cell r="A187" t="str">
            <v>1.</v>
          </cell>
        </row>
        <row r="188">
          <cell r="A188" t="str">
            <v>2.</v>
          </cell>
        </row>
        <row r="190">
          <cell r="A190" t="str">
            <v>3.</v>
          </cell>
        </row>
        <row r="191">
          <cell r="A191" t="str">
            <v>4.</v>
          </cell>
        </row>
        <row r="192">
          <cell r="A192" t="str">
            <v>5.</v>
          </cell>
        </row>
        <row r="193">
          <cell r="A193" t="str">
            <v>6.</v>
          </cell>
        </row>
        <row r="194">
          <cell r="A194">
            <v>7</v>
          </cell>
        </row>
        <row r="195">
          <cell r="A195" t="str">
            <v>8.</v>
          </cell>
        </row>
        <row r="196">
          <cell r="A196" t="str">
            <v>9.</v>
          </cell>
        </row>
        <row r="197">
          <cell r="A197" t="str">
            <v>10.</v>
          </cell>
        </row>
        <row r="198">
          <cell r="A198" t="str">
            <v>11.</v>
          </cell>
        </row>
        <row r="199">
          <cell r="A199" t="str">
            <v>12.</v>
          </cell>
        </row>
        <row r="201">
          <cell r="A201" t="str">
            <v>13.</v>
          </cell>
        </row>
        <row r="204">
          <cell r="A204" t="str">
            <v>14.</v>
          </cell>
        </row>
        <row r="206">
          <cell r="A206" t="str">
            <v>15.</v>
          </cell>
        </row>
        <row r="213">
          <cell r="A213" t="str">
            <v>1.</v>
          </cell>
        </row>
        <row r="214">
          <cell r="A214" t="str">
            <v>2.</v>
          </cell>
        </row>
        <row r="215">
          <cell r="A215" t="str">
            <v>3.</v>
          </cell>
        </row>
        <row r="216">
          <cell r="A216" t="str">
            <v>4.</v>
          </cell>
        </row>
        <row r="217">
          <cell r="A217" t="str">
            <v>5.</v>
          </cell>
        </row>
        <row r="218">
          <cell r="A218" t="str">
            <v>6.</v>
          </cell>
        </row>
        <row r="219">
          <cell r="A219" t="str">
            <v>7.</v>
          </cell>
        </row>
      </sheetData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01 - 06 ELEKTROINSTALACE"/>
      <sheetName val="SO 01 _ 06 ELEKTROINSTALACE"/>
      <sheetName val="mar"/>
      <sheetName val="úprava faktury"/>
      <sheetName val="dodav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dodávky"/>
      <sheetName val="Rekapitulace"/>
      <sheetName val="Rozpočet"/>
      <sheetName val="Sazby"/>
      <sheetName val="ZS"/>
      <sheetName val="konf"/>
      <sheetName val="Volba_rekap"/>
      <sheetName val="Schema_roz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 11.1A Výkaz výměr"/>
      <sheetName val="SO 11.1B Výkaz výměr"/>
      <sheetName val="SO 11.1ST Výkaz výměr"/>
      <sheetName val="SO 11.1B Kniha specifikací"/>
      <sheetName val="SO 11.1ST Kniha specifikací"/>
      <sheetName val="SO 11_1A Výkaz výměr"/>
      <sheetName val="SO11_1AVýkazvýměr"/>
      <sheetName val="SO_11_1A_Výkaz_výměr"/>
      <sheetName val="SO_11_1B_Výkaz_výměr"/>
      <sheetName val="SO_11_1ST_Výkaz_výměr"/>
      <sheetName val="SO_11_1B_Kniha_specifikací"/>
      <sheetName val="SO_11_1ST_Kniha_specifikací"/>
      <sheetName val="SO_11_1A_Výkaz_výměr1"/>
      <sheetName val="SO_11_1A_Výkaz_výměr2"/>
      <sheetName val="SO_11_1B_Výkaz_výměr1"/>
      <sheetName val="SO_11_1ST_Výkaz_výměr1"/>
      <sheetName val="SO_11_1B_Kniha_specifikací1"/>
      <sheetName val="SO_11_1ST_Kniha_specifikací1"/>
      <sheetName val="SO_11_1A_Výkaz_výměr3"/>
      <sheetName val="SO 11"/>
      <sheetName val="Rozpočet"/>
      <sheetName val="SO_11_1A_Výkaz_výměr16"/>
      <sheetName val="SO_11_1B_Výkaz_výměr8"/>
      <sheetName val="SO_11_1ST_Výkaz_výměr8"/>
      <sheetName val="SO_11_1B_Kniha_specifikací8"/>
      <sheetName val="SO_11_1ST_Kniha_specifikací8"/>
      <sheetName val="SO_11_1A_Výkaz_výměr17"/>
      <sheetName val="SO_11_1A_Výkaz_výměr6"/>
      <sheetName val="SO_11_1B_Výkaz_výměr3"/>
      <sheetName val="SO_11_1ST_Výkaz_výměr3"/>
      <sheetName val="SO_11_1B_Kniha_specifikací3"/>
      <sheetName val="SO_11_1ST_Kniha_specifikací3"/>
      <sheetName val="SO_11_1A_Výkaz_výměr7"/>
      <sheetName val="SO_11_1A_Výkaz_výměr4"/>
      <sheetName val="SO_11_1B_Výkaz_výměr2"/>
      <sheetName val="SO_11_1ST_Výkaz_výměr2"/>
      <sheetName val="SO_11_1B_Kniha_specifikací2"/>
      <sheetName val="SO_11_1ST_Kniha_specifikací2"/>
      <sheetName val="SO_11_1A_Výkaz_výměr5"/>
      <sheetName val="SO_11_1A_Výkaz_výměr8"/>
      <sheetName val="SO_11_1B_Výkaz_výměr4"/>
      <sheetName val="SO_11_1ST_Výkaz_výměr4"/>
      <sheetName val="SO_11_1B_Kniha_specifikací4"/>
      <sheetName val="SO_11_1ST_Kniha_specifikací4"/>
      <sheetName val="SO_11_1A_Výkaz_výměr9"/>
      <sheetName val="SO_11_1A_Výkaz_výměr10"/>
      <sheetName val="SO_11_1B_Výkaz_výměr5"/>
      <sheetName val="SO_11_1ST_Výkaz_výměr5"/>
      <sheetName val="SO_11_1B_Kniha_specifikací5"/>
      <sheetName val="SO_11_1ST_Kniha_specifikací5"/>
      <sheetName val="SO_11_1A_Výkaz_výměr11"/>
      <sheetName val="SO_11_1A_Výkaz_výměr12"/>
      <sheetName val="SO_11_1B_Výkaz_výměr6"/>
      <sheetName val="SO_11_1ST_Výkaz_výměr6"/>
      <sheetName val="SO_11_1B_Kniha_specifikací6"/>
      <sheetName val="SO_11_1ST_Kniha_specifikací6"/>
      <sheetName val="SO_11_1A_Výkaz_výměr13"/>
      <sheetName val="SO_11_1A_Výkaz_výměr14"/>
      <sheetName val="SO_11_1B_Výkaz_výměr7"/>
      <sheetName val="SO_11_1ST_Výkaz_výměr7"/>
      <sheetName val="SO_11_1B_Kniha_specifikací7"/>
      <sheetName val="SO_11_1ST_Kniha_specifikací7"/>
      <sheetName val="SO_11_1A_Výkaz_výměr15"/>
      <sheetName val="SO_11_1A_Výkaz_výměr18"/>
      <sheetName val="SO_11_1B_Výkaz_výměr9"/>
      <sheetName val="SO_11_1ST_Výkaz_výměr9"/>
      <sheetName val="SO_11_1B_Kniha_specifikací9"/>
      <sheetName val="SO_11_1ST_Kniha_specifikací9"/>
      <sheetName val="SO_11_1A_Výkaz_výměr19"/>
      <sheetName val="SO_11_1A_Výkaz_výměr20"/>
      <sheetName val="SO_11_1B_Výkaz_výměr10"/>
      <sheetName val="SO_11_1ST_Výkaz_výměr10"/>
      <sheetName val="SO_11_1B_Kniha_specifikací10"/>
      <sheetName val="SO_11_1ST_Kniha_specifikací10"/>
      <sheetName val="SO_11_1A_Výkaz_výměr21"/>
      <sheetName val="SO_11_1A_Výkaz_výměr22"/>
      <sheetName val="SO_11_1B_Výkaz_výměr11"/>
      <sheetName val="SO_11_1ST_Výkaz_výměr11"/>
      <sheetName val="SO_11_1B_Kniha_specifikací11"/>
      <sheetName val="SO_11_1ST_Kniha_specifikací11"/>
      <sheetName val="SO_11_1A_Výkaz_výměr23"/>
      <sheetName val="SO_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ALKA"/>
      <sheetName val="VV"/>
      <sheetName val="List2"/>
      <sheetName val="List3"/>
      <sheetName val="armstrong"/>
      <sheetName val="položkový rozpočet"/>
      <sheetName val="rekapitulace"/>
      <sheetName val="položky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116"/>
  <sheetViews>
    <sheetView showGridLines="0" tabSelected="1" view="pageBreakPreview" zoomScaleNormal="100" zoomScaleSheetLayoutView="100" workbookViewId="0">
      <pane ySplit="1" topLeftCell="A2" activePane="bottomLeft" state="frozen"/>
      <selection activeCell="A24" sqref="A24:XFD24"/>
      <selection pane="bottomLeft" activeCell="K4" sqref="K4:AO4"/>
    </sheetView>
  </sheetViews>
  <sheetFormatPr defaultColWidth="9.28515625" defaultRowHeight="10.199999999999999" outlineLevelCol="1"/>
  <cols>
    <col min="1" max="1" width="8.28515625" style="142" customWidth="1"/>
    <col min="2" max="2" width="1.7109375" style="142" customWidth="1"/>
    <col min="3" max="3" width="5.42578125" style="142" customWidth="1"/>
    <col min="4" max="7" width="2.42578125" style="142" customWidth="1"/>
    <col min="8" max="8" width="9.28515625" style="142" customWidth="1"/>
    <col min="9" max="15" width="2.42578125" style="142" customWidth="1"/>
    <col min="16" max="16" width="10.85546875" style="142" customWidth="1"/>
    <col min="17" max="17" width="17.42578125" style="142" customWidth="1"/>
    <col min="18" max="25" width="2.42578125" style="142" customWidth="1"/>
    <col min="26" max="26" width="4.42578125" style="142" customWidth="1"/>
    <col min="27" max="33" width="2.42578125" style="142" customWidth="1"/>
    <col min="34" max="34" width="3.28515625" style="142" customWidth="1"/>
    <col min="35" max="37" width="2.42578125" style="142" customWidth="1"/>
    <col min="38" max="38" width="15.42578125" style="142" customWidth="1"/>
    <col min="39" max="39" width="3.28515625" style="142" customWidth="1"/>
    <col min="40" max="40" width="20.28515625" style="142" customWidth="1"/>
    <col min="41" max="41" width="7.42578125" style="142" customWidth="1"/>
    <col min="42" max="42" width="4.140625" style="142" customWidth="1"/>
    <col min="43" max="43" width="1.7109375" style="142" customWidth="1"/>
    <col min="44" max="44" width="3" style="142" customWidth="1"/>
    <col min="45" max="45" width="17.42578125" style="141" hidden="1" customWidth="1" outlineLevel="1"/>
    <col min="46" max="46" width="28.140625" style="141" hidden="1" customWidth="1" outlineLevel="1"/>
    <col min="47" max="47" width="14.7109375" style="141" hidden="1" customWidth="1" outlineLevel="1"/>
    <col min="48" max="48" width="9.28515625" style="141" hidden="1" customWidth="1" outlineLevel="1"/>
    <col min="49" max="49" width="26.7109375" style="142" customWidth="1" collapsed="1"/>
    <col min="50" max="16384" width="9.28515625" style="142"/>
  </cols>
  <sheetData>
    <row r="2" spans="3:42" ht="36.9" customHeight="1">
      <c r="C2" s="146" t="s">
        <v>1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</row>
    <row r="3" spans="3:42" ht="14.4" customHeight="1">
      <c r="D3" s="140" t="s">
        <v>2</v>
      </c>
      <c r="K3" s="136">
        <v>2502</v>
      </c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</row>
    <row r="4" spans="3:42" ht="36.9" customHeight="1">
      <c r="D4" s="135" t="s">
        <v>3</v>
      </c>
      <c r="K4" s="109" t="s">
        <v>230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</row>
    <row r="5" spans="3:42" ht="14.4" customHeight="1">
      <c r="D5" s="140" t="s">
        <v>4</v>
      </c>
      <c r="K5" s="145" t="s">
        <v>0</v>
      </c>
      <c r="AK5" s="140" t="s">
        <v>5</v>
      </c>
      <c r="AN5" s="145" t="s">
        <v>0</v>
      </c>
    </row>
    <row r="6" spans="3:42" ht="36" customHeight="1">
      <c r="D6" s="140" t="s">
        <v>6</v>
      </c>
      <c r="K6" s="127" t="s">
        <v>233</v>
      </c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40" t="s">
        <v>7</v>
      </c>
      <c r="AN6" s="154"/>
    </row>
    <row r="7" spans="3:42" ht="14.4" customHeight="1"/>
    <row r="8" spans="3:42" ht="39" customHeight="1">
      <c r="D8" s="140" t="s">
        <v>8</v>
      </c>
      <c r="K8" s="139" t="s">
        <v>114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  <c r="AK8" s="140" t="s">
        <v>9</v>
      </c>
      <c r="AN8" s="145" t="s">
        <v>0</v>
      </c>
    </row>
    <row r="9" spans="3:42" ht="18.45" customHeight="1">
      <c r="E9" s="145"/>
      <c r="AK9" s="140" t="s">
        <v>10</v>
      </c>
      <c r="AN9" s="145" t="s">
        <v>0</v>
      </c>
    </row>
    <row r="10" spans="3:42" ht="6.9" customHeight="1"/>
    <row r="11" spans="3:42" ht="14.4" customHeight="1">
      <c r="D11" s="140" t="s">
        <v>11</v>
      </c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K11" s="140" t="s">
        <v>9</v>
      </c>
      <c r="AN11" s="145" t="s">
        <v>0</v>
      </c>
    </row>
    <row r="12" spans="3:42" ht="11.4">
      <c r="E12" s="145" t="s">
        <v>12</v>
      </c>
      <c r="AK12" s="140" t="s">
        <v>10</v>
      </c>
      <c r="AN12" s="145" t="s">
        <v>0</v>
      </c>
    </row>
    <row r="13" spans="3:42" ht="6.9" customHeight="1"/>
    <row r="14" spans="3:42" ht="14.4" customHeight="1">
      <c r="D14" s="140" t="s">
        <v>13</v>
      </c>
      <c r="AK14" s="140" t="s">
        <v>9</v>
      </c>
      <c r="AN14" s="145" t="s">
        <v>0</v>
      </c>
    </row>
    <row r="15" spans="3:42" ht="18.45" customHeight="1">
      <c r="E15" s="145" t="s">
        <v>104</v>
      </c>
      <c r="AK15" s="140" t="s">
        <v>10</v>
      </c>
      <c r="AN15" s="145" t="s">
        <v>0</v>
      </c>
    </row>
    <row r="17" spans="4:41" ht="14.4" customHeight="1">
      <c r="D17" s="140" t="s">
        <v>14</v>
      </c>
      <c r="AK17" s="140" t="s">
        <v>9</v>
      </c>
      <c r="AN17" s="145" t="s">
        <v>0</v>
      </c>
    </row>
    <row r="18" spans="4:41" ht="18.45" customHeight="1">
      <c r="E18" s="145" t="s">
        <v>15</v>
      </c>
      <c r="AK18" s="140" t="s">
        <v>10</v>
      </c>
      <c r="AN18" s="145" t="s">
        <v>0</v>
      </c>
    </row>
    <row r="19" spans="4:41" ht="6.9" customHeight="1"/>
    <row r="20" spans="4:41" ht="14.4" customHeight="1">
      <c r="D20" s="140" t="s">
        <v>89</v>
      </c>
      <c r="AK20" s="140"/>
      <c r="AN20" s="145" t="s">
        <v>0</v>
      </c>
    </row>
    <row r="21" spans="4:41" ht="18.45" customHeight="1">
      <c r="E21" s="145" t="s">
        <v>231</v>
      </c>
      <c r="AK21" s="140"/>
      <c r="AN21" s="145" t="s">
        <v>0</v>
      </c>
    </row>
    <row r="22" spans="4:41" ht="6.9" customHeight="1"/>
    <row r="23" spans="4:41" ht="11.4">
      <c r="D23" s="140" t="s">
        <v>63</v>
      </c>
    </row>
    <row r="24" spans="4:41" s="141" customFormat="1" ht="15" customHeight="1">
      <c r="E24" s="117"/>
      <c r="F24" s="117"/>
      <c r="G24" s="117"/>
      <c r="H24" s="107"/>
      <c r="I24" s="107"/>
      <c r="J24" s="142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</row>
    <row r="25" spans="4:41" ht="6.9" customHeight="1"/>
    <row r="26" spans="4:41" ht="6.9" customHeight="1"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</row>
    <row r="27" spans="4:41" ht="14.4" customHeight="1">
      <c r="D27" s="130" t="s">
        <v>66</v>
      </c>
      <c r="AK27" s="122">
        <f>AG116</f>
        <v>0</v>
      </c>
      <c r="AL27" s="134"/>
      <c r="AM27" s="134"/>
      <c r="AN27" s="134"/>
      <c r="AO27" s="134"/>
    </row>
    <row r="28" spans="4:41" ht="6.9" customHeight="1"/>
    <row r="29" spans="4:41" ht="25.95" customHeight="1">
      <c r="D29" s="133" t="s">
        <v>16</v>
      </c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31">
        <f>ROUND(AK27,2)</f>
        <v>0</v>
      </c>
      <c r="AL29" s="119"/>
      <c r="AM29" s="119"/>
      <c r="AN29" s="119"/>
      <c r="AO29" s="119"/>
    </row>
    <row r="30" spans="4:41" ht="6.9" customHeight="1"/>
    <row r="31" spans="4:41" s="115" customFormat="1" ht="14.4" customHeight="1">
      <c r="D31" s="129" t="s">
        <v>17</v>
      </c>
      <c r="F31" s="129" t="s">
        <v>18</v>
      </c>
      <c r="L31" s="137">
        <v>0.21</v>
      </c>
      <c r="M31" s="121"/>
      <c r="N31" s="121"/>
      <c r="O31" s="121"/>
      <c r="T31" s="116" t="s">
        <v>19</v>
      </c>
      <c r="W31" s="86">
        <f>AK29</f>
        <v>0</v>
      </c>
      <c r="X31" s="87"/>
      <c r="Y31" s="87"/>
      <c r="Z31" s="87"/>
      <c r="AA31" s="87"/>
      <c r="AB31" s="87"/>
      <c r="AC31" s="87"/>
      <c r="AD31" s="87"/>
      <c r="AE31" s="87"/>
      <c r="AF31" s="74"/>
      <c r="AG31" s="74"/>
      <c r="AH31" s="74"/>
      <c r="AI31" s="74"/>
      <c r="AJ31" s="74"/>
      <c r="AK31" s="86">
        <f>ROUND(W31*L31,2)</f>
        <v>0</v>
      </c>
      <c r="AL31" s="87"/>
      <c r="AM31" s="87"/>
      <c r="AN31" s="87"/>
      <c r="AO31" s="87"/>
    </row>
    <row r="32" spans="4:41" s="115" customFormat="1" ht="14.4" customHeight="1">
      <c r="F32" s="129" t="s">
        <v>20</v>
      </c>
      <c r="L32" s="137">
        <v>0.15</v>
      </c>
      <c r="M32" s="121"/>
      <c r="N32" s="121"/>
      <c r="O32" s="121"/>
      <c r="T32" s="116" t="s">
        <v>19</v>
      </c>
      <c r="W32" s="86"/>
      <c r="X32" s="87"/>
      <c r="Y32" s="87"/>
      <c r="Z32" s="87"/>
      <c r="AA32" s="87"/>
      <c r="AB32" s="87"/>
      <c r="AC32" s="87"/>
      <c r="AD32" s="87"/>
      <c r="AE32" s="87"/>
      <c r="AF32" s="74"/>
      <c r="AG32" s="74"/>
      <c r="AH32" s="74"/>
      <c r="AI32" s="74"/>
      <c r="AJ32" s="74"/>
      <c r="AK32" s="86">
        <f>ROUND(W32*L32,2)</f>
        <v>0</v>
      </c>
      <c r="AL32" s="87"/>
      <c r="AM32" s="87"/>
      <c r="AN32" s="87"/>
      <c r="AO32" s="87"/>
    </row>
    <row r="33" spans="4:42" s="115" customFormat="1" ht="14.4" hidden="1" customHeight="1">
      <c r="F33" s="129" t="s">
        <v>21</v>
      </c>
      <c r="L33" s="137">
        <v>0.21</v>
      </c>
      <c r="M33" s="121"/>
      <c r="N33" s="121"/>
      <c r="O33" s="121"/>
      <c r="T33" s="116" t="s">
        <v>19</v>
      </c>
      <c r="W33" s="105" t="e">
        <f>ROUND(#REF!+SUM(#REF!),2)</f>
        <v>#REF!</v>
      </c>
      <c r="X33" s="121"/>
      <c r="Y33" s="121"/>
      <c r="Z33" s="121"/>
      <c r="AA33" s="121"/>
      <c r="AB33" s="121"/>
      <c r="AC33" s="121"/>
      <c r="AD33" s="121"/>
      <c r="AE33" s="121"/>
      <c r="AK33" s="105">
        <v>0</v>
      </c>
      <c r="AL33" s="121"/>
      <c r="AM33" s="121"/>
      <c r="AN33" s="121"/>
      <c r="AO33" s="121"/>
    </row>
    <row r="34" spans="4:42" s="115" customFormat="1" ht="14.4" hidden="1" customHeight="1">
      <c r="F34" s="129" t="s">
        <v>22</v>
      </c>
      <c r="L34" s="137">
        <v>0.15</v>
      </c>
      <c r="M34" s="121"/>
      <c r="N34" s="121"/>
      <c r="O34" s="121"/>
      <c r="T34" s="116" t="s">
        <v>19</v>
      </c>
      <c r="W34" s="105" t="e">
        <f>ROUND(#REF!+SUM(#REF!),2)</f>
        <v>#REF!</v>
      </c>
      <c r="X34" s="121"/>
      <c r="Y34" s="121"/>
      <c r="Z34" s="121"/>
      <c r="AA34" s="121"/>
      <c r="AB34" s="121"/>
      <c r="AC34" s="121"/>
      <c r="AD34" s="121"/>
      <c r="AE34" s="121"/>
      <c r="AK34" s="105">
        <v>0</v>
      </c>
      <c r="AL34" s="121"/>
      <c r="AM34" s="121"/>
      <c r="AN34" s="121"/>
      <c r="AO34" s="121"/>
    </row>
    <row r="35" spans="4:42" s="115" customFormat="1" ht="14.4" hidden="1" customHeight="1">
      <c r="F35" s="129" t="s">
        <v>23</v>
      </c>
      <c r="L35" s="137">
        <v>0</v>
      </c>
      <c r="M35" s="121"/>
      <c r="N35" s="121"/>
      <c r="O35" s="121"/>
      <c r="T35" s="116" t="s">
        <v>19</v>
      </c>
      <c r="W35" s="105" t="e">
        <f>ROUND(#REF!+SUM(#REF!),2)</f>
        <v>#REF!</v>
      </c>
      <c r="X35" s="121"/>
      <c r="Y35" s="121"/>
      <c r="Z35" s="121"/>
      <c r="AA35" s="121"/>
      <c r="AB35" s="121"/>
      <c r="AC35" s="121"/>
      <c r="AD35" s="121"/>
      <c r="AE35" s="121"/>
      <c r="AK35" s="105">
        <v>0</v>
      </c>
      <c r="AL35" s="121"/>
      <c r="AM35" s="121"/>
      <c r="AN35" s="121"/>
      <c r="AO35" s="121"/>
    </row>
    <row r="36" spans="4:42" ht="6.9" customHeight="1"/>
    <row r="37" spans="4:42" ht="25.95" customHeight="1">
      <c r="D37" s="138" t="s">
        <v>24</v>
      </c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14" t="s">
        <v>25</v>
      </c>
      <c r="U37" s="123"/>
      <c r="V37" s="123"/>
      <c r="W37" s="123"/>
      <c r="X37" s="148" t="s">
        <v>26</v>
      </c>
      <c r="Y37" s="147"/>
      <c r="Z37" s="147"/>
      <c r="AA37" s="147"/>
      <c r="AB37" s="147"/>
      <c r="AC37" s="123"/>
      <c r="AD37" s="123"/>
      <c r="AE37" s="123"/>
      <c r="AF37" s="123"/>
      <c r="AG37" s="123"/>
      <c r="AH37" s="123"/>
      <c r="AI37" s="123"/>
      <c r="AJ37" s="123"/>
      <c r="AK37" s="103">
        <f>SUM(AK29:AK35)</f>
        <v>0</v>
      </c>
      <c r="AL37" s="147"/>
      <c r="AM37" s="147"/>
      <c r="AN37" s="147"/>
      <c r="AO37" s="112"/>
      <c r="AP37" s="132"/>
    </row>
    <row r="38" spans="4:42" ht="14.4" customHeight="1"/>
    <row r="39" spans="4:42">
      <c r="D39" s="142" t="s">
        <v>86</v>
      </c>
    </row>
    <row r="40" spans="4:42" ht="27.75" customHeight="1">
      <c r="D40" s="139" t="s">
        <v>87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</row>
    <row r="41" spans="4:42" ht="27.75" customHeight="1">
      <c r="D41" s="139" t="s">
        <v>88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</row>
    <row r="42" spans="4:42" ht="27.75" customHeight="1"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</row>
    <row r="49" spans="4:41" ht="13.2">
      <c r="D49" s="113" t="s">
        <v>27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44"/>
      <c r="AC49" s="113" t="s">
        <v>28</v>
      </c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44"/>
    </row>
    <row r="50" spans="4:41">
      <c r="D50" s="124"/>
      <c r="Z50" s="106"/>
      <c r="AC50" s="124"/>
      <c r="AO50" s="106"/>
    </row>
    <row r="51" spans="4:41">
      <c r="D51" s="124"/>
      <c r="Z51" s="106"/>
      <c r="AC51" s="124"/>
      <c r="AO51" s="106"/>
    </row>
    <row r="52" spans="4:41">
      <c r="D52" s="124"/>
      <c r="Z52" s="106"/>
      <c r="AC52" s="124"/>
      <c r="AO52" s="106"/>
    </row>
    <row r="53" spans="4:41">
      <c r="D53" s="124"/>
      <c r="Z53" s="106"/>
      <c r="AC53" s="124"/>
      <c r="AO53" s="106"/>
    </row>
    <row r="54" spans="4:41">
      <c r="D54" s="124"/>
      <c r="Z54" s="106"/>
      <c r="AC54" s="124"/>
      <c r="AO54" s="106"/>
    </row>
    <row r="55" spans="4:41">
      <c r="D55" s="124"/>
      <c r="Z55" s="106"/>
      <c r="AC55" s="124"/>
      <c r="AO55" s="106"/>
    </row>
    <row r="56" spans="4:41">
      <c r="D56" s="124"/>
      <c r="Z56" s="106"/>
      <c r="AC56" s="124"/>
      <c r="AO56" s="106"/>
    </row>
    <row r="57" spans="4:41">
      <c r="D57" s="124"/>
      <c r="Z57" s="106"/>
      <c r="AC57" s="124"/>
      <c r="AO57" s="106"/>
    </row>
    <row r="58" spans="4:41" ht="13.2">
      <c r="D58" s="126" t="s">
        <v>29</v>
      </c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25" t="s">
        <v>30</v>
      </c>
      <c r="S58" s="118"/>
      <c r="T58" s="118"/>
      <c r="U58" s="118"/>
      <c r="V58" s="118"/>
      <c r="W58" s="118"/>
      <c r="X58" s="118"/>
      <c r="Y58" s="118"/>
      <c r="Z58" s="128"/>
      <c r="AC58" s="126" t="s">
        <v>29</v>
      </c>
      <c r="AD58" s="118"/>
      <c r="AE58" s="118"/>
      <c r="AF58" s="118"/>
      <c r="AG58" s="118"/>
      <c r="AH58" s="118"/>
      <c r="AI58" s="118"/>
      <c r="AJ58" s="118"/>
      <c r="AK58" s="118"/>
      <c r="AL58" s="118"/>
      <c r="AM58" s="125" t="s">
        <v>30</v>
      </c>
      <c r="AN58" s="118"/>
      <c r="AO58" s="128"/>
    </row>
    <row r="60" spans="4:41" ht="13.2">
      <c r="D60" s="113" t="s">
        <v>31</v>
      </c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44"/>
      <c r="AC60" s="113" t="s">
        <v>32</v>
      </c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44"/>
    </row>
    <row r="61" spans="4:41">
      <c r="D61" s="124"/>
      <c r="Z61" s="106"/>
      <c r="AC61" s="124"/>
      <c r="AO61" s="106"/>
    </row>
    <row r="62" spans="4:41">
      <c r="D62" s="124"/>
      <c r="Z62" s="106"/>
      <c r="AC62" s="124"/>
      <c r="AO62" s="106"/>
    </row>
    <row r="63" spans="4:41">
      <c r="D63" s="124"/>
      <c r="Z63" s="106"/>
      <c r="AC63" s="124"/>
      <c r="AO63" s="106"/>
    </row>
    <row r="64" spans="4:41">
      <c r="D64" s="124"/>
      <c r="Z64" s="106"/>
      <c r="AC64" s="124"/>
      <c r="AO64" s="106"/>
    </row>
    <row r="65" spans="2:43">
      <c r="D65" s="124"/>
      <c r="Z65" s="106"/>
      <c r="AC65" s="124"/>
      <c r="AO65" s="106"/>
    </row>
    <row r="66" spans="2:43">
      <c r="D66" s="124"/>
      <c r="Z66" s="106"/>
      <c r="AC66" s="124"/>
      <c r="AO66" s="106"/>
    </row>
    <row r="67" spans="2:43">
      <c r="D67" s="124"/>
      <c r="Z67" s="106"/>
      <c r="AC67" s="124"/>
      <c r="AO67" s="106"/>
    </row>
    <row r="68" spans="2:43">
      <c r="D68" s="124"/>
      <c r="Z68" s="106"/>
      <c r="AC68" s="124"/>
      <c r="AO68" s="106"/>
    </row>
    <row r="69" spans="2:43" ht="13.2">
      <c r="D69" s="126" t="s">
        <v>29</v>
      </c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25" t="s">
        <v>30</v>
      </c>
      <c r="S69" s="118"/>
      <c r="T69" s="118"/>
      <c r="U69" s="118"/>
      <c r="V69" s="118"/>
      <c r="W69" s="118"/>
      <c r="X69" s="118"/>
      <c r="Y69" s="118"/>
      <c r="Z69" s="128"/>
      <c r="AC69" s="126" t="s">
        <v>29</v>
      </c>
      <c r="AD69" s="118"/>
      <c r="AE69" s="118"/>
      <c r="AF69" s="118"/>
      <c r="AG69" s="118"/>
      <c r="AH69" s="118"/>
      <c r="AI69" s="118"/>
      <c r="AJ69" s="118"/>
      <c r="AK69" s="118"/>
      <c r="AL69" s="118"/>
      <c r="AM69" s="125" t="s">
        <v>30</v>
      </c>
      <c r="AN69" s="118"/>
      <c r="AO69" s="128"/>
    </row>
    <row r="70" spans="2:43" ht="6.9" customHeight="1"/>
    <row r="71" spans="2:43" ht="6.9" customHeight="1"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</row>
    <row r="75" spans="2:43" ht="6.9" customHeight="1"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</row>
    <row r="76" spans="2:43" ht="36.9" customHeight="1">
      <c r="C76" s="146" t="s">
        <v>33</v>
      </c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</row>
    <row r="77" spans="2:43" s="162" customFormat="1" ht="14.4" customHeight="1">
      <c r="C77" s="140" t="s">
        <v>2</v>
      </c>
      <c r="I77" s="136">
        <f>K3</f>
        <v>2502</v>
      </c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</row>
    <row r="78" spans="2:43" s="163" customFormat="1" ht="36.9" customHeight="1">
      <c r="C78" s="135" t="s">
        <v>3</v>
      </c>
      <c r="I78" s="109" t="str">
        <f>K4</f>
        <v>Revitalizace veřejného prostoru v proluce mezi ZUŠ a domem čp. 23 vč. přilehlých prostor ul. Radniční</v>
      </c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</row>
    <row r="80" spans="2:43" ht="30.75" customHeight="1">
      <c r="B80" s="164"/>
      <c r="C80" s="140" t="s">
        <v>6</v>
      </c>
      <c r="I80" s="165" t="str">
        <f>IF(K6="","",K6)</f>
        <v>Radniční ul. Bílina
p.č. 107, 120/1, 122, 125/1, 125/2, 125/3, 126, k.ú. Bílina [604208]</v>
      </c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40" t="s">
        <v>7</v>
      </c>
      <c r="AM80" s="166" t="str">
        <f>IF(AN6= "","",AN6)</f>
        <v/>
      </c>
      <c r="AN80" s="166"/>
      <c r="AQ80" s="167"/>
    </row>
    <row r="81" spans="1:48" ht="6.9" customHeight="1">
      <c r="B81" s="164"/>
      <c r="AQ81" s="167"/>
    </row>
    <row r="82" spans="1:48" ht="42.75" customHeight="1">
      <c r="B82" s="164"/>
      <c r="C82" s="140" t="s">
        <v>8</v>
      </c>
      <c r="I82" s="139" t="str">
        <f>K8</f>
        <v>město Bílina
Břežanská 50/4, 418 31 Bílina</v>
      </c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39"/>
      <c r="Z82" s="139"/>
      <c r="AA82" s="139"/>
      <c r="AB82" s="139"/>
      <c r="AC82" s="139"/>
      <c r="AD82" s="139"/>
      <c r="AE82" s="139"/>
      <c r="AF82" s="139"/>
      <c r="AG82" s="139"/>
      <c r="AH82" s="139"/>
      <c r="AI82" s="140" t="s">
        <v>13</v>
      </c>
      <c r="AM82" s="168" t="str">
        <f>IF(E15="","",E15)</f>
        <v xml:space="preserve">Ing. arch. MgA. Bořek Peška </v>
      </c>
      <c r="AN82" s="168"/>
      <c r="AO82" s="168"/>
      <c r="AP82" s="168"/>
      <c r="AQ82" s="167"/>
    </row>
    <row r="83" spans="1:48" ht="11.4">
      <c r="B83" s="164"/>
      <c r="C83" s="140" t="s">
        <v>11</v>
      </c>
      <c r="I83" s="142">
        <f>K11</f>
        <v>0</v>
      </c>
      <c r="L83" s="162"/>
      <c r="AI83" s="140" t="s">
        <v>14</v>
      </c>
      <c r="AM83" s="168" t="str">
        <f>IF(E18="","",E18)</f>
        <v>Jakub Kulhavý</v>
      </c>
      <c r="AN83" s="168"/>
      <c r="AO83" s="168"/>
      <c r="AP83" s="168"/>
      <c r="AQ83" s="167"/>
    </row>
    <row r="84" spans="1:48" ht="10.95" customHeight="1">
      <c r="B84" s="164"/>
      <c r="AQ84" s="167"/>
    </row>
    <row r="85" spans="1:48" ht="29.25" customHeight="1">
      <c r="B85" s="164"/>
      <c r="C85" s="169" t="s">
        <v>34</v>
      </c>
      <c r="D85" s="170"/>
      <c r="E85" s="170"/>
      <c r="F85" s="170"/>
      <c r="G85" s="170"/>
      <c r="H85" s="171"/>
      <c r="I85" s="172" t="s">
        <v>35</v>
      </c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0"/>
      <c r="AG85" s="172" t="s">
        <v>36</v>
      </c>
      <c r="AH85" s="170"/>
      <c r="AI85" s="170"/>
      <c r="AJ85" s="170"/>
      <c r="AK85" s="170"/>
      <c r="AL85" s="170"/>
      <c r="AM85" s="170"/>
      <c r="AN85" s="172" t="s">
        <v>37</v>
      </c>
      <c r="AO85" s="170"/>
      <c r="AP85" s="173"/>
      <c r="AQ85" s="167"/>
      <c r="AS85" s="174" t="s">
        <v>92</v>
      </c>
      <c r="AT85" s="174" t="s">
        <v>93</v>
      </c>
    </row>
    <row r="86" spans="1:48" ht="10.95" customHeight="1">
      <c r="B86" s="164"/>
      <c r="AQ86" s="167"/>
    </row>
    <row r="87" spans="1:48" s="163" customFormat="1" ht="32.4" customHeight="1">
      <c r="B87" s="175"/>
      <c r="C87" s="176" t="s">
        <v>105</v>
      </c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8">
        <f>SUM(AG88:AM95)</f>
        <v>0</v>
      </c>
      <c r="AH87" s="178"/>
      <c r="AI87" s="178"/>
      <c r="AJ87" s="178"/>
      <c r="AK87" s="178"/>
      <c r="AL87" s="178"/>
      <c r="AM87" s="178"/>
      <c r="AN87" s="179">
        <f>SUM(AN88:AP95)</f>
        <v>0</v>
      </c>
      <c r="AO87" s="179"/>
      <c r="AP87" s="179"/>
      <c r="AQ87" s="180"/>
      <c r="AS87" s="181">
        <f>AS88</f>
        <v>1898.6840000000002</v>
      </c>
      <c r="AT87" s="181">
        <f>AG87/$AS$87</f>
        <v>0</v>
      </c>
      <c r="AU87" s="182"/>
      <c r="AV87" s="182"/>
    </row>
    <row r="88" spans="1:48" s="189" customFormat="1" ht="12.75" customHeight="1">
      <c r="A88" s="149"/>
      <c r="B88" s="183"/>
      <c r="C88" s="184" t="s">
        <v>84</v>
      </c>
      <c r="D88" s="404" t="str">
        <f>'SO.01 bourání a demolice'!F5</f>
        <v>SO.01 bourání a demolice</v>
      </c>
      <c r="E88" s="404"/>
      <c r="F88" s="404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5"/>
      <c r="AG88" s="185">
        <f>'SO.01 bourání a demolice'!M30</f>
        <v>0</v>
      </c>
      <c r="AH88" s="186"/>
      <c r="AI88" s="186"/>
      <c r="AJ88" s="186"/>
      <c r="AK88" s="186"/>
      <c r="AL88" s="186"/>
      <c r="AM88" s="187"/>
      <c r="AN88" s="185">
        <f>ROUND(AG88*(1+$L$31),2)</f>
        <v>0</v>
      </c>
      <c r="AO88" s="186"/>
      <c r="AP88" s="186"/>
      <c r="AQ88" s="188"/>
      <c r="AS88" s="190">
        <f>AS89+AS90+AS91+AS94</f>
        <v>1898.6840000000002</v>
      </c>
      <c r="AT88" s="191">
        <f>AG88/AS88</f>
        <v>0</v>
      </c>
      <c r="AU88" s="192"/>
      <c r="AV88" s="192"/>
    </row>
    <row r="89" spans="1:48" s="189" customFormat="1" ht="12.75" customHeight="1">
      <c r="A89" s="149"/>
      <c r="B89" s="183"/>
      <c r="C89" s="184" t="s">
        <v>85</v>
      </c>
      <c r="D89" s="404" t="str">
        <f>'SO.02 proluka'!F5</f>
        <v>SO.02 revitalizace veřejné komunikace, chodníku a parkoviště</v>
      </c>
      <c r="E89" s="404"/>
      <c r="F89" s="404"/>
      <c r="G89" s="404"/>
      <c r="H89" s="404"/>
      <c r="I89" s="404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  <c r="AE89" s="404"/>
      <c r="AF89" s="405"/>
      <c r="AG89" s="185">
        <f>'SO.02 proluka'!M30</f>
        <v>0</v>
      </c>
      <c r="AH89" s="186"/>
      <c r="AI89" s="186"/>
      <c r="AJ89" s="186"/>
      <c r="AK89" s="186"/>
      <c r="AL89" s="186"/>
      <c r="AM89" s="187"/>
      <c r="AN89" s="185">
        <f>ROUND(AG89*(1+$L$31),2)</f>
        <v>0</v>
      </c>
      <c r="AO89" s="186"/>
      <c r="AP89" s="186"/>
      <c r="AQ89" s="188"/>
      <c r="AS89" s="190">
        <f>'SO.02 proluka'!I83</f>
        <v>949.7</v>
      </c>
      <c r="AT89" s="191">
        <f t="shared" ref="AT89:AT95" si="0">AG89/AS89</f>
        <v>0</v>
      </c>
      <c r="AU89" s="192"/>
      <c r="AV89" s="192"/>
    </row>
    <row r="90" spans="1:48" s="189" customFormat="1" ht="12.75" customHeight="1">
      <c r="A90" s="149"/>
      <c r="B90" s="183"/>
      <c r="C90" s="184" t="s">
        <v>208</v>
      </c>
      <c r="D90" s="404" t="str">
        <f>'SO.03 dětské hřiště'!F5</f>
        <v>SO.03 dětské hřiště</v>
      </c>
      <c r="E90" s="404"/>
      <c r="F90" s="404"/>
      <c r="G90" s="404"/>
      <c r="H90" s="404"/>
      <c r="I90" s="404"/>
      <c r="J90" s="404"/>
      <c r="K90" s="40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4"/>
      <c r="AC90" s="404"/>
      <c r="AD90" s="404"/>
      <c r="AE90" s="404"/>
      <c r="AF90" s="405"/>
      <c r="AG90" s="185">
        <f>'SO.03 dětské hřiště'!M30</f>
        <v>0</v>
      </c>
      <c r="AH90" s="186"/>
      <c r="AI90" s="186"/>
      <c r="AJ90" s="186"/>
      <c r="AK90" s="186"/>
      <c r="AL90" s="186"/>
      <c r="AM90" s="187"/>
      <c r="AN90" s="185">
        <f t="shared" ref="AN90:AN95" si="1">ROUND(AG90*(1+$L$31),2)</f>
        <v>0</v>
      </c>
      <c r="AO90" s="186"/>
      <c r="AP90" s="186"/>
      <c r="AQ90" s="188"/>
      <c r="AS90" s="190">
        <f>'SO.03 dětské hřiště'!I83</f>
        <v>673.23400000000004</v>
      </c>
      <c r="AT90" s="191">
        <f t="shared" si="0"/>
        <v>0</v>
      </c>
      <c r="AU90" s="192"/>
      <c r="AV90" s="192"/>
    </row>
    <row r="91" spans="1:48" s="189" customFormat="1" ht="12.75" customHeight="1">
      <c r="A91" s="149"/>
      <c r="B91" s="183"/>
      <c r="C91" s="184" t="s">
        <v>209</v>
      </c>
      <c r="D91" s="404" t="str">
        <f>'SO.04 vyvýšené sezení'!F5</f>
        <v>SO.04 revitaizace vyvýšeného sezení</v>
      </c>
      <c r="E91" s="404"/>
      <c r="F91" s="404"/>
      <c r="G91" s="404"/>
      <c r="H91" s="404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04"/>
      <c r="AD91" s="404"/>
      <c r="AE91" s="404"/>
      <c r="AF91" s="405"/>
      <c r="AG91" s="185">
        <f>'SO.04 vyvýšené sezení'!M30</f>
        <v>0</v>
      </c>
      <c r="AH91" s="186"/>
      <c r="AI91" s="186"/>
      <c r="AJ91" s="186"/>
      <c r="AK91" s="186"/>
      <c r="AL91" s="186"/>
      <c r="AM91" s="187"/>
      <c r="AN91" s="185">
        <f t="shared" si="1"/>
        <v>0</v>
      </c>
      <c r="AO91" s="186"/>
      <c r="AP91" s="186"/>
      <c r="AQ91" s="188"/>
      <c r="AS91" s="190">
        <f>'SO.04 vyvýšené sezení'!I83</f>
        <v>108.75000000000001</v>
      </c>
      <c r="AT91" s="191">
        <f t="shared" si="0"/>
        <v>0</v>
      </c>
      <c r="AU91" s="192"/>
      <c r="AV91" s="192"/>
    </row>
    <row r="92" spans="1:48" s="189" customFormat="1" ht="12.75" customHeight="1">
      <c r="A92" s="149"/>
      <c r="B92" s="183"/>
      <c r="C92" s="184" t="s">
        <v>210</v>
      </c>
      <c r="D92" s="404" t="str">
        <f>'SO.05 ohradní zeď'!F5</f>
        <v>SO.05 oprava ohradní zdi</v>
      </c>
      <c r="E92" s="404"/>
      <c r="F92" s="404"/>
      <c r="G92" s="404"/>
      <c r="H92" s="404"/>
      <c r="I92" s="404"/>
      <c r="J92" s="404"/>
      <c r="K92" s="404"/>
      <c r="L92" s="404"/>
      <c r="M92" s="404"/>
      <c r="N92" s="404"/>
      <c r="O92" s="404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04"/>
      <c r="AE92" s="404"/>
      <c r="AF92" s="405"/>
      <c r="AG92" s="185">
        <f>'SO.05 ohradní zeď'!M30</f>
        <v>0</v>
      </c>
      <c r="AH92" s="186"/>
      <c r="AI92" s="186"/>
      <c r="AJ92" s="186"/>
      <c r="AK92" s="186"/>
      <c r="AL92" s="186"/>
      <c r="AM92" s="187"/>
      <c r="AN92" s="185">
        <f t="shared" si="1"/>
        <v>0</v>
      </c>
      <c r="AO92" s="186"/>
      <c r="AP92" s="186"/>
      <c r="AQ92" s="188"/>
      <c r="AS92" s="190">
        <f>'SO.05 ohradní zeď'!I83</f>
        <v>21.75</v>
      </c>
      <c r="AT92" s="191">
        <f t="shared" si="0"/>
        <v>0</v>
      </c>
      <c r="AU92" s="192"/>
      <c r="AV92" s="192"/>
    </row>
    <row r="93" spans="1:48" s="189" customFormat="1" ht="12.75" customHeight="1">
      <c r="A93" s="149"/>
      <c r="B93" s="183"/>
      <c r="C93" s="184" t="s">
        <v>211</v>
      </c>
      <c r="D93" s="404" t="str">
        <f>'SO.06 sanace zdivo ZUŠ'!F5</f>
        <v>SO.06 sanace základového zdiva ZUŠ</v>
      </c>
      <c r="E93" s="404"/>
      <c r="F93" s="404"/>
      <c r="G93" s="404"/>
      <c r="H93" s="404"/>
      <c r="I93" s="404"/>
      <c r="J93" s="404"/>
      <c r="K93" s="404"/>
      <c r="L93" s="404"/>
      <c r="M93" s="404"/>
      <c r="N93" s="404"/>
      <c r="O93" s="404"/>
      <c r="P93" s="404"/>
      <c r="Q93" s="404"/>
      <c r="R93" s="404"/>
      <c r="S93" s="404"/>
      <c r="T93" s="404"/>
      <c r="U93" s="404"/>
      <c r="V93" s="404"/>
      <c r="W93" s="404"/>
      <c r="X93" s="404"/>
      <c r="Y93" s="404"/>
      <c r="Z93" s="404"/>
      <c r="AA93" s="404"/>
      <c r="AB93" s="404"/>
      <c r="AC93" s="404"/>
      <c r="AD93" s="404"/>
      <c r="AE93" s="404"/>
      <c r="AF93" s="405"/>
      <c r="AG93" s="185">
        <f>'SO.06 sanace zdivo ZUŠ'!M30</f>
        <v>0</v>
      </c>
      <c r="AH93" s="186"/>
      <c r="AI93" s="186"/>
      <c r="AJ93" s="186"/>
      <c r="AK93" s="186"/>
      <c r="AL93" s="186"/>
      <c r="AM93" s="187"/>
      <c r="AN93" s="185">
        <f t="shared" si="1"/>
        <v>0</v>
      </c>
      <c r="AO93" s="186"/>
      <c r="AP93" s="186"/>
      <c r="AQ93" s="188"/>
      <c r="AS93" s="190">
        <f>'SO.06 sanace zdivo ZUŠ'!I83</f>
        <v>64.72</v>
      </c>
      <c r="AT93" s="191">
        <f t="shared" si="0"/>
        <v>0</v>
      </c>
      <c r="AU93" s="192"/>
      <c r="AV93" s="192"/>
    </row>
    <row r="94" spans="1:48" s="189" customFormat="1" ht="12.75" customHeight="1">
      <c r="A94" s="149"/>
      <c r="B94" s="183"/>
      <c r="C94" s="184" t="s">
        <v>212</v>
      </c>
      <c r="D94" s="404" t="str">
        <f>'SO.09 sadové úpravy'!F5</f>
        <v>SO.09 sadové úpravy</v>
      </c>
      <c r="E94" s="404"/>
      <c r="F94" s="404"/>
      <c r="G94" s="404"/>
      <c r="H94" s="404"/>
      <c r="I94" s="404"/>
      <c r="J94" s="404"/>
      <c r="K94" s="404"/>
      <c r="L94" s="404"/>
      <c r="M94" s="404"/>
      <c r="N94" s="404"/>
      <c r="O94" s="404"/>
      <c r="P94" s="404"/>
      <c r="Q94" s="404"/>
      <c r="R94" s="404"/>
      <c r="S94" s="404"/>
      <c r="T94" s="404"/>
      <c r="U94" s="404"/>
      <c r="V94" s="404"/>
      <c r="W94" s="404"/>
      <c r="X94" s="404"/>
      <c r="Y94" s="404"/>
      <c r="Z94" s="404"/>
      <c r="AA94" s="404"/>
      <c r="AB94" s="404"/>
      <c r="AC94" s="404"/>
      <c r="AD94" s="404"/>
      <c r="AE94" s="404"/>
      <c r="AF94" s="405"/>
      <c r="AG94" s="185">
        <f>'SO.09 sadové úpravy'!M30</f>
        <v>0</v>
      </c>
      <c r="AH94" s="186"/>
      <c r="AI94" s="186"/>
      <c r="AJ94" s="186"/>
      <c r="AK94" s="186"/>
      <c r="AL94" s="186"/>
      <c r="AM94" s="187"/>
      <c r="AN94" s="185">
        <f t="shared" si="1"/>
        <v>0</v>
      </c>
      <c r="AO94" s="186"/>
      <c r="AP94" s="186"/>
      <c r="AQ94" s="188"/>
      <c r="AS94" s="190">
        <f>'SO.09 sadové úpravy'!I83</f>
        <v>167</v>
      </c>
      <c r="AT94" s="191">
        <f t="shared" si="0"/>
        <v>0</v>
      </c>
      <c r="AU94" s="192"/>
      <c r="AV94" s="192"/>
    </row>
    <row r="95" spans="1:48" s="189" customFormat="1" ht="12.75" customHeight="1">
      <c r="A95" s="149"/>
      <c r="B95" s="183"/>
      <c r="C95" s="184" t="s">
        <v>213</v>
      </c>
      <c r="D95" s="404" t="str">
        <f>Specifikace!F5</f>
        <v>Specifikace</v>
      </c>
      <c r="E95" s="404"/>
      <c r="F95" s="404"/>
      <c r="G95" s="404"/>
      <c r="H95" s="404"/>
      <c r="I95" s="404"/>
      <c r="J95" s="404"/>
      <c r="K95" s="404"/>
      <c r="L95" s="404"/>
      <c r="M95" s="404"/>
      <c r="N95" s="404"/>
      <c r="O95" s="404"/>
      <c r="P95" s="404"/>
      <c r="Q95" s="404"/>
      <c r="R95" s="404"/>
      <c r="S95" s="404"/>
      <c r="T95" s="404"/>
      <c r="U95" s="404"/>
      <c r="V95" s="404"/>
      <c r="W95" s="404"/>
      <c r="X95" s="404"/>
      <c r="Y95" s="404"/>
      <c r="Z95" s="404"/>
      <c r="AA95" s="404"/>
      <c r="AB95" s="404"/>
      <c r="AC95" s="404"/>
      <c r="AD95" s="404"/>
      <c r="AE95" s="404"/>
      <c r="AF95" s="405"/>
      <c r="AG95" s="185">
        <f>Specifikace!M31</f>
        <v>0</v>
      </c>
      <c r="AH95" s="186"/>
      <c r="AI95" s="186"/>
      <c r="AJ95" s="186"/>
      <c r="AK95" s="186"/>
      <c r="AL95" s="186"/>
      <c r="AM95" s="187"/>
      <c r="AN95" s="185">
        <f t="shared" si="1"/>
        <v>0</v>
      </c>
      <c r="AO95" s="186"/>
      <c r="AP95" s="186"/>
      <c r="AQ95" s="188"/>
      <c r="AS95" s="190"/>
      <c r="AT95" s="191" t="e">
        <f t="shared" si="0"/>
        <v>#DIV/0!</v>
      </c>
      <c r="AU95" s="192"/>
      <c r="AV95" s="192"/>
    </row>
    <row r="96" spans="1:48">
      <c r="B96" s="164"/>
      <c r="AQ96" s="167"/>
    </row>
    <row r="97" spans="1:48" ht="30" customHeight="1">
      <c r="B97" s="164"/>
      <c r="C97" s="176" t="s">
        <v>205</v>
      </c>
      <c r="AG97" s="179">
        <f>SUM(AG98:AM99)</f>
        <v>0</v>
      </c>
      <c r="AH97" s="179"/>
      <c r="AI97" s="179"/>
      <c r="AJ97" s="179"/>
      <c r="AK97" s="179"/>
      <c r="AL97" s="179"/>
      <c r="AM97" s="179"/>
      <c r="AN97" s="179">
        <f>SUM(AN98:AP99)</f>
        <v>0</v>
      </c>
      <c r="AO97" s="179"/>
      <c r="AP97" s="179"/>
      <c r="AQ97" s="167"/>
      <c r="AS97" s="181">
        <f>AS87</f>
        <v>1898.6840000000002</v>
      </c>
      <c r="AT97" s="181">
        <f>AG97/$AS$97</f>
        <v>0</v>
      </c>
    </row>
    <row r="98" spans="1:48" s="189" customFormat="1" ht="12.75" customHeight="1">
      <c r="A98" s="149"/>
      <c r="B98" s="183"/>
      <c r="C98" s="184" t="s">
        <v>95</v>
      </c>
      <c r="D98" s="193" t="str">
        <f>'SO.07 přípojka vodovod'!B5</f>
        <v>SO.07 přípojka vodovodu pro dětské hřiště</v>
      </c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3"/>
      <c r="AA98" s="193"/>
      <c r="AB98" s="193"/>
      <c r="AC98" s="193"/>
      <c r="AD98" s="193"/>
      <c r="AE98" s="193"/>
      <c r="AF98" s="194"/>
      <c r="AG98" s="185">
        <f>'SO.07 přípojka vodovod'!F36</f>
        <v>0</v>
      </c>
      <c r="AH98" s="186"/>
      <c r="AI98" s="186"/>
      <c r="AJ98" s="186"/>
      <c r="AK98" s="186"/>
      <c r="AL98" s="186"/>
      <c r="AM98" s="187"/>
      <c r="AN98" s="185">
        <f t="shared" ref="AN98" si="2">ROUND(AG98*(1+$L$31),2)</f>
        <v>0</v>
      </c>
      <c r="AO98" s="186"/>
      <c r="AP98" s="186"/>
      <c r="AQ98" s="188"/>
      <c r="AS98" s="190"/>
      <c r="AT98" s="191">
        <f>AG98/$AS$87</f>
        <v>0</v>
      </c>
      <c r="AU98" s="192"/>
      <c r="AV98" s="192"/>
    </row>
    <row r="99" spans="1:48" s="189" customFormat="1" ht="12.75" customHeight="1">
      <c r="A99" s="149"/>
      <c r="B99" s="183"/>
      <c r="C99" s="184" t="s">
        <v>228</v>
      </c>
      <c r="D99" s="193" t="str">
        <f>'SO.08 dešťová kanalizace'!B5</f>
        <v>SO.08 dešťová kanalizace</v>
      </c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  <c r="W99" s="193"/>
      <c r="X99" s="193"/>
      <c r="Y99" s="193"/>
      <c r="Z99" s="193"/>
      <c r="AA99" s="193"/>
      <c r="AB99" s="193"/>
      <c r="AC99" s="193"/>
      <c r="AD99" s="193"/>
      <c r="AE99" s="193"/>
      <c r="AF99" s="194"/>
      <c r="AG99" s="185">
        <f>'SO.08 dešťová kanalizace'!F50</f>
        <v>0</v>
      </c>
      <c r="AH99" s="186"/>
      <c r="AI99" s="186"/>
      <c r="AJ99" s="186"/>
      <c r="AK99" s="186"/>
      <c r="AL99" s="186"/>
      <c r="AM99" s="187"/>
      <c r="AN99" s="185">
        <f t="shared" ref="AN99" si="3">ROUND(AG99*(1+$L$31),2)</f>
        <v>0</v>
      </c>
      <c r="AO99" s="186"/>
      <c r="AP99" s="186"/>
      <c r="AQ99" s="188"/>
      <c r="AS99" s="190"/>
      <c r="AT99" s="191">
        <f>AG99/$AS$87</f>
        <v>0</v>
      </c>
      <c r="AU99" s="192"/>
      <c r="AV99" s="192"/>
    </row>
    <row r="100" spans="1:48">
      <c r="AQ100" s="167"/>
    </row>
    <row r="101" spans="1:48" ht="30" customHeight="1">
      <c r="C101" s="176" t="s">
        <v>206</v>
      </c>
      <c r="AG101" s="179">
        <f>SUM(AI102:AM114)</f>
        <v>0</v>
      </c>
      <c r="AH101" s="179"/>
      <c r="AI101" s="179"/>
      <c r="AJ101" s="179"/>
      <c r="AK101" s="179"/>
      <c r="AL101" s="179"/>
      <c r="AM101" s="179"/>
      <c r="AN101" s="179">
        <f>SUM(AN102:AP114)</f>
        <v>0</v>
      </c>
      <c r="AO101" s="179"/>
      <c r="AP101" s="179"/>
      <c r="AQ101" s="167"/>
      <c r="AS101" s="181">
        <f>AS97</f>
        <v>1898.6840000000002</v>
      </c>
      <c r="AT101" s="181">
        <f>AG101/$AS$101</f>
        <v>0</v>
      </c>
    </row>
    <row r="102" spans="1:48" s="189" customFormat="1" ht="13.2">
      <c r="C102" s="184" t="s">
        <v>96</v>
      </c>
      <c r="D102" s="194" t="s">
        <v>69</v>
      </c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6" t="s">
        <v>61</v>
      </c>
      <c r="V102" s="196"/>
      <c r="W102" s="196"/>
      <c r="X102" s="82">
        <v>1</v>
      </c>
      <c r="Y102" s="82"/>
      <c r="Z102" s="82"/>
      <c r="AA102" s="83"/>
      <c r="AB102" s="83"/>
      <c r="AC102" s="83"/>
      <c r="AD102" s="83"/>
      <c r="AE102" s="83"/>
      <c r="AF102" s="83"/>
      <c r="AG102" s="83"/>
      <c r="AH102" s="83"/>
      <c r="AI102" s="84">
        <f t="shared" ref="AI102:AI114" si="4">AA102*X102</f>
        <v>0</v>
      </c>
      <c r="AJ102" s="84"/>
      <c r="AK102" s="84"/>
      <c r="AL102" s="84"/>
      <c r="AM102" s="84"/>
      <c r="AN102" s="197">
        <f>ROUND(AI102*(1+$L$31),2)</f>
        <v>0</v>
      </c>
      <c r="AO102" s="198"/>
      <c r="AP102" s="199"/>
      <c r="AQ102" s="188"/>
      <c r="AS102" s="200"/>
      <c r="AT102" s="201">
        <f>AI102/$AS$101</f>
        <v>0</v>
      </c>
    </row>
    <row r="103" spans="1:48" s="189" customFormat="1" ht="28.5" customHeight="1">
      <c r="C103" s="184" t="s">
        <v>97</v>
      </c>
      <c r="D103" s="194" t="s">
        <v>755</v>
      </c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6" t="s">
        <v>61</v>
      </c>
      <c r="V103" s="196"/>
      <c r="W103" s="196"/>
      <c r="X103" s="82">
        <v>1</v>
      </c>
      <c r="Y103" s="82"/>
      <c r="Z103" s="82"/>
      <c r="AA103" s="83"/>
      <c r="AB103" s="83"/>
      <c r="AC103" s="83"/>
      <c r="AD103" s="83"/>
      <c r="AE103" s="83"/>
      <c r="AF103" s="83"/>
      <c r="AG103" s="83"/>
      <c r="AH103" s="83"/>
      <c r="AI103" s="84">
        <f t="shared" si="4"/>
        <v>0</v>
      </c>
      <c r="AJ103" s="84"/>
      <c r="AK103" s="84"/>
      <c r="AL103" s="84"/>
      <c r="AM103" s="84"/>
      <c r="AN103" s="197">
        <f t="shared" ref="AN103:AN114" si="5">ROUND(AI103*(1+$L$31),2)</f>
        <v>0</v>
      </c>
      <c r="AO103" s="198"/>
      <c r="AP103" s="199"/>
      <c r="AQ103" s="188"/>
      <c r="AS103" s="200"/>
      <c r="AT103" s="201">
        <f t="shared" ref="AT103:AT114" si="6">AI103/$AS$101</f>
        <v>0</v>
      </c>
    </row>
    <row r="104" spans="1:48" s="189" customFormat="1" ht="13.2">
      <c r="C104" s="184" t="s">
        <v>214</v>
      </c>
      <c r="D104" s="194" t="s">
        <v>68</v>
      </c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6" t="s">
        <v>60</v>
      </c>
      <c r="V104" s="196"/>
      <c r="W104" s="196"/>
      <c r="X104" s="89"/>
      <c r="Y104" s="89"/>
      <c r="Z104" s="89"/>
      <c r="AA104" s="90">
        <f>AG87+AG97</f>
        <v>0</v>
      </c>
      <c r="AB104" s="90"/>
      <c r="AC104" s="90"/>
      <c r="AD104" s="90"/>
      <c r="AE104" s="90"/>
      <c r="AF104" s="90"/>
      <c r="AG104" s="90"/>
      <c r="AH104" s="90"/>
      <c r="AI104" s="84">
        <f t="shared" si="4"/>
        <v>0</v>
      </c>
      <c r="AJ104" s="84"/>
      <c r="AK104" s="84"/>
      <c r="AL104" s="84"/>
      <c r="AM104" s="84"/>
      <c r="AN104" s="197">
        <f t="shared" si="5"/>
        <v>0</v>
      </c>
      <c r="AO104" s="198"/>
      <c r="AP104" s="199"/>
      <c r="AQ104" s="188"/>
      <c r="AS104" s="200"/>
      <c r="AT104" s="201">
        <f t="shared" si="6"/>
        <v>0</v>
      </c>
    </row>
    <row r="105" spans="1:48" s="189" customFormat="1" ht="13.2">
      <c r="C105" s="184" t="s">
        <v>215</v>
      </c>
      <c r="D105" s="194" t="s">
        <v>750</v>
      </c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6" t="s">
        <v>61</v>
      </c>
      <c r="V105" s="196"/>
      <c r="W105" s="196"/>
      <c r="X105" s="82">
        <v>1</v>
      </c>
      <c r="Y105" s="82"/>
      <c r="Z105" s="82"/>
      <c r="AA105" s="83"/>
      <c r="AB105" s="83"/>
      <c r="AC105" s="83"/>
      <c r="AD105" s="83"/>
      <c r="AE105" s="83"/>
      <c r="AF105" s="83"/>
      <c r="AG105" s="83"/>
      <c r="AH105" s="83"/>
      <c r="AI105" s="84">
        <f t="shared" ref="AI105" si="7">AA105*X105</f>
        <v>0</v>
      </c>
      <c r="AJ105" s="84"/>
      <c r="AK105" s="84"/>
      <c r="AL105" s="84"/>
      <c r="AM105" s="84"/>
      <c r="AN105" s="197">
        <f t="shared" ref="AN105" si="8">ROUND(AI105*(1+$L$31),2)</f>
        <v>0</v>
      </c>
      <c r="AO105" s="198"/>
      <c r="AP105" s="199"/>
      <c r="AQ105" s="188"/>
      <c r="AS105" s="200"/>
      <c r="AT105" s="201">
        <f t="shared" ref="AT105" si="9">AI105/$AS$101</f>
        <v>0</v>
      </c>
    </row>
    <row r="106" spans="1:48" s="189" customFormat="1" ht="28.5" customHeight="1">
      <c r="C106" s="184" t="s">
        <v>216</v>
      </c>
      <c r="D106" s="194" t="s">
        <v>752</v>
      </c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6" t="s">
        <v>61</v>
      </c>
      <c r="V106" s="196"/>
      <c r="W106" s="196"/>
      <c r="X106" s="82">
        <v>1</v>
      </c>
      <c r="Y106" s="82"/>
      <c r="Z106" s="82"/>
      <c r="AA106" s="83"/>
      <c r="AB106" s="83"/>
      <c r="AC106" s="83"/>
      <c r="AD106" s="83"/>
      <c r="AE106" s="83"/>
      <c r="AF106" s="83"/>
      <c r="AG106" s="83"/>
      <c r="AH106" s="83"/>
      <c r="AI106" s="84">
        <f t="shared" ref="AI106" si="10">AA106*X106</f>
        <v>0</v>
      </c>
      <c r="AJ106" s="84"/>
      <c r="AK106" s="84"/>
      <c r="AL106" s="84"/>
      <c r="AM106" s="84"/>
      <c r="AN106" s="197">
        <f t="shared" ref="AN106" si="11">ROUND(AI106*(1+$L$31),2)</f>
        <v>0</v>
      </c>
      <c r="AO106" s="198"/>
      <c r="AP106" s="199"/>
      <c r="AQ106" s="188"/>
      <c r="AS106" s="200"/>
      <c r="AT106" s="201">
        <f t="shared" ref="AT106" si="12">AI106/$AS$101</f>
        <v>0</v>
      </c>
    </row>
    <row r="107" spans="1:48" s="189" customFormat="1" ht="13.2">
      <c r="C107" s="184" t="s">
        <v>217</v>
      </c>
      <c r="D107" s="194" t="s">
        <v>754</v>
      </c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6" t="s">
        <v>61</v>
      </c>
      <c r="V107" s="196"/>
      <c r="W107" s="196"/>
      <c r="X107" s="82">
        <v>1</v>
      </c>
      <c r="Y107" s="82"/>
      <c r="Z107" s="82"/>
      <c r="AA107" s="83"/>
      <c r="AB107" s="83"/>
      <c r="AC107" s="83"/>
      <c r="AD107" s="83"/>
      <c r="AE107" s="83"/>
      <c r="AF107" s="83"/>
      <c r="AG107" s="83"/>
      <c r="AH107" s="83"/>
      <c r="AI107" s="84">
        <f t="shared" ref="AI107" si="13">AA107*X107</f>
        <v>0</v>
      </c>
      <c r="AJ107" s="84"/>
      <c r="AK107" s="84"/>
      <c r="AL107" s="84"/>
      <c r="AM107" s="84"/>
      <c r="AN107" s="197">
        <f t="shared" ref="AN107" si="14">ROUND(AI107*(1+$L$31),2)</f>
        <v>0</v>
      </c>
      <c r="AO107" s="198"/>
      <c r="AP107" s="199"/>
      <c r="AQ107" s="188"/>
      <c r="AS107" s="200"/>
      <c r="AT107" s="201">
        <f t="shared" ref="AT107" si="15">AI107/$AS$101</f>
        <v>0</v>
      </c>
    </row>
    <row r="108" spans="1:48" s="189" customFormat="1" ht="28.5" customHeight="1">
      <c r="C108" s="184" t="s">
        <v>218</v>
      </c>
      <c r="D108" s="194" t="s">
        <v>828</v>
      </c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6" t="s">
        <v>61</v>
      </c>
      <c r="V108" s="196"/>
      <c r="W108" s="196"/>
      <c r="X108" s="85">
        <v>1</v>
      </c>
      <c r="Y108" s="85"/>
      <c r="Z108" s="85"/>
      <c r="AA108" s="83"/>
      <c r="AB108" s="83"/>
      <c r="AC108" s="83"/>
      <c r="AD108" s="83"/>
      <c r="AE108" s="83"/>
      <c r="AF108" s="83"/>
      <c r="AG108" s="83"/>
      <c r="AH108" s="83"/>
      <c r="AI108" s="84">
        <f t="shared" ref="AI108" si="16">AA108*X108</f>
        <v>0</v>
      </c>
      <c r="AJ108" s="84"/>
      <c r="AK108" s="84"/>
      <c r="AL108" s="84"/>
      <c r="AM108" s="84"/>
      <c r="AN108" s="197">
        <f t="shared" ref="AN108" si="17">ROUND(AI108*(1+$L$31),2)</f>
        <v>0</v>
      </c>
      <c r="AO108" s="198"/>
      <c r="AP108" s="199"/>
      <c r="AQ108" s="188"/>
      <c r="AS108" s="200"/>
      <c r="AT108" s="201">
        <f t="shared" ref="AT108" si="18">AI108/$AS$101</f>
        <v>0</v>
      </c>
    </row>
    <row r="109" spans="1:48" s="189" customFormat="1" ht="54.75" customHeight="1">
      <c r="C109" s="184" t="s">
        <v>219</v>
      </c>
      <c r="D109" s="194" t="s">
        <v>111</v>
      </c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6" t="s">
        <v>61</v>
      </c>
      <c r="V109" s="196"/>
      <c r="W109" s="196"/>
      <c r="X109" s="82">
        <v>1</v>
      </c>
      <c r="Y109" s="82"/>
      <c r="Z109" s="82"/>
      <c r="AA109" s="83"/>
      <c r="AB109" s="83"/>
      <c r="AC109" s="83"/>
      <c r="AD109" s="83"/>
      <c r="AE109" s="83"/>
      <c r="AF109" s="83"/>
      <c r="AG109" s="83"/>
      <c r="AH109" s="83"/>
      <c r="AI109" s="84">
        <f t="shared" si="4"/>
        <v>0</v>
      </c>
      <c r="AJ109" s="84"/>
      <c r="AK109" s="84"/>
      <c r="AL109" s="84"/>
      <c r="AM109" s="84"/>
      <c r="AN109" s="197">
        <f t="shared" si="5"/>
        <v>0</v>
      </c>
      <c r="AO109" s="198"/>
      <c r="AP109" s="199"/>
      <c r="AQ109" s="188"/>
      <c r="AS109" s="200"/>
      <c r="AT109" s="201">
        <f t="shared" si="6"/>
        <v>0</v>
      </c>
    </row>
    <row r="110" spans="1:48" s="189" customFormat="1" ht="28.5" customHeight="1">
      <c r="C110" s="184" t="s">
        <v>749</v>
      </c>
      <c r="D110" s="194" t="s">
        <v>112</v>
      </c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6" t="s">
        <v>61</v>
      </c>
      <c r="V110" s="196"/>
      <c r="W110" s="196"/>
      <c r="X110" s="82">
        <v>1</v>
      </c>
      <c r="Y110" s="82"/>
      <c r="Z110" s="82"/>
      <c r="AA110" s="83"/>
      <c r="AB110" s="83"/>
      <c r="AC110" s="83"/>
      <c r="AD110" s="83"/>
      <c r="AE110" s="83"/>
      <c r="AF110" s="83"/>
      <c r="AG110" s="83"/>
      <c r="AH110" s="83"/>
      <c r="AI110" s="84">
        <f t="shared" ref="AI110:AI113" si="19">AA110*X110</f>
        <v>0</v>
      </c>
      <c r="AJ110" s="84"/>
      <c r="AK110" s="84"/>
      <c r="AL110" s="84"/>
      <c r="AM110" s="84"/>
      <c r="AN110" s="197">
        <f t="shared" ref="AN110:AN113" si="20">ROUND(AI110*(1+$L$31),2)</f>
        <v>0</v>
      </c>
      <c r="AO110" s="198"/>
      <c r="AP110" s="199"/>
      <c r="AQ110" s="188"/>
      <c r="AS110" s="200"/>
      <c r="AT110" s="201">
        <f t="shared" si="6"/>
        <v>0</v>
      </c>
    </row>
    <row r="111" spans="1:48" s="189" customFormat="1" ht="28.5" customHeight="1">
      <c r="C111" s="184" t="s">
        <v>751</v>
      </c>
      <c r="D111" s="194" t="s">
        <v>113</v>
      </c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6" t="s">
        <v>61</v>
      </c>
      <c r="V111" s="196"/>
      <c r="W111" s="196"/>
      <c r="X111" s="82">
        <v>1</v>
      </c>
      <c r="Y111" s="82"/>
      <c r="Z111" s="82"/>
      <c r="AA111" s="83"/>
      <c r="AB111" s="83"/>
      <c r="AC111" s="83"/>
      <c r="AD111" s="83"/>
      <c r="AE111" s="83"/>
      <c r="AF111" s="83"/>
      <c r="AG111" s="83"/>
      <c r="AH111" s="83"/>
      <c r="AI111" s="84">
        <f t="shared" si="19"/>
        <v>0</v>
      </c>
      <c r="AJ111" s="84"/>
      <c r="AK111" s="84"/>
      <c r="AL111" s="84"/>
      <c r="AM111" s="84"/>
      <c r="AN111" s="197">
        <f t="shared" si="20"/>
        <v>0</v>
      </c>
      <c r="AO111" s="198"/>
      <c r="AP111" s="199"/>
      <c r="AQ111" s="188"/>
      <c r="AS111" s="200"/>
      <c r="AT111" s="201">
        <f t="shared" si="6"/>
        <v>0</v>
      </c>
    </row>
    <row r="112" spans="1:48" s="189" customFormat="1" ht="13.2" customHeight="1">
      <c r="C112" s="184" t="s">
        <v>751</v>
      </c>
      <c r="D112" s="194" t="s">
        <v>759</v>
      </c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6" t="s">
        <v>61</v>
      </c>
      <c r="V112" s="196"/>
      <c r="W112" s="196"/>
      <c r="X112" s="82">
        <v>1</v>
      </c>
      <c r="Y112" s="82"/>
      <c r="Z112" s="82"/>
      <c r="AA112" s="83"/>
      <c r="AB112" s="83"/>
      <c r="AC112" s="83"/>
      <c r="AD112" s="83"/>
      <c r="AE112" s="83"/>
      <c r="AF112" s="83"/>
      <c r="AG112" s="83"/>
      <c r="AH112" s="83"/>
      <c r="AI112" s="84">
        <f t="shared" si="19"/>
        <v>0</v>
      </c>
      <c r="AJ112" s="84"/>
      <c r="AK112" s="84"/>
      <c r="AL112" s="84"/>
      <c r="AM112" s="84"/>
      <c r="AN112" s="197">
        <f t="shared" si="20"/>
        <v>0</v>
      </c>
      <c r="AO112" s="198"/>
      <c r="AP112" s="199"/>
      <c r="AQ112" s="188"/>
      <c r="AS112" s="200"/>
      <c r="AT112" s="201">
        <f t="shared" ref="AT112:AT113" si="21">AI112/$AS$101</f>
        <v>0</v>
      </c>
    </row>
    <row r="113" spans="3:46" s="189" customFormat="1" ht="13.2" customHeight="1">
      <c r="C113" s="184" t="s">
        <v>753</v>
      </c>
      <c r="D113" s="194" t="s">
        <v>760</v>
      </c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6" t="s">
        <v>61</v>
      </c>
      <c r="V113" s="196"/>
      <c r="W113" s="196"/>
      <c r="X113" s="82">
        <v>1</v>
      </c>
      <c r="Y113" s="82"/>
      <c r="Z113" s="82"/>
      <c r="AA113" s="83"/>
      <c r="AB113" s="83"/>
      <c r="AC113" s="83"/>
      <c r="AD113" s="83"/>
      <c r="AE113" s="83"/>
      <c r="AF113" s="83"/>
      <c r="AG113" s="83"/>
      <c r="AH113" s="83"/>
      <c r="AI113" s="84">
        <f t="shared" si="19"/>
        <v>0</v>
      </c>
      <c r="AJ113" s="84"/>
      <c r="AK113" s="84"/>
      <c r="AL113" s="84"/>
      <c r="AM113" s="84"/>
      <c r="AN113" s="197">
        <f t="shared" si="20"/>
        <v>0</v>
      </c>
      <c r="AO113" s="198"/>
      <c r="AP113" s="199"/>
      <c r="AQ113" s="188"/>
      <c r="AS113" s="200"/>
      <c r="AT113" s="201">
        <f t="shared" si="21"/>
        <v>0</v>
      </c>
    </row>
    <row r="114" spans="3:46" s="189" customFormat="1" ht="28.5" customHeight="1">
      <c r="C114" s="184" t="s">
        <v>758</v>
      </c>
      <c r="D114" s="194" t="s">
        <v>757</v>
      </c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6" t="s">
        <v>61</v>
      </c>
      <c r="V114" s="196"/>
      <c r="W114" s="196"/>
      <c r="X114" s="82">
        <v>1</v>
      </c>
      <c r="Y114" s="82"/>
      <c r="Z114" s="82"/>
      <c r="AA114" s="83"/>
      <c r="AB114" s="83"/>
      <c r="AC114" s="83"/>
      <c r="AD114" s="83"/>
      <c r="AE114" s="83"/>
      <c r="AF114" s="83"/>
      <c r="AG114" s="83"/>
      <c r="AH114" s="83"/>
      <c r="AI114" s="84">
        <f t="shared" si="4"/>
        <v>0</v>
      </c>
      <c r="AJ114" s="84"/>
      <c r="AK114" s="84"/>
      <c r="AL114" s="84"/>
      <c r="AM114" s="84"/>
      <c r="AN114" s="197">
        <f t="shared" si="5"/>
        <v>0</v>
      </c>
      <c r="AO114" s="198"/>
      <c r="AP114" s="199"/>
      <c r="AQ114" s="188"/>
      <c r="AS114" s="200"/>
      <c r="AT114" s="201">
        <f t="shared" si="6"/>
        <v>0</v>
      </c>
    </row>
    <row r="116" spans="3:46" ht="30" customHeight="1">
      <c r="C116" s="202" t="s">
        <v>65</v>
      </c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4">
        <f>AG87+AG97+AG101</f>
        <v>0</v>
      </c>
      <c r="AH116" s="204"/>
      <c r="AI116" s="204"/>
      <c r="AJ116" s="204"/>
      <c r="AK116" s="204"/>
      <c r="AL116" s="204"/>
      <c r="AM116" s="204"/>
      <c r="AN116" s="204">
        <f>AN87+AN97+AN101</f>
        <v>0</v>
      </c>
      <c r="AO116" s="204"/>
      <c r="AP116" s="204"/>
      <c r="AQ116" s="167"/>
      <c r="AS116" s="205">
        <f>AS101</f>
        <v>1898.6840000000002</v>
      </c>
      <c r="AT116" s="205">
        <f>AG116/$AS$116</f>
        <v>0</v>
      </c>
    </row>
  </sheetData>
  <sheetProtection algorithmName="SHA-512" hashValue="B0nqJrCY5ffzzC5cwH3klKffhpt5j2k6z6gwYTjFt39IiI9rcv9PN/Cji1glbG9UwU4W1uPSZNU+tpnSAHCeXw==" saltValue="z7hWyfXjva42LLKNQYkS+Q==" spinCount="100000" sheet="1" objects="1" scenarios="1"/>
  <mergeCells count="159">
    <mergeCell ref="X104:Z104"/>
    <mergeCell ref="D104:T104"/>
    <mergeCell ref="AA104:AH104"/>
    <mergeCell ref="AI104:AM104"/>
    <mergeCell ref="U112:W112"/>
    <mergeCell ref="X112:Z112"/>
    <mergeCell ref="AA112:AH112"/>
    <mergeCell ref="AI112:AM112"/>
    <mergeCell ref="D112:T112"/>
    <mergeCell ref="D109:T109"/>
    <mergeCell ref="U109:W109"/>
    <mergeCell ref="X109:Z109"/>
    <mergeCell ref="AA109:AH109"/>
    <mergeCell ref="AI109:AM109"/>
    <mergeCell ref="D106:T106"/>
    <mergeCell ref="U106:W106"/>
    <mergeCell ref="X106:Z106"/>
    <mergeCell ref="AI106:AM106"/>
    <mergeCell ref="D110:T110"/>
    <mergeCell ref="D113:T113"/>
    <mergeCell ref="U113:W113"/>
    <mergeCell ref="X113:Z113"/>
    <mergeCell ref="AA113:AH113"/>
    <mergeCell ref="AI113:AM113"/>
    <mergeCell ref="U110:W110"/>
    <mergeCell ref="X110:Z110"/>
    <mergeCell ref="AA110:AH110"/>
    <mergeCell ref="AI110:AM110"/>
    <mergeCell ref="D111:T111"/>
    <mergeCell ref="U111:W111"/>
    <mergeCell ref="X111:Z111"/>
    <mergeCell ref="AA111:AH111"/>
    <mergeCell ref="AN116:AP116"/>
    <mergeCell ref="AN112:AP112"/>
    <mergeCell ref="AN113:AP113"/>
    <mergeCell ref="D114:T114"/>
    <mergeCell ref="U114:W114"/>
    <mergeCell ref="X114:Z114"/>
    <mergeCell ref="AA114:AH114"/>
    <mergeCell ref="AI114:AM114"/>
    <mergeCell ref="AN109:AP109"/>
    <mergeCell ref="AG98:AM98"/>
    <mergeCell ref="AG116:AM116"/>
    <mergeCell ref="AN114:AP114"/>
    <mergeCell ref="AI103:AM103"/>
    <mergeCell ref="AM80:AN80"/>
    <mergeCell ref="AG101:AM101"/>
    <mergeCell ref="AN101:AP101"/>
    <mergeCell ref="AN88:AP88"/>
    <mergeCell ref="AG88:AM88"/>
    <mergeCell ref="AG87:AM87"/>
    <mergeCell ref="AN87:AP87"/>
    <mergeCell ref="AM83:AP83"/>
    <mergeCell ref="AG85:AM85"/>
    <mergeCell ref="AN85:AP85"/>
    <mergeCell ref="AM82:AP82"/>
    <mergeCell ref="AG90:AM90"/>
    <mergeCell ref="AN90:AP90"/>
    <mergeCell ref="AG99:AM99"/>
    <mergeCell ref="AN99:AP99"/>
    <mergeCell ref="AG97:AM97"/>
    <mergeCell ref="AN97:AP97"/>
    <mergeCell ref="AN98:AP98"/>
    <mergeCell ref="AA106:AH106"/>
    <mergeCell ref="C2:AP2"/>
    <mergeCell ref="K3:AO3"/>
    <mergeCell ref="K4:AO4"/>
    <mergeCell ref="E24:G24"/>
    <mergeCell ref="H24:I24"/>
    <mergeCell ref="K24:AO24"/>
    <mergeCell ref="K11:AH11"/>
    <mergeCell ref="K6:AJ6"/>
    <mergeCell ref="K8:AJ8"/>
    <mergeCell ref="AK27:AO27"/>
    <mergeCell ref="AK29:AO29"/>
    <mergeCell ref="W32:AE32"/>
    <mergeCell ref="AK32:AO32"/>
    <mergeCell ref="L32:O32"/>
    <mergeCell ref="L33:O33"/>
    <mergeCell ref="AK35:AO35"/>
    <mergeCell ref="X37:AB37"/>
    <mergeCell ref="AK37:AO37"/>
    <mergeCell ref="AK33:AO33"/>
    <mergeCell ref="L31:O31"/>
    <mergeCell ref="L34:O34"/>
    <mergeCell ref="W34:AE34"/>
    <mergeCell ref="AK34:AO34"/>
    <mergeCell ref="W31:AE31"/>
    <mergeCell ref="AK31:AO31"/>
    <mergeCell ref="D40:AP40"/>
    <mergeCell ref="D41:AP41"/>
    <mergeCell ref="D42:AP42"/>
    <mergeCell ref="W33:AE33"/>
    <mergeCell ref="I78:AO78"/>
    <mergeCell ref="I77:T77"/>
    <mergeCell ref="I80:AH80"/>
    <mergeCell ref="AN110:AP110"/>
    <mergeCell ref="AI111:AM111"/>
    <mergeCell ref="AN111:AP111"/>
    <mergeCell ref="C76:AP76"/>
    <mergeCell ref="C85:G85"/>
    <mergeCell ref="I85:AF85"/>
    <mergeCell ref="D88:AF88"/>
    <mergeCell ref="L35:O35"/>
    <mergeCell ref="W35:AE35"/>
    <mergeCell ref="I82:AH82"/>
    <mergeCell ref="D89:AF89"/>
    <mergeCell ref="AG89:AM89"/>
    <mergeCell ref="AN89:AP89"/>
    <mergeCell ref="D102:T102"/>
    <mergeCell ref="X102:Z102"/>
    <mergeCell ref="AA102:AH102"/>
    <mergeCell ref="D90:AF90"/>
    <mergeCell ref="D91:AF91"/>
    <mergeCell ref="AG91:AM91"/>
    <mergeCell ref="AN91:AP91"/>
    <mergeCell ref="D92:AF92"/>
    <mergeCell ref="AG92:AM92"/>
    <mergeCell ref="AN92:AP92"/>
    <mergeCell ref="D93:AF93"/>
    <mergeCell ref="AG93:AM93"/>
    <mergeCell ref="AN93:AP93"/>
    <mergeCell ref="D94:AF94"/>
    <mergeCell ref="AG94:AM94"/>
    <mergeCell ref="AN94:AP94"/>
    <mergeCell ref="D95:AF95"/>
    <mergeCell ref="AG95:AM95"/>
    <mergeCell ref="AN95:AP95"/>
    <mergeCell ref="D105:T105"/>
    <mergeCell ref="U105:W105"/>
    <mergeCell ref="X105:Z105"/>
    <mergeCell ref="AA105:AH105"/>
    <mergeCell ref="AI105:AM105"/>
    <mergeCell ref="AN105:AP105"/>
    <mergeCell ref="AN102:AP102"/>
    <mergeCell ref="AI102:AM102"/>
    <mergeCell ref="AN104:AP104"/>
    <mergeCell ref="AN103:AP103"/>
    <mergeCell ref="U102:W102"/>
    <mergeCell ref="D99:AF99"/>
    <mergeCell ref="D98:AF98"/>
    <mergeCell ref="AA103:AH103"/>
    <mergeCell ref="D103:T103"/>
    <mergeCell ref="U104:W104"/>
    <mergeCell ref="U103:W103"/>
    <mergeCell ref="X103:Z103"/>
    <mergeCell ref="AN106:AP106"/>
    <mergeCell ref="D107:T107"/>
    <mergeCell ref="U107:W107"/>
    <mergeCell ref="X107:Z107"/>
    <mergeCell ref="AA107:AH107"/>
    <mergeCell ref="AI107:AM107"/>
    <mergeCell ref="AN107:AP107"/>
    <mergeCell ref="D108:T108"/>
    <mergeCell ref="U108:W108"/>
    <mergeCell ref="X108:Z108"/>
    <mergeCell ref="AA108:AH108"/>
    <mergeCell ref="AI108:AM108"/>
    <mergeCell ref="AN108:AP108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73857-90D3-4B2B-8ACB-201C22C1090F}">
  <sheetPr>
    <pageSetUpPr fitToPage="1"/>
  </sheetPr>
  <dimension ref="A1:I64"/>
  <sheetViews>
    <sheetView view="pageBreakPreview" zoomScaleNormal="100" zoomScaleSheetLayoutView="100" workbookViewId="0">
      <selection activeCell="B5" sqref="B5:G5"/>
    </sheetView>
  </sheetViews>
  <sheetFormatPr defaultRowHeight="11.4"/>
  <cols>
    <col min="1" max="1" width="4.42578125" style="344" customWidth="1"/>
    <col min="2" max="2" width="56.85546875" style="345" customWidth="1"/>
    <col min="3" max="3" width="8" style="344" customWidth="1"/>
    <col min="4" max="4" width="14.42578125" style="9" customWidth="1"/>
    <col min="5" max="5" width="20.7109375" style="10" customWidth="1"/>
    <col min="6" max="6" width="22" style="10" customWidth="1"/>
    <col min="7" max="7" width="10.7109375" style="346" customWidth="1"/>
    <col min="8" max="8" width="2" style="287" customWidth="1"/>
    <col min="9" max="9" width="27.85546875" style="287" customWidth="1"/>
    <col min="10" max="257" width="9.140625" style="287"/>
    <col min="258" max="258" width="55.28515625" style="287" customWidth="1"/>
    <col min="259" max="259" width="8" style="287" customWidth="1"/>
    <col min="260" max="260" width="9.85546875" style="287" customWidth="1"/>
    <col min="261" max="261" width="11.28515625" style="287" customWidth="1"/>
    <col min="262" max="262" width="17.7109375" style="287" customWidth="1"/>
    <col min="263" max="263" width="10.7109375" style="287" customWidth="1"/>
    <col min="264" max="513" width="9.140625" style="287"/>
    <col min="514" max="514" width="55.28515625" style="287" customWidth="1"/>
    <col min="515" max="515" width="8" style="287" customWidth="1"/>
    <col min="516" max="516" width="9.85546875" style="287" customWidth="1"/>
    <col min="517" max="517" width="11.28515625" style="287" customWidth="1"/>
    <col min="518" max="518" width="17.7109375" style="287" customWidth="1"/>
    <col min="519" max="519" width="10.7109375" style="287" customWidth="1"/>
    <col min="520" max="769" width="9.140625" style="287"/>
    <col min="770" max="770" width="55.28515625" style="287" customWidth="1"/>
    <col min="771" max="771" width="8" style="287" customWidth="1"/>
    <col min="772" max="772" width="9.85546875" style="287" customWidth="1"/>
    <col min="773" max="773" width="11.28515625" style="287" customWidth="1"/>
    <col min="774" max="774" width="17.7109375" style="287" customWidth="1"/>
    <col min="775" max="775" width="10.7109375" style="287" customWidth="1"/>
    <col min="776" max="1025" width="9.140625" style="287"/>
    <col min="1026" max="1026" width="55.28515625" style="287" customWidth="1"/>
    <col min="1027" max="1027" width="8" style="287" customWidth="1"/>
    <col min="1028" max="1028" width="9.85546875" style="287" customWidth="1"/>
    <col min="1029" max="1029" width="11.28515625" style="287" customWidth="1"/>
    <col min="1030" max="1030" width="17.7109375" style="287" customWidth="1"/>
    <col min="1031" max="1031" width="10.7109375" style="287" customWidth="1"/>
    <col min="1032" max="1281" width="9.140625" style="287"/>
    <col min="1282" max="1282" width="55.28515625" style="287" customWidth="1"/>
    <col min="1283" max="1283" width="8" style="287" customWidth="1"/>
    <col min="1284" max="1284" width="9.85546875" style="287" customWidth="1"/>
    <col min="1285" max="1285" width="11.28515625" style="287" customWidth="1"/>
    <col min="1286" max="1286" width="17.7109375" style="287" customWidth="1"/>
    <col min="1287" max="1287" width="10.7109375" style="287" customWidth="1"/>
    <col min="1288" max="1537" width="9.140625" style="287"/>
    <col min="1538" max="1538" width="55.28515625" style="287" customWidth="1"/>
    <col min="1539" max="1539" width="8" style="287" customWidth="1"/>
    <col min="1540" max="1540" width="9.85546875" style="287" customWidth="1"/>
    <col min="1541" max="1541" width="11.28515625" style="287" customWidth="1"/>
    <col min="1542" max="1542" width="17.7109375" style="287" customWidth="1"/>
    <col min="1543" max="1543" width="10.7109375" style="287" customWidth="1"/>
    <col min="1544" max="1793" width="9.140625" style="287"/>
    <col min="1794" max="1794" width="55.28515625" style="287" customWidth="1"/>
    <col min="1795" max="1795" width="8" style="287" customWidth="1"/>
    <col min="1796" max="1796" width="9.85546875" style="287" customWidth="1"/>
    <col min="1797" max="1797" width="11.28515625" style="287" customWidth="1"/>
    <col min="1798" max="1798" width="17.7109375" style="287" customWidth="1"/>
    <col min="1799" max="1799" width="10.7109375" style="287" customWidth="1"/>
    <col min="1800" max="2049" width="9.140625" style="287"/>
    <col min="2050" max="2050" width="55.28515625" style="287" customWidth="1"/>
    <col min="2051" max="2051" width="8" style="287" customWidth="1"/>
    <col min="2052" max="2052" width="9.85546875" style="287" customWidth="1"/>
    <col min="2053" max="2053" width="11.28515625" style="287" customWidth="1"/>
    <col min="2054" max="2054" width="17.7109375" style="287" customWidth="1"/>
    <col min="2055" max="2055" width="10.7109375" style="287" customWidth="1"/>
    <col min="2056" max="2305" width="9.140625" style="287"/>
    <col min="2306" max="2306" width="55.28515625" style="287" customWidth="1"/>
    <col min="2307" max="2307" width="8" style="287" customWidth="1"/>
    <col min="2308" max="2308" width="9.85546875" style="287" customWidth="1"/>
    <col min="2309" max="2309" width="11.28515625" style="287" customWidth="1"/>
    <col min="2310" max="2310" width="17.7109375" style="287" customWidth="1"/>
    <col min="2311" max="2311" width="10.7109375" style="287" customWidth="1"/>
    <col min="2312" max="2561" width="9.140625" style="287"/>
    <col min="2562" max="2562" width="55.28515625" style="287" customWidth="1"/>
    <col min="2563" max="2563" width="8" style="287" customWidth="1"/>
    <col min="2564" max="2564" width="9.85546875" style="287" customWidth="1"/>
    <col min="2565" max="2565" width="11.28515625" style="287" customWidth="1"/>
    <col min="2566" max="2566" width="17.7109375" style="287" customWidth="1"/>
    <col min="2567" max="2567" width="10.7109375" style="287" customWidth="1"/>
    <col min="2568" max="2817" width="9.140625" style="287"/>
    <col min="2818" max="2818" width="55.28515625" style="287" customWidth="1"/>
    <col min="2819" max="2819" width="8" style="287" customWidth="1"/>
    <col min="2820" max="2820" width="9.85546875" style="287" customWidth="1"/>
    <col min="2821" max="2821" width="11.28515625" style="287" customWidth="1"/>
    <col min="2822" max="2822" width="17.7109375" style="287" customWidth="1"/>
    <col min="2823" max="2823" width="10.7109375" style="287" customWidth="1"/>
    <col min="2824" max="3073" width="9.140625" style="287"/>
    <col min="3074" max="3074" width="55.28515625" style="287" customWidth="1"/>
    <col min="3075" max="3075" width="8" style="287" customWidth="1"/>
    <col min="3076" max="3076" width="9.85546875" style="287" customWidth="1"/>
    <col min="3077" max="3077" width="11.28515625" style="287" customWidth="1"/>
    <col min="3078" max="3078" width="17.7109375" style="287" customWidth="1"/>
    <col min="3079" max="3079" width="10.7109375" style="287" customWidth="1"/>
    <col min="3080" max="3329" width="9.140625" style="287"/>
    <col min="3330" max="3330" width="55.28515625" style="287" customWidth="1"/>
    <col min="3331" max="3331" width="8" style="287" customWidth="1"/>
    <col min="3332" max="3332" width="9.85546875" style="287" customWidth="1"/>
    <col min="3333" max="3333" width="11.28515625" style="287" customWidth="1"/>
    <col min="3334" max="3334" width="17.7109375" style="287" customWidth="1"/>
    <col min="3335" max="3335" width="10.7109375" style="287" customWidth="1"/>
    <col min="3336" max="3585" width="9.140625" style="287"/>
    <col min="3586" max="3586" width="55.28515625" style="287" customWidth="1"/>
    <col min="3587" max="3587" width="8" style="287" customWidth="1"/>
    <col min="3588" max="3588" width="9.85546875" style="287" customWidth="1"/>
    <col min="3589" max="3589" width="11.28515625" style="287" customWidth="1"/>
    <col min="3590" max="3590" width="17.7109375" style="287" customWidth="1"/>
    <col min="3591" max="3591" width="10.7109375" style="287" customWidth="1"/>
    <col min="3592" max="3841" width="9.140625" style="287"/>
    <col min="3842" max="3842" width="55.28515625" style="287" customWidth="1"/>
    <col min="3843" max="3843" width="8" style="287" customWidth="1"/>
    <col min="3844" max="3844" width="9.85546875" style="287" customWidth="1"/>
    <col min="3845" max="3845" width="11.28515625" style="287" customWidth="1"/>
    <col min="3846" max="3846" width="17.7109375" style="287" customWidth="1"/>
    <col min="3847" max="3847" width="10.7109375" style="287" customWidth="1"/>
    <col min="3848" max="4097" width="9.140625" style="287"/>
    <col min="4098" max="4098" width="55.28515625" style="287" customWidth="1"/>
    <col min="4099" max="4099" width="8" style="287" customWidth="1"/>
    <col min="4100" max="4100" width="9.85546875" style="287" customWidth="1"/>
    <col min="4101" max="4101" width="11.28515625" style="287" customWidth="1"/>
    <col min="4102" max="4102" width="17.7109375" style="287" customWidth="1"/>
    <col min="4103" max="4103" width="10.7109375" style="287" customWidth="1"/>
    <col min="4104" max="4353" width="9.140625" style="287"/>
    <col min="4354" max="4354" width="55.28515625" style="287" customWidth="1"/>
    <col min="4355" max="4355" width="8" style="287" customWidth="1"/>
    <col min="4356" max="4356" width="9.85546875" style="287" customWidth="1"/>
    <col min="4357" max="4357" width="11.28515625" style="287" customWidth="1"/>
    <col min="4358" max="4358" width="17.7109375" style="287" customWidth="1"/>
    <col min="4359" max="4359" width="10.7109375" style="287" customWidth="1"/>
    <col min="4360" max="4609" width="9.140625" style="287"/>
    <col min="4610" max="4610" width="55.28515625" style="287" customWidth="1"/>
    <col min="4611" max="4611" width="8" style="287" customWidth="1"/>
    <col min="4612" max="4612" width="9.85546875" style="287" customWidth="1"/>
    <col min="4613" max="4613" width="11.28515625" style="287" customWidth="1"/>
    <col min="4614" max="4614" width="17.7109375" style="287" customWidth="1"/>
    <col min="4615" max="4615" width="10.7109375" style="287" customWidth="1"/>
    <col min="4616" max="4865" width="9.140625" style="287"/>
    <col min="4866" max="4866" width="55.28515625" style="287" customWidth="1"/>
    <col min="4867" max="4867" width="8" style="287" customWidth="1"/>
    <col min="4868" max="4868" width="9.85546875" style="287" customWidth="1"/>
    <col min="4869" max="4869" width="11.28515625" style="287" customWidth="1"/>
    <col min="4870" max="4870" width="17.7109375" style="287" customWidth="1"/>
    <col min="4871" max="4871" width="10.7109375" style="287" customWidth="1"/>
    <col min="4872" max="5121" width="9.140625" style="287"/>
    <col min="5122" max="5122" width="55.28515625" style="287" customWidth="1"/>
    <col min="5123" max="5123" width="8" style="287" customWidth="1"/>
    <col min="5124" max="5124" width="9.85546875" style="287" customWidth="1"/>
    <col min="5125" max="5125" width="11.28515625" style="287" customWidth="1"/>
    <col min="5126" max="5126" width="17.7109375" style="287" customWidth="1"/>
    <col min="5127" max="5127" width="10.7109375" style="287" customWidth="1"/>
    <col min="5128" max="5377" width="9.140625" style="287"/>
    <col min="5378" max="5378" width="55.28515625" style="287" customWidth="1"/>
    <col min="5379" max="5379" width="8" style="287" customWidth="1"/>
    <col min="5380" max="5380" width="9.85546875" style="287" customWidth="1"/>
    <col min="5381" max="5381" width="11.28515625" style="287" customWidth="1"/>
    <col min="5382" max="5382" width="17.7109375" style="287" customWidth="1"/>
    <col min="5383" max="5383" width="10.7109375" style="287" customWidth="1"/>
    <col min="5384" max="5633" width="9.140625" style="287"/>
    <col min="5634" max="5634" width="55.28515625" style="287" customWidth="1"/>
    <col min="5635" max="5635" width="8" style="287" customWidth="1"/>
    <col min="5636" max="5636" width="9.85546875" style="287" customWidth="1"/>
    <col min="5637" max="5637" width="11.28515625" style="287" customWidth="1"/>
    <col min="5638" max="5638" width="17.7109375" style="287" customWidth="1"/>
    <col min="5639" max="5639" width="10.7109375" style="287" customWidth="1"/>
    <col min="5640" max="5889" width="9.140625" style="287"/>
    <col min="5890" max="5890" width="55.28515625" style="287" customWidth="1"/>
    <col min="5891" max="5891" width="8" style="287" customWidth="1"/>
    <col min="5892" max="5892" width="9.85546875" style="287" customWidth="1"/>
    <col min="5893" max="5893" width="11.28515625" style="287" customWidth="1"/>
    <col min="5894" max="5894" width="17.7109375" style="287" customWidth="1"/>
    <col min="5895" max="5895" width="10.7109375" style="287" customWidth="1"/>
    <col min="5896" max="6145" width="9.140625" style="287"/>
    <col min="6146" max="6146" width="55.28515625" style="287" customWidth="1"/>
    <col min="6147" max="6147" width="8" style="287" customWidth="1"/>
    <col min="6148" max="6148" width="9.85546875" style="287" customWidth="1"/>
    <col min="6149" max="6149" width="11.28515625" style="287" customWidth="1"/>
    <col min="6150" max="6150" width="17.7109375" style="287" customWidth="1"/>
    <col min="6151" max="6151" width="10.7109375" style="287" customWidth="1"/>
    <col min="6152" max="6401" width="9.140625" style="287"/>
    <col min="6402" max="6402" width="55.28515625" style="287" customWidth="1"/>
    <col min="6403" max="6403" width="8" style="287" customWidth="1"/>
    <col min="6404" max="6404" width="9.85546875" style="287" customWidth="1"/>
    <col min="6405" max="6405" width="11.28515625" style="287" customWidth="1"/>
    <col min="6406" max="6406" width="17.7109375" style="287" customWidth="1"/>
    <col min="6407" max="6407" width="10.7109375" style="287" customWidth="1"/>
    <col min="6408" max="6657" width="9.140625" style="287"/>
    <col min="6658" max="6658" width="55.28515625" style="287" customWidth="1"/>
    <col min="6659" max="6659" width="8" style="287" customWidth="1"/>
    <col min="6660" max="6660" width="9.85546875" style="287" customWidth="1"/>
    <col min="6661" max="6661" width="11.28515625" style="287" customWidth="1"/>
    <col min="6662" max="6662" width="17.7109375" style="287" customWidth="1"/>
    <col min="6663" max="6663" width="10.7109375" style="287" customWidth="1"/>
    <col min="6664" max="6913" width="9.140625" style="287"/>
    <col min="6914" max="6914" width="55.28515625" style="287" customWidth="1"/>
    <col min="6915" max="6915" width="8" style="287" customWidth="1"/>
    <col min="6916" max="6916" width="9.85546875" style="287" customWidth="1"/>
    <col min="6917" max="6917" width="11.28515625" style="287" customWidth="1"/>
    <col min="6918" max="6918" width="17.7109375" style="287" customWidth="1"/>
    <col min="6919" max="6919" width="10.7109375" style="287" customWidth="1"/>
    <col min="6920" max="7169" width="9.140625" style="287"/>
    <col min="7170" max="7170" width="55.28515625" style="287" customWidth="1"/>
    <col min="7171" max="7171" width="8" style="287" customWidth="1"/>
    <col min="7172" max="7172" width="9.85546875" style="287" customWidth="1"/>
    <col min="7173" max="7173" width="11.28515625" style="287" customWidth="1"/>
    <col min="7174" max="7174" width="17.7109375" style="287" customWidth="1"/>
    <col min="7175" max="7175" width="10.7109375" style="287" customWidth="1"/>
    <col min="7176" max="7425" width="9.140625" style="287"/>
    <col min="7426" max="7426" width="55.28515625" style="287" customWidth="1"/>
    <col min="7427" max="7427" width="8" style="287" customWidth="1"/>
    <col min="7428" max="7428" width="9.85546875" style="287" customWidth="1"/>
    <col min="7429" max="7429" width="11.28515625" style="287" customWidth="1"/>
    <col min="7430" max="7430" width="17.7109375" style="287" customWidth="1"/>
    <col min="7431" max="7431" width="10.7109375" style="287" customWidth="1"/>
    <col min="7432" max="7681" width="9.140625" style="287"/>
    <col min="7682" max="7682" width="55.28515625" style="287" customWidth="1"/>
    <col min="7683" max="7683" width="8" style="287" customWidth="1"/>
    <col min="7684" max="7684" width="9.85546875" style="287" customWidth="1"/>
    <col min="7685" max="7685" width="11.28515625" style="287" customWidth="1"/>
    <col min="7686" max="7686" width="17.7109375" style="287" customWidth="1"/>
    <col min="7687" max="7687" width="10.7109375" style="287" customWidth="1"/>
    <col min="7688" max="7937" width="9.140625" style="287"/>
    <col min="7938" max="7938" width="55.28515625" style="287" customWidth="1"/>
    <col min="7939" max="7939" width="8" style="287" customWidth="1"/>
    <col min="7940" max="7940" width="9.85546875" style="287" customWidth="1"/>
    <col min="7941" max="7941" width="11.28515625" style="287" customWidth="1"/>
    <col min="7942" max="7942" width="17.7109375" style="287" customWidth="1"/>
    <col min="7943" max="7943" width="10.7109375" style="287" customWidth="1"/>
    <col min="7944" max="8193" width="9.140625" style="287"/>
    <col min="8194" max="8194" width="55.28515625" style="287" customWidth="1"/>
    <col min="8195" max="8195" width="8" style="287" customWidth="1"/>
    <col min="8196" max="8196" width="9.85546875" style="287" customWidth="1"/>
    <col min="8197" max="8197" width="11.28515625" style="287" customWidth="1"/>
    <col min="8198" max="8198" width="17.7109375" style="287" customWidth="1"/>
    <col min="8199" max="8199" width="10.7109375" style="287" customWidth="1"/>
    <col min="8200" max="8449" width="9.140625" style="287"/>
    <col min="8450" max="8450" width="55.28515625" style="287" customWidth="1"/>
    <col min="8451" max="8451" width="8" style="287" customWidth="1"/>
    <col min="8452" max="8452" width="9.85546875" style="287" customWidth="1"/>
    <col min="8453" max="8453" width="11.28515625" style="287" customWidth="1"/>
    <col min="8454" max="8454" width="17.7109375" style="287" customWidth="1"/>
    <col min="8455" max="8455" width="10.7109375" style="287" customWidth="1"/>
    <col min="8456" max="8705" width="9.140625" style="287"/>
    <col min="8706" max="8706" width="55.28515625" style="287" customWidth="1"/>
    <col min="8707" max="8707" width="8" style="287" customWidth="1"/>
    <col min="8708" max="8708" width="9.85546875" style="287" customWidth="1"/>
    <col min="8709" max="8709" width="11.28515625" style="287" customWidth="1"/>
    <col min="8710" max="8710" width="17.7109375" style="287" customWidth="1"/>
    <col min="8711" max="8711" width="10.7109375" style="287" customWidth="1"/>
    <col min="8712" max="8961" width="9.140625" style="287"/>
    <col min="8962" max="8962" width="55.28515625" style="287" customWidth="1"/>
    <col min="8963" max="8963" width="8" style="287" customWidth="1"/>
    <col min="8964" max="8964" width="9.85546875" style="287" customWidth="1"/>
    <col min="8965" max="8965" width="11.28515625" style="287" customWidth="1"/>
    <col min="8966" max="8966" width="17.7109375" style="287" customWidth="1"/>
    <col min="8967" max="8967" width="10.7109375" style="287" customWidth="1"/>
    <col min="8968" max="9217" width="9.140625" style="287"/>
    <col min="9218" max="9218" width="55.28515625" style="287" customWidth="1"/>
    <col min="9219" max="9219" width="8" style="287" customWidth="1"/>
    <col min="9220" max="9220" width="9.85546875" style="287" customWidth="1"/>
    <col min="9221" max="9221" width="11.28515625" style="287" customWidth="1"/>
    <col min="9222" max="9222" width="17.7109375" style="287" customWidth="1"/>
    <col min="9223" max="9223" width="10.7109375" style="287" customWidth="1"/>
    <col min="9224" max="9473" width="9.140625" style="287"/>
    <col min="9474" max="9474" width="55.28515625" style="287" customWidth="1"/>
    <col min="9475" max="9475" width="8" style="287" customWidth="1"/>
    <col min="9476" max="9476" width="9.85546875" style="287" customWidth="1"/>
    <col min="9477" max="9477" width="11.28515625" style="287" customWidth="1"/>
    <col min="9478" max="9478" width="17.7109375" style="287" customWidth="1"/>
    <col min="9479" max="9479" width="10.7109375" style="287" customWidth="1"/>
    <col min="9480" max="9729" width="9.140625" style="287"/>
    <col min="9730" max="9730" width="55.28515625" style="287" customWidth="1"/>
    <col min="9731" max="9731" width="8" style="287" customWidth="1"/>
    <col min="9732" max="9732" width="9.85546875" style="287" customWidth="1"/>
    <col min="9733" max="9733" width="11.28515625" style="287" customWidth="1"/>
    <col min="9734" max="9734" width="17.7109375" style="287" customWidth="1"/>
    <col min="9735" max="9735" width="10.7109375" style="287" customWidth="1"/>
    <col min="9736" max="9985" width="9.140625" style="287"/>
    <col min="9986" max="9986" width="55.28515625" style="287" customWidth="1"/>
    <col min="9987" max="9987" width="8" style="287" customWidth="1"/>
    <col min="9988" max="9988" width="9.85546875" style="287" customWidth="1"/>
    <col min="9989" max="9989" width="11.28515625" style="287" customWidth="1"/>
    <col min="9990" max="9990" width="17.7109375" style="287" customWidth="1"/>
    <col min="9991" max="9991" width="10.7109375" style="287" customWidth="1"/>
    <col min="9992" max="10241" width="9.140625" style="287"/>
    <col min="10242" max="10242" width="55.28515625" style="287" customWidth="1"/>
    <col min="10243" max="10243" width="8" style="287" customWidth="1"/>
    <col min="10244" max="10244" width="9.85546875" style="287" customWidth="1"/>
    <col min="10245" max="10245" width="11.28515625" style="287" customWidth="1"/>
    <col min="10246" max="10246" width="17.7109375" style="287" customWidth="1"/>
    <col min="10247" max="10247" width="10.7109375" style="287" customWidth="1"/>
    <col min="10248" max="10497" width="9.140625" style="287"/>
    <col min="10498" max="10498" width="55.28515625" style="287" customWidth="1"/>
    <col min="10499" max="10499" width="8" style="287" customWidth="1"/>
    <col min="10500" max="10500" width="9.85546875" style="287" customWidth="1"/>
    <col min="10501" max="10501" width="11.28515625" style="287" customWidth="1"/>
    <col min="10502" max="10502" width="17.7109375" style="287" customWidth="1"/>
    <col min="10503" max="10503" width="10.7109375" style="287" customWidth="1"/>
    <col min="10504" max="10753" width="9.140625" style="287"/>
    <col min="10754" max="10754" width="55.28515625" style="287" customWidth="1"/>
    <col min="10755" max="10755" width="8" style="287" customWidth="1"/>
    <col min="10756" max="10756" width="9.85546875" style="287" customWidth="1"/>
    <col min="10757" max="10757" width="11.28515625" style="287" customWidth="1"/>
    <col min="10758" max="10758" width="17.7109375" style="287" customWidth="1"/>
    <col min="10759" max="10759" width="10.7109375" style="287" customWidth="1"/>
    <col min="10760" max="11009" width="9.140625" style="287"/>
    <col min="11010" max="11010" width="55.28515625" style="287" customWidth="1"/>
    <col min="11011" max="11011" width="8" style="287" customWidth="1"/>
    <col min="11012" max="11012" width="9.85546875" style="287" customWidth="1"/>
    <col min="11013" max="11013" width="11.28515625" style="287" customWidth="1"/>
    <col min="11014" max="11014" width="17.7109375" style="287" customWidth="1"/>
    <col min="11015" max="11015" width="10.7109375" style="287" customWidth="1"/>
    <col min="11016" max="11265" width="9.140625" style="287"/>
    <col min="11266" max="11266" width="55.28515625" style="287" customWidth="1"/>
    <col min="11267" max="11267" width="8" style="287" customWidth="1"/>
    <col min="11268" max="11268" width="9.85546875" style="287" customWidth="1"/>
    <col min="11269" max="11269" width="11.28515625" style="287" customWidth="1"/>
    <col min="11270" max="11270" width="17.7109375" style="287" customWidth="1"/>
    <col min="11271" max="11271" width="10.7109375" style="287" customWidth="1"/>
    <col min="11272" max="11521" width="9.140625" style="287"/>
    <col min="11522" max="11522" width="55.28515625" style="287" customWidth="1"/>
    <col min="11523" max="11523" width="8" style="287" customWidth="1"/>
    <col min="11524" max="11524" width="9.85546875" style="287" customWidth="1"/>
    <col min="11525" max="11525" width="11.28515625" style="287" customWidth="1"/>
    <col min="11526" max="11526" width="17.7109375" style="287" customWidth="1"/>
    <col min="11527" max="11527" width="10.7109375" style="287" customWidth="1"/>
    <col min="11528" max="11777" width="9.140625" style="287"/>
    <col min="11778" max="11778" width="55.28515625" style="287" customWidth="1"/>
    <col min="11779" max="11779" width="8" style="287" customWidth="1"/>
    <col min="11780" max="11780" width="9.85546875" style="287" customWidth="1"/>
    <col min="11781" max="11781" width="11.28515625" style="287" customWidth="1"/>
    <col min="11782" max="11782" width="17.7109375" style="287" customWidth="1"/>
    <col min="11783" max="11783" width="10.7109375" style="287" customWidth="1"/>
    <col min="11784" max="12033" width="9.140625" style="287"/>
    <col min="12034" max="12034" width="55.28515625" style="287" customWidth="1"/>
    <col min="12035" max="12035" width="8" style="287" customWidth="1"/>
    <col min="12036" max="12036" width="9.85546875" style="287" customWidth="1"/>
    <col min="12037" max="12037" width="11.28515625" style="287" customWidth="1"/>
    <col min="12038" max="12038" width="17.7109375" style="287" customWidth="1"/>
    <col min="12039" max="12039" width="10.7109375" style="287" customWidth="1"/>
    <col min="12040" max="12289" width="9.140625" style="287"/>
    <col min="12290" max="12290" width="55.28515625" style="287" customWidth="1"/>
    <col min="12291" max="12291" width="8" style="287" customWidth="1"/>
    <col min="12292" max="12292" width="9.85546875" style="287" customWidth="1"/>
    <col min="12293" max="12293" width="11.28515625" style="287" customWidth="1"/>
    <col min="12294" max="12294" width="17.7109375" style="287" customWidth="1"/>
    <col min="12295" max="12295" width="10.7109375" style="287" customWidth="1"/>
    <col min="12296" max="12545" width="9.140625" style="287"/>
    <col min="12546" max="12546" width="55.28515625" style="287" customWidth="1"/>
    <col min="12547" max="12547" width="8" style="287" customWidth="1"/>
    <col min="12548" max="12548" width="9.85546875" style="287" customWidth="1"/>
    <col min="12549" max="12549" width="11.28515625" style="287" customWidth="1"/>
    <col min="12550" max="12550" width="17.7109375" style="287" customWidth="1"/>
    <col min="12551" max="12551" width="10.7109375" style="287" customWidth="1"/>
    <col min="12552" max="12801" width="9.140625" style="287"/>
    <col min="12802" max="12802" width="55.28515625" style="287" customWidth="1"/>
    <col min="12803" max="12803" width="8" style="287" customWidth="1"/>
    <col min="12804" max="12804" width="9.85546875" style="287" customWidth="1"/>
    <col min="12805" max="12805" width="11.28515625" style="287" customWidth="1"/>
    <col min="12806" max="12806" width="17.7109375" style="287" customWidth="1"/>
    <col min="12807" max="12807" width="10.7109375" style="287" customWidth="1"/>
    <col min="12808" max="13057" width="9.140625" style="287"/>
    <col min="13058" max="13058" width="55.28515625" style="287" customWidth="1"/>
    <col min="13059" max="13059" width="8" style="287" customWidth="1"/>
    <col min="13060" max="13060" width="9.85546875" style="287" customWidth="1"/>
    <col min="13061" max="13061" width="11.28515625" style="287" customWidth="1"/>
    <col min="13062" max="13062" width="17.7109375" style="287" customWidth="1"/>
    <col min="13063" max="13063" width="10.7109375" style="287" customWidth="1"/>
    <col min="13064" max="13313" width="9.140625" style="287"/>
    <col min="13314" max="13314" width="55.28515625" style="287" customWidth="1"/>
    <col min="13315" max="13315" width="8" style="287" customWidth="1"/>
    <col min="13316" max="13316" width="9.85546875" style="287" customWidth="1"/>
    <col min="13317" max="13317" width="11.28515625" style="287" customWidth="1"/>
    <col min="13318" max="13318" width="17.7109375" style="287" customWidth="1"/>
    <col min="13319" max="13319" width="10.7109375" style="287" customWidth="1"/>
    <col min="13320" max="13569" width="9.140625" style="287"/>
    <col min="13570" max="13570" width="55.28515625" style="287" customWidth="1"/>
    <col min="13571" max="13571" width="8" style="287" customWidth="1"/>
    <col min="13572" max="13572" width="9.85546875" style="287" customWidth="1"/>
    <col min="13573" max="13573" width="11.28515625" style="287" customWidth="1"/>
    <col min="13574" max="13574" width="17.7109375" style="287" customWidth="1"/>
    <col min="13575" max="13575" width="10.7109375" style="287" customWidth="1"/>
    <col min="13576" max="13825" width="9.140625" style="287"/>
    <col min="13826" max="13826" width="55.28515625" style="287" customWidth="1"/>
    <col min="13827" max="13827" width="8" style="287" customWidth="1"/>
    <col min="13828" max="13828" width="9.85546875" style="287" customWidth="1"/>
    <col min="13829" max="13829" width="11.28515625" style="287" customWidth="1"/>
    <col min="13830" max="13830" width="17.7109375" style="287" customWidth="1"/>
    <col min="13831" max="13831" width="10.7109375" style="287" customWidth="1"/>
    <col min="13832" max="14081" width="9.140625" style="287"/>
    <col min="14082" max="14082" width="55.28515625" style="287" customWidth="1"/>
    <col min="14083" max="14083" width="8" style="287" customWidth="1"/>
    <col min="14084" max="14084" width="9.85546875" style="287" customWidth="1"/>
    <col min="14085" max="14085" width="11.28515625" style="287" customWidth="1"/>
    <col min="14086" max="14086" width="17.7109375" style="287" customWidth="1"/>
    <col min="14087" max="14087" width="10.7109375" style="287" customWidth="1"/>
    <col min="14088" max="14337" width="9.140625" style="287"/>
    <col min="14338" max="14338" width="55.28515625" style="287" customWidth="1"/>
    <col min="14339" max="14339" width="8" style="287" customWidth="1"/>
    <col min="14340" max="14340" width="9.85546875" style="287" customWidth="1"/>
    <col min="14341" max="14341" width="11.28515625" style="287" customWidth="1"/>
    <col min="14342" max="14342" width="17.7109375" style="287" customWidth="1"/>
    <col min="14343" max="14343" width="10.7109375" style="287" customWidth="1"/>
    <col min="14344" max="14593" width="9.140625" style="287"/>
    <col min="14594" max="14594" width="55.28515625" style="287" customWidth="1"/>
    <col min="14595" max="14595" width="8" style="287" customWidth="1"/>
    <col min="14596" max="14596" width="9.85546875" style="287" customWidth="1"/>
    <col min="14597" max="14597" width="11.28515625" style="287" customWidth="1"/>
    <col min="14598" max="14598" width="17.7109375" style="287" customWidth="1"/>
    <col min="14599" max="14599" width="10.7109375" style="287" customWidth="1"/>
    <col min="14600" max="14849" width="9.140625" style="287"/>
    <col min="14850" max="14850" width="55.28515625" style="287" customWidth="1"/>
    <col min="14851" max="14851" width="8" style="287" customWidth="1"/>
    <col min="14852" max="14852" width="9.85546875" style="287" customWidth="1"/>
    <col min="14853" max="14853" width="11.28515625" style="287" customWidth="1"/>
    <col min="14854" max="14854" width="17.7109375" style="287" customWidth="1"/>
    <col min="14855" max="14855" width="10.7109375" style="287" customWidth="1"/>
    <col min="14856" max="15105" width="9.140625" style="287"/>
    <col min="15106" max="15106" width="55.28515625" style="287" customWidth="1"/>
    <col min="15107" max="15107" width="8" style="287" customWidth="1"/>
    <col min="15108" max="15108" width="9.85546875" style="287" customWidth="1"/>
    <col min="15109" max="15109" width="11.28515625" style="287" customWidth="1"/>
    <col min="15110" max="15110" width="17.7109375" style="287" customWidth="1"/>
    <col min="15111" max="15111" width="10.7109375" style="287" customWidth="1"/>
    <col min="15112" max="15361" width="9.140625" style="287"/>
    <col min="15362" max="15362" width="55.28515625" style="287" customWidth="1"/>
    <col min="15363" max="15363" width="8" style="287" customWidth="1"/>
    <col min="15364" max="15364" width="9.85546875" style="287" customWidth="1"/>
    <col min="15365" max="15365" width="11.28515625" style="287" customWidth="1"/>
    <col min="15366" max="15366" width="17.7109375" style="287" customWidth="1"/>
    <col min="15367" max="15367" width="10.7109375" style="287" customWidth="1"/>
    <col min="15368" max="15617" width="9.140625" style="287"/>
    <col min="15618" max="15618" width="55.28515625" style="287" customWidth="1"/>
    <col min="15619" max="15619" width="8" style="287" customWidth="1"/>
    <col min="15620" max="15620" width="9.85546875" style="287" customWidth="1"/>
    <col min="15621" max="15621" width="11.28515625" style="287" customWidth="1"/>
    <col min="15622" max="15622" width="17.7109375" style="287" customWidth="1"/>
    <col min="15623" max="15623" width="10.7109375" style="287" customWidth="1"/>
    <col min="15624" max="15873" width="9.140625" style="287"/>
    <col min="15874" max="15874" width="55.28515625" style="287" customWidth="1"/>
    <col min="15875" max="15875" width="8" style="287" customWidth="1"/>
    <col min="15876" max="15876" width="9.85546875" style="287" customWidth="1"/>
    <col min="15877" max="15877" width="11.28515625" style="287" customWidth="1"/>
    <col min="15878" max="15878" width="17.7109375" style="287" customWidth="1"/>
    <col min="15879" max="15879" width="10.7109375" style="287" customWidth="1"/>
    <col min="15880" max="16129" width="9.140625" style="287"/>
    <col min="16130" max="16130" width="55.28515625" style="287" customWidth="1"/>
    <col min="16131" max="16131" width="8" style="287" customWidth="1"/>
    <col min="16132" max="16132" width="9.85546875" style="287" customWidth="1"/>
    <col min="16133" max="16133" width="11.28515625" style="287" customWidth="1"/>
    <col min="16134" max="16134" width="17.7109375" style="287" customWidth="1"/>
    <col min="16135" max="16135" width="10.7109375" style="287" customWidth="1"/>
    <col min="16136" max="16384" width="9.140625" style="287"/>
  </cols>
  <sheetData>
    <row r="1" spans="1:7" s="283" customFormat="1" ht="30" customHeight="1">
      <c r="B1" s="284" t="s">
        <v>3</v>
      </c>
      <c r="C1" s="285" t="str">
        <f>Rekapitulace!K4</f>
        <v>Revitalizace veřejného prostoru v proluce mezi ZUŠ a domem čp. 23 vč. přilehlých prostor ul. Radniční</v>
      </c>
      <c r="D1" s="285"/>
      <c r="E1" s="285"/>
      <c r="F1" s="285"/>
      <c r="G1" s="286"/>
    </row>
    <row r="2" spans="1:7" ht="12.75" customHeight="1">
      <c r="A2" s="287"/>
      <c r="B2" s="288"/>
      <c r="C2" s="289"/>
      <c r="D2" s="289"/>
      <c r="E2" s="289"/>
      <c r="F2" s="289"/>
      <c r="G2" s="290"/>
    </row>
    <row r="3" spans="1:7" ht="12.75" customHeight="1">
      <c r="A3" s="287"/>
      <c r="B3" s="291" t="s">
        <v>70</v>
      </c>
      <c r="C3" s="292"/>
      <c r="D3" s="292"/>
      <c r="E3" s="292"/>
      <c r="F3" s="292"/>
      <c r="G3" s="293"/>
    </row>
    <row r="4" spans="1:7" ht="12.75" customHeight="1">
      <c r="A4" s="287"/>
      <c r="B4" s="288"/>
      <c r="C4" s="289"/>
      <c r="D4" s="289"/>
      <c r="E4" s="289"/>
      <c r="F4" s="289"/>
      <c r="G4" s="290"/>
    </row>
    <row r="5" spans="1:7" s="283" customFormat="1" ht="14.4" thickBot="1">
      <c r="B5" s="294" t="s">
        <v>585</v>
      </c>
      <c r="C5" s="295"/>
      <c r="D5" s="295"/>
      <c r="E5" s="295"/>
      <c r="F5" s="295"/>
      <c r="G5" s="296"/>
    </row>
    <row r="6" spans="1:7" s="283" customFormat="1" ht="16.5" customHeight="1" thickBot="1">
      <c r="B6" s="297" t="s">
        <v>11</v>
      </c>
      <c r="C6" s="101">
        <f>Rekapitulace!K11</f>
        <v>0</v>
      </c>
      <c r="D6" s="101"/>
      <c r="E6" s="101"/>
      <c r="F6" s="101"/>
      <c r="G6" s="102"/>
    </row>
    <row r="7" spans="1:7" s="283" customFormat="1" ht="3.75" customHeight="1">
      <c r="B7" s="298"/>
      <c r="C7" s="298"/>
      <c r="D7" s="298"/>
      <c r="E7" s="298"/>
      <c r="F7" s="298"/>
      <c r="G7" s="298"/>
    </row>
    <row r="8" spans="1:7" s="299" customFormat="1" ht="42.75" customHeight="1">
      <c r="B8" s="300" t="s">
        <v>71</v>
      </c>
      <c r="C8" s="301"/>
      <c r="D8" s="301"/>
      <c r="E8" s="301"/>
      <c r="F8" s="301"/>
      <c r="G8" s="302"/>
    </row>
    <row r="9" spans="1:7" ht="6" customHeight="1">
      <c r="A9" s="287"/>
      <c r="B9" s="303"/>
      <c r="C9" s="303"/>
      <c r="D9" s="303"/>
      <c r="E9" s="303"/>
      <c r="F9" s="303"/>
      <c r="G9" s="303"/>
    </row>
    <row r="10" spans="1:7" s="306" customFormat="1" ht="20.399999999999999">
      <c r="A10" s="304" t="s">
        <v>46</v>
      </c>
      <c r="B10" s="304" t="s">
        <v>72</v>
      </c>
      <c r="C10" s="304" t="s">
        <v>73</v>
      </c>
      <c r="D10" s="11" t="s">
        <v>74</v>
      </c>
      <c r="E10" s="12" t="s">
        <v>75</v>
      </c>
      <c r="F10" s="13" t="s">
        <v>76</v>
      </c>
      <c r="G10" s="305" t="s">
        <v>77</v>
      </c>
    </row>
    <row r="11" spans="1:7" ht="5.25" customHeight="1" thickBot="1">
      <c r="A11" s="307"/>
      <c r="B11" s="308"/>
      <c r="C11" s="307"/>
      <c r="D11" s="14"/>
      <c r="E11" s="2"/>
      <c r="F11" s="15"/>
      <c r="G11" s="309"/>
    </row>
    <row r="12" spans="1:7" ht="25.8" customHeight="1" thickBot="1">
      <c r="A12" s="287"/>
      <c r="B12" s="310" t="s">
        <v>801</v>
      </c>
      <c r="C12" s="311"/>
      <c r="D12" s="311"/>
      <c r="E12" s="311"/>
      <c r="F12" s="311"/>
      <c r="G12" s="312"/>
    </row>
    <row r="13" spans="1:7" ht="13.8" thickBot="1">
      <c r="A13" s="313"/>
      <c r="B13" s="314" t="s">
        <v>586</v>
      </c>
      <c r="C13" s="313"/>
      <c r="D13" s="16"/>
      <c r="E13" s="77"/>
      <c r="F13" s="17">
        <f>SUM(F14:F32)</f>
        <v>0</v>
      </c>
      <c r="G13" s="315" t="s">
        <v>78</v>
      </c>
    </row>
    <row r="14" spans="1:7" ht="12">
      <c r="A14" s="316">
        <v>1</v>
      </c>
      <c r="B14" s="317" t="s">
        <v>802</v>
      </c>
      <c r="C14" s="316" t="s">
        <v>57</v>
      </c>
      <c r="D14" s="46">
        <v>3</v>
      </c>
      <c r="E14" s="75"/>
      <c r="F14" s="47">
        <f>E14*D14</f>
        <v>0</v>
      </c>
      <c r="G14" s="318"/>
    </row>
    <row r="15" spans="1:7" ht="12">
      <c r="A15" s="316">
        <v>2</v>
      </c>
      <c r="B15" s="317" t="s">
        <v>803</v>
      </c>
      <c r="C15" s="316" t="s">
        <v>57</v>
      </c>
      <c r="D15" s="46">
        <v>3</v>
      </c>
      <c r="E15" s="75"/>
      <c r="F15" s="47">
        <f t="shared" ref="F15:F26" si="0">E15*D15</f>
        <v>0</v>
      </c>
      <c r="G15" s="318"/>
    </row>
    <row r="16" spans="1:7" ht="20.399999999999999">
      <c r="A16" s="316">
        <v>3</v>
      </c>
      <c r="B16" s="317" t="s">
        <v>804</v>
      </c>
      <c r="C16" s="316" t="s">
        <v>57</v>
      </c>
      <c r="D16" s="46">
        <v>3</v>
      </c>
      <c r="E16" s="75"/>
      <c r="F16" s="47">
        <f t="shared" si="0"/>
        <v>0</v>
      </c>
      <c r="G16" s="318"/>
    </row>
    <row r="17" spans="1:7" ht="12">
      <c r="A17" s="316">
        <v>4</v>
      </c>
      <c r="B17" s="317" t="s">
        <v>805</v>
      </c>
      <c r="C17" s="316" t="s">
        <v>57</v>
      </c>
      <c r="D17" s="46">
        <v>3</v>
      </c>
      <c r="E17" s="75"/>
      <c r="F17" s="47">
        <f t="shared" si="0"/>
        <v>0</v>
      </c>
      <c r="G17" s="318"/>
    </row>
    <row r="18" spans="1:7" ht="12">
      <c r="A18" s="316">
        <v>5</v>
      </c>
      <c r="B18" s="317" t="s">
        <v>806</v>
      </c>
      <c r="C18" s="316" t="s">
        <v>57</v>
      </c>
      <c r="D18" s="46">
        <v>3</v>
      </c>
      <c r="E18" s="75"/>
      <c r="F18" s="47">
        <f t="shared" si="0"/>
        <v>0</v>
      </c>
      <c r="G18" s="318"/>
    </row>
    <row r="19" spans="1:7" ht="12">
      <c r="A19" s="316">
        <v>6</v>
      </c>
      <c r="B19" s="317" t="s">
        <v>807</v>
      </c>
      <c r="C19" s="316" t="s">
        <v>57</v>
      </c>
      <c r="D19" s="46">
        <v>3</v>
      </c>
      <c r="E19" s="75"/>
      <c r="F19" s="47">
        <f t="shared" si="0"/>
        <v>0</v>
      </c>
      <c r="G19" s="318"/>
    </row>
    <row r="20" spans="1:7" ht="20.399999999999999">
      <c r="A20" s="316">
        <v>7</v>
      </c>
      <c r="B20" s="317" t="s">
        <v>808</v>
      </c>
      <c r="C20" s="316" t="s">
        <v>57</v>
      </c>
      <c r="D20" s="46">
        <v>3</v>
      </c>
      <c r="E20" s="75"/>
      <c r="F20" s="47">
        <f t="shared" si="0"/>
        <v>0</v>
      </c>
      <c r="G20" s="318"/>
    </row>
    <row r="21" spans="1:7" ht="20.399999999999999">
      <c r="A21" s="316">
        <v>8</v>
      </c>
      <c r="B21" s="317" t="s">
        <v>809</v>
      </c>
      <c r="C21" s="316" t="s">
        <v>57</v>
      </c>
      <c r="D21" s="46">
        <v>3</v>
      </c>
      <c r="E21" s="75"/>
      <c r="F21" s="47">
        <f t="shared" si="0"/>
        <v>0</v>
      </c>
      <c r="G21" s="318"/>
    </row>
    <row r="22" spans="1:7" ht="12">
      <c r="A22" s="316">
        <v>9</v>
      </c>
      <c r="B22" s="317" t="s">
        <v>810</v>
      </c>
      <c r="C22" s="316" t="s">
        <v>57</v>
      </c>
      <c r="D22" s="46">
        <v>3</v>
      </c>
      <c r="E22" s="75"/>
      <c r="F22" s="47">
        <f t="shared" si="0"/>
        <v>0</v>
      </c>
      <c r="G22" s="318"/>
    </row>
    <row r="23" spans="1:7" ht="12">
      <c r="A23" s="316">
        <v>10</v>
      </c>
      <c r="B23" s="317" t="s">
        <v>811</v>
      </c>
      <c r="C23" s="316" t="s">
        <v>57</v>
      </c>
      <c r="D23" s="46">
        <v>3</v>
      </c>
      <c r="E23" s="75"/>
      <c r="F23" s="47">
        <f t="shared" si="0"/>
        <v>0</v>
      </c>
      <c r="G23" s="318"/>
    </row>
    <row r="24" spans="1:7" ht="20.399999999999999">
      <c r="A24" s="316">
        <v>11</v>
      </c>
      <c r="B24" s="317" t="s">
        <v>812</v>
      </c>
      <c r="C24" s="316" t="s">
        <v>57</v>
      </c>
      <c r="D24" s="46">
        <v>3</v>
      </c>
      <c r="E24" s="75"/>
      <c r="F24" s="47">
        <f t="shared" si="0"/>
        <v>0</v>
      </c>
      <c r="G24" s="318"/>
    </row>
    <row r="25" spans="1:7" ht="12">
      <c r="A25" s="316">
        <v>12</v>
      </c>
      <c r="B25" s="317" t="s">
        <v>813</v>
      </c>
      <c r="C25" s="316" t="s">
        <v>57</v>
      </c>
      <c r="D25" s="46">
        <v>3</v>
      </c>
      <c r="E25" s="75"/>
      <c r="F25" s="47">
        <f t="shared" si="0"/>
        <v>0</v>
      </c>
      <c r="G25" s="318"/>
    </row>
    <row r="26" spans="1:7" ht="20.399999999999999">
      <c r="A26" s="316">
        <v>13</v>
      </c>
      <c r="B26" s="317" t="s">
        <v>814</v>
      </c>
      <c r="C26" s="316" t="s">
        <v>57</v>
      </c>
      <c r="D26" s="46">
        <v>3</v>
      </c>
      <c r="E26" s="75"/>
      <c r="F26" s="47">
        <f t="shared" si="0"/>
        <v>0</v>
      </c>
      <c r="G26" s="318"/>
    </row>
    <row r="27" spans="1:7" ht="12">
      <c r="A27" s="316">
        <v>14</v>
      </c>
      <c r="B27" s="317" t="s">
        <v>815</v>
      </c>
      <c r="C27" s="316" t="s">
        <v>57</v>
      </c>
      <c r="D27" s="46">
        <v>3</v>
      </c>
      <c r="E27" s="75"/>
      <c r="F27" s="47">
        <f t="shared" ref="F27:F28" si="1">E27*D27</f>
        <v>0</v>
      </c>
      <c r="G27" s="318"/>
    </row>
    <row r="28" spans="1:7" ht="20.399999999999999">
      <c r="A28" s="316">
        <v>15</v>
      </c>
      <c r="B28" s="317" t="s">
        <v>816</v>
      </c>
      <c r="C28" s="316" t="s">
        <v>58</v>
      </c>
      <c r="D28" s="46">
        <v>3</v>
      </c>
      <c r="E28" s="75"/>
      <c r="F28" s="47">
        <f t="shared" si="1"/>
        <v>0</v>
      </c>
      <c r="G28" s="318"/>
    </row>
    <row r="29" spans="1:7" ht="12">
      <c r="A29" s="316">
        <v>16</v>
      </c>
      <c r="B29" s="317" t="s">
        <v>587</v>
      </c>
      <c r="C29" s="316" t="s">
        <v>57</v>
      </c>
      <c r="D29" s="46">
        <f>3+2</f>
        <v>5</v>
      </c>
      <c r="E29" s="75"/>
      <c r="F29" s="47">
        <f>E29*D29</f>
        <v>0</v>
      </c>
      <c r="G29" s="318"/>
    </row>
    <row r="30" spans="1:7" ht="12">
      <c r="A30" s="316">
        <v>17</v>
      </c>
      <c r="B30" s="317" t="s">
        <v>588</v>
      </c>
      <c r="C30" s="316" t="s">
        <v>57</v>
      </c>
      <c r="D30" s="46">
        <v>3</v>
      </c>
      <c r="E30" s="75"/>
      <c r="F30" s="47">
        <f>E30*D30</f>
        <v>0</v>
      </c>
      <c r="G30" s="318"/>
    </row>
    <row r="31" spans="1:7" ht="12">
      <c r="A31" s="316">
        <v>18</v>
      </c>
      <c r="B31" s="317" t="s">
        <v>590</v>
      </c>
      <c r="C31" s="316" t="s">
        <v>57</v>
      </c>
      <c r="D31" s="46">
        <v>2</v>
      </c>
      <c r="E31" s="75"/>
      <c r="F31" s="47">
        <f>E31*D31</f>
        <v>0</v>
      </c>
      <c r="G31" s="318"/>
    </row>
    <row r="32" spans="1:7" ht="4.5" customHeight="1" thickBot="1">
      <c r="A32" s="319"/>
      <c r="B32" s="320" t="s">
        <v>589</v>
      </c>
      <c r="C32" s="319"/>
      <c r="D32" s="80"/>
      <c r="E32" s="76"/>
      <c r="F32" s="2"/>
      <c r="G32" s="321"/>
    </row>
    <row r="33" spans="1:7" ht="13.8" thickBot="1">
      <c r="A33" s="313"/>
      <c r="B33" s="314" t="s">
        <v>786</v>
      </c>
      <c r="C33" s="313"/>
      <c r="D33" s="81"/>
      <c r="E33" s="77"/>
      <c r="F33" s="17">
        <f>SUM(F34:F38)</f>
        <v>0</v>
      </c>
      <c r="G33" s="315" t="s">
        <v>78</v>
      </c>
    </row>
    <row r="34" spans="1:7" ht="12">
      <c r="A34" s="316">
        <f>A31+1</f>
        <v>19</v>
      </c>
      <c r="B34" s="317" t="s">
        <v>817</v>
      </c>
      <c r="C34" s="316" t="s">
        <v>62</v>
      </c>
      <c r="D34" s="46">
        <v>4</v>
      </c>
      <c r="E34" s="75"/>
      <c r="F34" s="47">
        <f>E34*D34</f>
        <v>0</v>
      </c>
      <c r="G34" s="318"/>
    </row>
    <row r="35" spans="1:7" ht="12">
      <c r="A35" s="316">
        <f>A34+1</f>
        <v>20</v>
      </c>
      <c r="B35" s="317" t="s">
        <v>788</v>
      </c>
      <c r="C35" s="316" t="s">
        <v>62</v>
      </c>
      <c r="D35" s="46">
        <v>5</v>
      </c>
      <c r="E35" s="75"/>
      <c r="F35" s="47">
        <f>E35*D35</f>
        <v>0</v>
      </c>
      <c r="G35" s="318"/>
    </row>
    <row r="36" spans="1:7" ht="12">
      <c r="A36" s="316">
        <f>A35+1</f>
        <v>21</v>
      </c>
      <c r="B36" s="317" t="s">
        <v>787</v>
      </c>
      <c r="C36" s="316" t="s">
        <v>62</v>
      </c>
      <c r="D36" s="46">
        <f>10+11</f>
        <v>21</v>
      </c>
      <c r="E36" s="75"/>
      <c r="F36" s="47">
        <f>E36*D36</f>
        <v>0</v>
      </c>
      <c r="G36" s="318"/>
    </row>
    <row r="37" spans="1:7" ht="12">
      <c r="A37" s="316">
        <f t="shared" ref="A37" si="2">A36+1</f>
        <v>22</v>
      </c>
      <c r="B37" s="317" t="s">
        <v>791</v>
      </c>
      <c r="C37" s="316" t="s">
        <v>57</v>
      </c>
      <c r="D37" s="46">
        <v>2</v>
      </c>
      <c r="E37" s="75"/>
      <c r="F37" s="47">
        <f>E37*D37</f>
        <v>0</v>
      </c>
      <c r="G37" s="318"/>
    </row>
    <row r="38" spans="1:7" ht="4.5" customHeight="1" thickBot="1">
      <c r="A38" s="319"/>
      <c r="B38" s="320"/>
      <c r="C38" s="319"/>
      <c r="D38" s="80"/>
      <c r="E38" s="76"/>
      <c r="F38" s="2"/>
      <c r="G38" s="321"/>
    </row>
    <row r="39" spans="1:7" ht="13.8" thickBot="1">
      <c r="A39" s="322"/>
      <c r="B39" s="314" t="s">
        <v>591</v>
      </c>
      <c r="C39" s="322"/>
      <c r="D39" s="19"/>
      <c r="E39" s="78"/>
      <c r="F39" s="17">
        <f>SUM(F40:F48)</f>
        <v>0</v>
      </c>
      <c r="G39" s="315" t="s">
        <v>78</v>
      </c>
    </row>
    <row r="40" spans="1:7" ht="12">
      <c r="A40" s="316">
        <f>A37+1</f>
        <v>23</v>
      </c>
      <c r="B40" s="323" t="s">
        <v>582</v>
      </c>
      <c r="C40" s="316" t="s">
        <v>54</v>
      </c>
      <c r="D40" s="46">
        <f>1.2*1.2*1.5*3</f>
        <v>6.48</v>
      </c>
      <c r="E40" s="79"/>
      <c r="F40" s="47">
        <f t="shared" ref="F40:F48" si="3">E40*D40</f>
        <v>0</v>
      </c>
      <c r="G40" s="324"/>
    </row>
    <row r="41" spans="1:7" ht="12">
      <c r="A41" s="316">
        <f t="shared" ref="A41:A48" si="4">A40+1</f>
        <v>24</v>
      </c>
      <c r="B41" s="323" t="s">
        <v>581</v>
      </c>
      <c r="C41" s="316" t="s">
        <v>58</v>
      </c>
      <c r="D41" s="46">
        <f>SUM(D34:D36)</f>
        <v>30</v>
      </c>
      <c r="E41" s="79"/>
      <c r="F41" s="47">
        <f t="shared" si="3"/>
        <v>0</v>
      </c>
      <c r="G41" s="324"/>
    </row>
    <row r="42" spans="1:7" ht="12">
      <c r="A42" s="316">
        <f t="shared" si="4"/>
        <v>25</v>
      </c>
      <c r="B42" s="323" t="s">
        <v>790</v>
      </c>
      <c r="C42" s="316" t="s">
        <v>58</v>
      </c>
      <c r="D42" s="46">
        <f>D41</f>
        <v>30</v>
      </c>
      <c r="E42" s="79"/>
      <c r="F42" s="47">
        <f t="shared" ref="F42" si="5">E42*D42</f>
        <v>0</v>
      </c>
      <c r="G42" s="324"/>
    </row>
    <row r="43" spans="1:7" ht="12">
      <c r="A43" s="316">
        <f t="shared" si="4"/>
        <v>26</v>
      </c>
      <c r="B43" s="323" t="s">
        <v>583</v>
      </c>
      <c r="C43" s="316" t="s">
        <v>53</v>
      </c>
      <c r="D43" s="46">
        <f>1*1*0.1*3</f>
        <v>0.30000000000000004</v>
      </c>
      <c r="E43" s="79"/>
      <c r="F43" s="47">
        <f t="shared" si="3"/>
        <v>0</v>
      </c>
      <c r="G43" s="324"/>
    </row>
    <row r="44" spans="1:7" ht="12">
      <c r="A44" s="316">
        <f t="shared" si="4"/>
        <v>27</v>
      </c>
      <c r="B44" s="323" t="s">
        <v>789</v>
      </c>
      <c r="C44" s="316" t="s">
        <v>60</v>
      </c>
      <c r="D44" s="46">
        <f>SUM(F13:F38)/2</f>
        <v>0</v>
      </c>
      <c r="E44" s="161"/>
      <c r="F44" s="47">
        <f t="shared" si="3"/>
        <v>0</v>
      </c>
      <c r="G44" s="324"/>
    </row>
    <row r="45" spans="1:7" ht="12">
      <c r="A45" s="316">
        <f t="shared" si="4"/>
        <v>28</v>
      </c>
      <c r="B45" s="323" t="s">
        <v>101</v>
      </c>
      <c r="C45" s="316" t="s">
        <v>62</v>
      </c>
      <c r="D45" s="46">
        <f>D40</f>
        <v>6.48</v>
      </c>
      <c r="E45" s="79"/>
      <c r="F45" s="47">
        <f t="shared" ref="F45" si="6">E45*D45</f>
        <v>0</v>
      </c>
      <c r="G45" s="324"/>
    </row>
    <row r="46" spans="1:7" ht="12">
      <c r="A46" s="316">
        <f t="shared" si="4"/>
        <v>29</v>
      </c>
      <c r="B46" s="323" t="s">
        <v>792</v>
      </c>
      <c r="C46" s="316" t="s">
        <v>61</v>
      </c>
      <c r="D46" s="46">
        <v>1</v>
      </c>
      <c r="E46" s="79"/>
      <c r="F46" s="47">
        <f t="shared" si="3"/>
        <v>0</v>
      </c>
      <c r="G46" s="324"/>
    </row>
    <row r="47" spans="1:7" ht="12">
      <c r="A47" s="316">
        <f t="shared" si="4"/>
        <v>30</v>
      </c>
      <c r="B47" s="323" t="s">
        <v>592</v>
      </c>
      <c r="C47" s="316" t="s">
        <v>62</v>
      </c>
      <c r="D47" s="46">
        <v>80</v>
      </c>
      <c r="E47" s="79"/>
      <c r="F47" s="47">
        <f t="shared" ref="F47" si="7">E47*D47</f>
        <v>0</v>
      </c>
      <c r="G47" s="324"/>
    </row>
    <row r="48" spans="1:7" ht="12">
      <c r="A48" s="316">
        <f t="shared" si="4"/>
        <v>31</v>
      </c>
      <c r="B48" s="323" t="s">
        <v>100</v>
      </c>
      <c r="C48" s="316" t="s">
        <v>61</v>
      </c>
      <c r="D48" s="46">
        <v>1</v>
      </c>
      <c r="E48" s="79"/>
      <c r="F48" s="47">
        <f t="shared" si="3"/>
        <v>0</v>
      </c>
      <c r="G48" s="324"/>
    </row>
    <row r="49" spans="1:9" ht="6" customHeight="1" thickBot="1">
      <c r="A49" s="325"/>
      <c r="B49" s="326"/>
      <c r="C49" s="325"/>
      <c r="D49" s="20"/>
      <c r="E49" s="76"/>
      <c r="F49" s="2"/>
      <c r="G49" s="321"/>
    </row>
    <row r="50" spans="1:9" ht="16.95" customHeight="1" thickBot="1">
      <c r="A50" s="327"/>
      <c r="B50" s="328" t="s">
        <v>94</v>
      </c>
      <c r="C50" s="327"/>
      <c r="D50" s="21"/>
      <c r="E50" s="4"/>
      <c r="F50" s="5">
        <f>SUM(F12:F49)/2</f>
        <v>0</v>
      </c>
      <c r="G50" s="329" t="s">
        <v>78</v>
      </c>
      <c r="I50" s="330">
        <f>SUM(F13:F50)/3</f>
        <v>0</v>
      </c>
    </row>
    <row r="51" spans="1:9" ht="4.8" customHeight="1">
      <c r="A51" s="331"/>
      <c r="B51" s="332"/>
      <c r="C51" s="331"/>
      <c r="D51" s="3"/>
      <c r="E51" s="1"/>
      <c r="F51" s="1"/>
      <c r="G51" s="333"/>
    </row>
    <row r="52" spans="1:9" ht="12">
      <c r="A52" s="287"/>
      <c r="B52" s="334" t="s">
        <v>79</v>
      </c>
      <c r="C52" s="334"/>
      <c r="D52" s="334"/>
      <c r="E52" s="334"/>
      <c r="F52" s="334"/>
      <c r="G52" s="334"/>
      <c r="H52" s="335"/>
    </row>
    <row r="53" spans="1:9" ht="4.95" customHeight="1">
      <c r="A53" s="336"/>
      <c r="B53" s="337"/>
      <c r="C53" s="336"/>
      <c r="D53" s="6"/>
      <c r="E53" s="7"/>
      <c r="F53" s="8"/>
      <c r="G53" s="335"/>
      <c r="H53" s="335"/>
    </row>
    <row r="54" spans="1:9">
      <c r="A54" s="287"/>
      <c r="B54" s="338" t="s">
        <v>80</v>
      </c>
      <c r="C54" s="338"/>
      <c r="D54" s="338"/>
      <c r="E54" s="338"/>
      <c r="F54" s="338"/>
      <c r="G54" s="338"/>
      <c r="H54" s="335"/>
    </row>
    <row r="55" spans="1:9">
      <c r="A55" s="287"/>
      <c r="B55" s="338" t="s">
        <v>220</v>
      </c>
      <c r="C55" s="338"/>
      <c r="D55" s="338"/>
      <c r="E55" s="338"/>
      <c r="F55" s="338"/>
      <c r="G55" s="338"/>
      <c r="H55" s="335"/>
    </row>
    <row r="56" spans="1:9">
      <c r="A56" s="287"/>
      <c r="B56" s="338" t="s">
        <v>221</v>
      </c>
      <c r="C56" s="338"/>
      <c r="D56" s="338"/>
      <c r="E56" s="338"/>
      <c r="F56" s="338"/>
      <c r="G56" s="338"/>
      <c r="H56" s="335"/>
    </row>
    <row r="57" spans="1:9" ht="7.95" customHeight="1">
      <c r="A57" s="336"/>
      <c r="B57" s="337"/>
      <c r="C57" s="336"/>
      <c r="D57" s="6"/>
      <c r="E57" s="7"/>
      <c r="F57" s="8"/>
      <c r="G57" s="335"/>
      <c r="H57" s="335"/>
    </row>
    <row r="58" spans="1:9" ht="42" customHeight="1">
      <c r="A58" s="287"/>
      <c r="B58" s="339" t="s">
        <v>81</v>
      </c>
      <c r="C58" s="339"/>
      <c r="D58" s="339"/>
      <c r="E58" s="339"/>
      <c r="F58" s="339"/>
      <c r="G58" s="339"/>
      <c r="H58" s="340"/>
    </row>
    <row r="59" spans="1:9" ht="6.75" customHeight="1">
      <c r="A59" s="336"/>
      <c r="B59" s="337"/>
      <c r="C59" s="336"/>
      <c r="D59" s="6"/>
      <c r="E59" s="7"/>
      <c r="F59" s="8"/>
      <c r="G59" s="335"/>
      <c r="H59" s="335"/>
    </row>
    <row r="60" spans="1:9" ht="64.2" customHeight="1">
      <c r="A60" s="287"/>
      <c r="B60" s="339" t="s">
        <v>82</v>
      </c>
      <c r="C60" s="339"/>
      <c r="D60" s="339"/>
      <c r="E60" s="339"/>
      <c r="F60" s="339"/>
      <c r="G60" s="339"/>
      <c r="H60" s="340"/>
    </row>
    <row r="61" spans="1:9" ht="5.4" customHeight="1">
      <c r="A61" s="336"/>
      <c r="B61" s="337"/>
      <c r="C61" s="336"/>
      <c r="D61" s="6"/>
      <c r="E61" s="7"/>
      <c r="F61" s="8"/>
      <c r="G61" s="335"/>
      <c r="H61" s="335"/>
    </row>
    <row r="62" spans="1:9">
      <c r="A62" s="287"/>
      <c r="B62" s="341" t="s">
        <v>83</v>
      </c>
      <c r="C62" s="341"/>
      <c r="D62" s="341"/>
      <c r="E62" s="341"/>
      <c r="F62" s="341"/>
      <c r="G62" s="341"/>
      <c r="H62" s="342"/>
    </row>
    <row r="63" spans="1:9" ht="4.2" customHeight="1">
      <c r="A63" s="336"/>
      <c r="B63" s="337"/>
      <c r="C63" s="336"/>
      <c r="D63" s="6"/>
      <c r="E63" s="7"/>
      <c r="F63" s="8"/>
      <c r="G63" s="335"/>
      <c r="H63" s="335"/>
    </row>
    <row r="64" spans="1:9">
      <c r="A64" s="287"/>
      <c r="B64" s="343" t="s">
        <v>229</v>
      </c>
      <c r="C64" s="343"/>
      <c r="D64" s="343"/>
      <c r="E64" s="343"/>
      <c r="F64" s="343"/>
      <c r="G64" s="343"/>
      <c r="H64" s="343"/>
    </row>
  </sheetData>
  <sheetProtection algorithmName="SHA-512" hashValue="iF2vlP/MP6vZIK8GGsIgSuQ9c1vgQfhL5oCiPW8KnLcxJNkU052ETMZCaiRG/UNMuXo/QTiy+e7pdXjFqbKBeQ==" saltValue="QAi4F6o0yGmsRAmPNNuQsQ==" spinCount="100000" sheet="1" objects="1" scenarios="1"/>
  <mergeCells count="18">
    <mergeCell ref="B64:H64"/>
    <mergeCell ref="B7:G7"/>
    <mergeCell ref="B8:G8"/>
    <mergeCell ref="B9:G9"/>
    <mergeCell ref="B12:G12"/>
    <mergeCell ref="B52:G52"/>
    <mergeCell ref="B54:G54"/>
    <mergeCell ref="B55:G55"/>
    <mergeCell ref="B56:G56"/>
    <mergeCell ref="B58:G58"/>
    <mergeCell ref="B60:G60"/>
    <mergeCell ref="B62:G62"/>
    <mergeCell ref="C6:G6"/>
    <mergeCell ref="C1:G1"/>
    <mergeCell ref="B2:G2"/>
    <mergeCell ref="B3:G3"/>
    <mergeCell ref="B4:G4"/>
    <mergeCell ref="B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  <rowBreaks count="2" manualBreakCount="2">
    <brk id="64" min="1" max="6" man="1"/>
    <brk id="65" min="1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0D51-D876-44A4-BCF0-39E8759C9E6E}">
  <sheetPr>
    <pageSetUpPr fitToPage="1"/>
  </sheetPr>
  <dimension ref="B1:V128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1" width="11.42578125" style="141" hidden="1" customWidth="1" outlineLevel="1"/>
    <col min="22" max="22" width="11.42578125" style="141" customWidth="1" collapsed="1"/>
    <col min="23" max="23" width="11.42578125" style="142" customWidth="1"/>
    <col min="24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666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s="215" customFormat="1" ht="11.4">
      <c r="B25" s="214"/>
      <c r="D25" s="216"/>
      <c r="E25" s="216"/>
      <c r="F25" s="217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R25" s="219"/>
    </row>
    <row r="26" spans="2:18" ht="11.4">
      <c r="B26" s="209"/>
      <c r="D26" s="213"/>
      <c r="E26" s="213"/>
      <c r="F26" s="220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R26" s="210"/>
    </row>
    <row r="27" spans="2:18">
      <c r="B27" s="209"/>
      <c r="J27" s="26"/>
      <c r="R27" s="210"/>
    </row>
    <row r="28" spans="2:18">
      <c r="B28" s="209"/>
      <c r="D28" s="221"/>
      <c r="E28" s="221"/>
      <c r="F28" s="221"/>
      <c r="G28" s="221"/>
      <c r="H28" s="221"/>
      <c r="I28" s="221"/>
      <c r="J28" s="27"/>
      <c r="K28" s="221"/>
      <c r="L28" s="221"/>
      <c r="M28" s="221"/>
      <c r="N28" s="221"/>
      <c r="O28" s="221"/>
      <c r="P28" s="221"/>
      <c r="R28" s="210"/>
    </row>
    <row r="29" spans="2:18" ht="13.2">
      <c r="B29" s="209"/>
      <c r="D29" s="222" t="s">
        <v>40</v>
      </c>
      <c r="J29" s="26"/>
      <c r="M29" s="122">
        <f>N86</f>
        <v>0</v>
      </c>
      <c r="N29" s="122"/>
      <c r="O29" s="122"/>
      <c r="P29" s="122"/>
      <c r="R29" s="210"/>
    </row>
    <row r="30" spans="2:18">
      <c r="B30" s="209"/>
      <c r="J30" s="26"/>
      <c r="R30" s="210"/>
    </row>
    <row r="31" spans="2:18" ht="13.2">
      <c r="B31" s="209"/>
      <c r="D31" s="223" t="s">
        <v>16</v>
      </c>
      <c r="J31" s="26"/>
      <c r="M31" s="224">
        <f>ROUND(M29,2)</f>
        <v>0</v>
      </c>
      <c r="N31" s="134"/>
      <c r="O31" s="134"/>
      <c r="P31" s="134"/>
      <c r="R31" s="210"/>
    </row>
    <row r="32" spans="2:18">
      <c r="B32" s="209"/>
      <c r="J32" s="26"/>
      <c r="R32" s="210"/>
    </row>
    <row r="33" spans="2:18">
      <c r="B33" s="209"/>
      <c r="D33" s="129" t="s">
        <v>17</v>
      </c>
      <c r="E33" s="129" t="s">
        <v>18</v>
      </c>
      <c r="F33" s="150">
        <v>0.21</v>
      </c>
      <c r="G33" s="225" t="s">
        <v>19</v>
      </c>
      <c r="H33" s="93">
        <f>ROUND(M31, 2)</f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E34" s="129" t="s">
        <v>20</v>
      </c>
      <c r="F34" s="150">
        <v>0.15</v>
      </c>
      <c r="G34" s="225" t="s">
        <v>19</v>
      </c>
      <c r="H34" s="93">
        <v>0</v>
      </c>
      <c r="I34" s="94"/>
      <c r="J34" s="94"/>
      <c r="M34" s="93">
        <f>ROUND(H34*F34, 2)</f>
        <v>0</v>
      </c>
      <c r="N34" s="94"/>
      <c r="O34" s="94"/>
      <c r="P34" s="94"/>
      <c r="R34" s="210"/>
    </row>
    <row r="35" spans="2:18">
      <c r="B35" s="209"/>
      <c r="J35" s="26"/>
      <c r="R35" s="210"/>
    </row>
    <row r="36" spans="2:18" ht="15.6">
      <c r="B36" s="209"/>
      <c r="D36" s="226" t="s">
        <v>24</v>
      </c>
      <c r="E36" s="171"/>
      <c r="F36" s="171"/>
      <c r="G36" s="227" t="s">
        <v>25</v>
      </c>
      <c r="H36" s="228" t="s">
        <v>26</v>
      </c>
      <c r="I36" s="171"/>
      <c r="J36" s="28"/>
      <c r="K36" s="171"/>
      <c r="L36" s="229">
        <f>SUM(M31:M34)</f>
        <v>0</v>
      </c>
      <c r="M36" s="229"/>
      <c r="N36" s="229"/>
      <c r="O36" s="229"/>
      <c r="P36" s="230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>
      <c r="B47" s="209"/>
      <c r="J47" s="26"/>
      <c r="R47" s="210"/>
    </row>
    <row r="48" spans="2:18" ht="13.2">
      <c r="B48" s="209"/>
      <c r="D48" s="113" t="s">
        <v>27</v>
      </c>
      <c r="E48" s="104"/>
      <c r="F48" s="104"/>
      <c r="G48" s="104"/>
      <c r="H48" s="144"/>
      <c r="J48" s="63" t="s">
        <v>28</v>
      </c>
      <c r="K48" s="104"/>
      <c r="L48" s="104"/>
      <c r="M48" s="104"/>
      <c r="N48" s="104"/>
      <c r="O48" s="104"/>
      <c r="P48" s="144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>
      <c r="B56" s="209"/>
      <c r="D56" s="124"/>
      <c r="H56" s="106"/>
      <c r="J56" s="64"/>
      <c r="P56" s="106"/>
      <c r="R56" s="210"/>
    </row>
    <row r="57" spans="2:18" ht="13.2">
      <c r="B57" s="209"/>
      <c r="D57" s="126" t="s">
        <v>29</v>
      </c>
      <c r="E57" s="118"/>
      <c r="F57" s="118"/>
      <c r="G57" s="125" t="s">
        <v>30</v>
      </c>
      <c r="H57" s="128"/>
      <c r="J57" s="65" t="s">
        <v>29</v>
      </c>
      <c r="K57" s="118"/>
      <c r="L57" s="118"/>
      <c r="M57" s="118"/>
      <c r="N57" s="125" t="s">
        <v>30</v>
      </c>
      <c r="O57" s="118"/>
      <c r="P57" s="128"/>
      <c r="R57" s="210"/>
    </row>
    <row r="58" spans="2:18">
      <c r="B58" s="209"/>
      <c r="J58" s="26"/>
      <c r="R58" s="210"/>
    </row>
    <row r="59" spans="2:18" ht="13.2">
      <c r="B59" s="209"/>
      <c r="D59" s="113" t="s">
        <v>31</v>
      </c>
      <c r="E59" s="104"/>
      <c r="F59" s="104"/>
      <c r="G59" s="104"/>
      <c r="H59" s="144"/>
      <c r="J59" s="63" t="s">
        <v>32</v>
      </c>
      <c r="K59" s="104"/>
      <c r="L59" s="104"/>
      <c r="M59" s="104"/>
      <c r="N59" s="104"/>
      <c r="O59" s="104"/>
      <c r="P59" s="144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>
      <c r="B67" s="209"/>
      <c r="D67" s="124"/>
      <c r="H67" s="106"/>
      <c r="J67" s="64"/>
      <c r="P67" s="106"/>
      <c r="R67" s="210"/>
    </row>
    <row r="68" spans="2:18" ht="13.2">
      <c r="B68" s="209"/>
      <c r="D68" s="126" t="s">
        <v>29</v>
      </c>
      <c r="E68" s="118"/>
      <c r="F68" s="118"/>
      <c r="G68" s="125" t="s">
        <v>30</v>
      </c>
      <c r="H68" s="128"/>
      <c r="J68" s="65" t="s">
        <v>29</v>
      </c>
      <c r="K68" s="118"/>
      <c r="L68" s="118"/>
      <c r="M68" s="118"/>
      <c r="N68" s="125" t="s">
        <v>30</v>
      </c>
      <c r="O68" s="118"/>
      <c r="P68" s="128"/>
      <c r="R68" s="210"/>
    </row>
    <row r="69" spans="2:18">
      <c r="B69" s="231"/>
      <c r="C69" s="232"/>
      <c r="D69" s="232"/>
      <c r="E69" s="232"/>
      <c r="F69" s="232"/>
      <c r="G69" s="232"/>
      <c r="H69" s="232"/>
      <c r="I69" s="232"/>
      <c r="J69" s="62"/>
      <c r="K69" s="232"/>
      <c r="L69" s="232"/>
      <c r="M69" s="232"/>
      <c r="N69" s="232"/>
      <c r="O69" s="232"/>
      <c r="P69" s="232"/>
      <c r="Q69" s="232"/>
      <c r="R69" s="233"/>
    </row>
    <row r="73" spans="2:18">
      <c r="B73" s="206"/>
      <c r="C73" s="207"/>
      <c r="D73" s="207"/>
      <c r="E73" s="207"/>
      <c r="F73" s="207"/>
      <c r="G73" s="207"/>
      <c r="H73" s="207"/>
      <c r="I73" s="207"/>
      <c r="J73" s="61"/>
      <c r="K73" s="207"/>
      <c r="L73" s="207"/>
      <c r="M73" s="207"/>
      <c r="N73" s="207"/>
      <c r="O73" s="207"/>
      <c r="P73" s="207"/>
      <c r="Q73" s="207"/>
      <c r="R73" s="208"/>
    </row>
    <row r="74" spans="2:18" ht="21">
      <c r="B74" s="209"/>
      <c r="C74" s="146" t="s">
        <v>41</v>
      </c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210"/>
    </row>
    <row r="75" spans="2:18">
      <c r="B75" s="209"/>
      <c r="J75" s="26"/>
      <c r="R75" s="210"/>
    </row>
    <row r="76" spans="2:18" ht="11.4">
      <c r="B76" s="209"/>
      <c r="C76" s="140" t="s">
        <v>3</v>
      </c>
      <c r="F76" s="211" t="str">
        <f>F4</f>
        <v>Revitalizace veřejného prostoru v proluce mezi ZUŠ a domem čp. 23 vč. přilehlých prostor ul. Radniční</v>
      </c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R76" s="210"/>
    </row>
    <row r="77" spans="2:18" ht="15.6">
      <c r="B77" s="209"/>
      <c r="C77" s="135" t="s">
        <v>39</v>
      </c>
      <c r="F77" s="109" t="str">
        <f>F5</f>
        <v>Specifikace</v>
      </c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R77" s="210"/>
    </row>
    <row r="78" spans="2:18">
      <c r="B78" s="209"/>
      <c r="J78" s="26"/>
      <c r="R78" s="210"/>
    </row>
    <row r="79" spans="2:18" ht="11.4">
      <c r="B79" s="209"/>
      <c r="C79" s="140" t="s">
        <v>6</v>
      </c>
      <c r="F79" s="145" t="str">
        <f>F7</f>
        <v>Radniční ul. Bílina
p.č. 107, 120/1, 122, 125/1, 125/2, 125/3, 126, k.ú. Bílina [604208]</v>
      </c>
      <c r="J79" s="26"/>
      <c r="K79" s="140" t="s">
        <v>7</v>
      </c>
      <c r="M79" s="166">
        <f>IF(O7="","",O7)</f>
        <v>0</v>
      </c>
      <c r="N79" s="166"/>
      <c r="O79" s="166"/>
      <c r="P79" s="166"/>
      <c r="R79" s="210"/>
    </row>
    <row r="80" spans="2:18">
      <c r="B80" s="209"/>
      <c r="J80" s="26"/>
      <c r="R80" s="210"/>
    </row>
    <row r="81" spans="2:20" ht="48.75" customHeight="1">
      <c r="B81" s="209"/>
      <c r="C81" s="140" t="s">
        <v>8</v>
      </c>
      <c r="F81" s="127" t="str">
        <f>F9</f>
        <v>město Bílina
Břežanská 50/4, 418 31 Bílina</v>
      </c>
      <c r="G81" s="127"/>
      <c r="H81" s="127"/>
      <c r="I81" s="127"/>
      <c r="J81" s="127"/>
      <c r="K81" s="140" t="s">
        <v>13</v>
      </c>
      <c r="M81" s="136" t="str">
        <f>E16</f>
        <v xml:space="preserve">Ing. arch. MgA. Bořek Peška </v>
      </c>
      <c r="N81" s="136"/>
      <c r="O81" s="136"/>
      <c r="P81" s="136"/>
      <c r="Q81" s="136"/>
      <c r="R81" s="210"/>
    </row>
    <row r="82" spans="2:20" ht="11.4">
      <c r="B82" s="209"/>
      <c r="C82" s="140" t="s">
        <v>11</v>
      </c>
      <c r="F82" s="145">
        <f>F12</f>
        <v>0</v>
      </c>
      <c r="J82" s="26"/>
      <c r="K82" s="140" t="s">
        <v>14</v>
      </c>
      <c r="M82" s="136" t="str">
        <f>E19</f>
        <v>Jakub Kulhavý</v>
      </c>
      <c r="N82" s="136"/>
      <c r="O82" s="136"/>
      <c r="P82" s="136"/>
      <c r="Q82" s="136"/>
      <c r="R82" s="210"/>
    </row>
    <row r="83" spans="2:20">
      <c r="B83" s="209"/>
      <c r="J83" s="26"/>
      <c r="R83" s="210"/>
    </row>
    <row r="84" spans="2:20" ht="11.4">
      <c r="B84" s="209"/>
      <c r="C84" s="234" t="s">
        <v>42</v>
      </c>
      <c r="D84" s="235"/>
      <c r="E84" s="235"/>
      <c r="F84" s="235"/>
      <c r="G84" s="235"/>
      <c r="H84" s="203" t="s">
        <v>92</v>
      </c>
      <c r="I84" s="236">
        <f>Rekapitulace!$AS$87</f>
        <v>1898.6840000000002</v>
      </c>
      <c r="J84" s="30"/>
      <c r="K84" s="203" t="s">
        <v>91</v>
      </c>
      <c r="L84" s="203"/>
      <c r="M84" s="203"/>
      <c r="N84" s="234" t="s">
        <v>43</v>
      </c>
      <c r="O84" s="235"/>
      <c r="P84" s="235"/>
      <c r="Q84" s="235"/>
      <c r="R84" s="210"/>
    </row>
    <row r="85" spans="2:20">
      <c r="B85" s="209"/>
      <c r="J85" s="26"/>
      <c r="R85" s="210"/>
    </row>
    <row r="86" spans="2:20" ht="15.6">
      <c r="B86" s="209"/>
      <c r="C86" s="237" t="s">
        <v>44</v>
      </c>
      <c r="J86" s="26"/>
      <c r="K86" s="42">
        <f t="shared" ref="K86:K88" si="0">N86/$I$84</f>
        <v>0</v>
      </c>
      <c r="N86" s="179">
        <f>N87+N90</f>
        <v>0</v>
      </c>
      <c r="O86" s="238"/>
      <c r="P86" s="238"/>
      <c r="Q86" s="238"/>
      <c r="R86" s="210"/>
      <c r="T86" s="31">
        <f>SUM(N87:Q89)/2+N90</f>
        <v>0</v>
      </c>
    </row>
    <row r="87" spans="2:20" s="240" customFormat="1" ht="13.2">
      <c r="B87" s="239"/>
      <c r="D87" s="241" t="str">
        <f>D112</f>
        <v xml:space="preserve">    D - výrobky a specifikace</v>
      </c>
      <c r="J87" s="58"/>
      <c r="K87" s="59">
        <f t="shared" si="0"/>
        <v>0</v>
      </c>
      <c r="N87" s="242">
        <f>SUM(N88:Q89)</f>
        <v>0</v>
      </c>
      <c r="O87" s="243"/>
      <c r="P87" s="243"/>
      <c r="Q87" s="243"/>
      <c r="R87" s="244"/>
      <c r="T87" s="60"/>
    </row>
    <row r="88" spans="2:20" s="246" customFormat="1" ht="13.2">
      <c r="B88" s="245"/>
      <c r="D88" s="247"/>
      <c r="E88" s="246" t="str">
        <f>E113</f>
        <v>D.10.a - SPECIFIKACE TYPOVÝCH PRVKŮ - veškeré položky brány jako dodávka a montáž dohromady</v>
      </c>
      <c r="J88" s="33"/>
      <c r="K88" s="44">
        <f t="shared" si="0"/>
        <v>0</v>
      </c>
      <c r="N88" s="248">
        <f>N113</f>
        <v>0</v>
      </c>
      <c r="O88" s="249"/>
      <c r="P88" s="249"/>
      <c r="Q88" s="249"/>
      <c r="R88" s="250"/>
      <c r="T88" s="23"/>
    </row>
    <row r="89" spans="2:20" s="246" customFormat="1" ht="13.2">
      <c r="B89" s="245"/>
      <c r="D89" s="247"/>
      <c r="E89" s="246" t="str">
        <f>E120</f>
        <v>D.10.b - SPECIFIKACE ATYPICKÝCH PRVKŮ - veškeré položky brány jako dodávka a montáž dohromady</v>
      </c>
      <c r="J89" s="33"/>
      <c r="K89" s="44">
        <f t="shared" ref="K89:K90" si="1">N89/$I$84</f>
        <v>0</v>
      </c>
      <c r="N89" s="248">
        <f>N120</f>
        <v>0</v>
      </c>
      <c r="O89" s="249"/>
      <c r="P89" s="249"/>
      <c r="Q89" s="249"/>
      <c r="R89" s="250"/>
      <c r="T89" s="23"/>
    </row>
    <row r="90" spans="2:20" s="240" customFormat="1" ht="13.2">
      <c r="B90" s="239"/>
      <c r="D90" s="241" t="str">
        <f>D126</f>
        <v xml:space="preserve">    998 - Přesuny hmot</v>
      </c>
      <c r="J90" s="58"/>
      <c r="K90" s="59">
        <f t="shared" si="1"/>
        <v>0</v>
      </c>
      <c r="N90" s="242">
        <f>N126</f>
        <v>0</v>
      </c>
      <c r="O90" s="243"/>
      <c r="P90" s="243"/>
      <c r="Q90" s="243"/>
      <c r="R90" s="244"/>
    </row>
    <row r="91" spans="2:20">
      <c r="B91" s="209"/>
      <c r="J91" s="26"/>
      <c r="R91" s="210"/>
    </row>
    <row r="92" spans="2:20" ht="15.6">
      <c r="B92" s="209"/>
      <c r="C92" s="202" t="s">
        <v>64</v>
      </c>
      <c r="D92" s="203"/>
      <c r="E92" s="203"/>
      <c r="F92" s="203"/>
      <c r="G92" s="203"/>
      <c r="H92" s="203"/>
      <c r="I92" s="203"/>
      <c r="J92" s="30"/>
      <c r="K92" s="45">
        <f>L92/$I$84</f>
        <v>0</v>
      </c>
      <c r="L92" s="204">
        <f>ROUND(N86,2)</f>
        <v>0</v>
      </c>
      <c r="M92" s="204"/>
      <c r="N92" s="204"/>
      <c r="O92" s="204"/>
      <c r="P92" s="204"/>
      <c r="Q92" s="204"/>
      <c r="R92" s="210"/>
    </row>
    <row r="93" spans="2:20">
      <c r="B93" s="209"/>
      <c r="C93" s="110"/>
      <c r="D93" s="110"/>
      <c r="E93" s="110"/>
      <c r="F93" s="110"/>
      <c r="G93" s="110"/>
      <c r="H93" s="110"/>
      <c r="I93" s="110"/>
      <c r="J93" s="29"/>
      <c r="K93" s="110"/>
      <c r="L93" s="110"/>
      <c r="M93" s="110"/>
      <c r="N93" s="110"/>
      <c r="O93" s="110"/>
      <c r="P93" s="110"/>
      <c r="Q93" s="110"/>
      <c r="R93" s="210"/>
    </row>
    <row r="94" spans="2:20">
      <c r="B94" s="231"/>
      <c r="C94" s="232"/>
      <c r="D94" s="232"/>
      <c r="E94" s="232"/>
      <c r="F94" s="232"/>
      <c r="G94" s="232"/>
      <c r="H94" s="232"/>
      <c r="I94" s="232"/>
      <c r="J94" s="62"/>
      <c r="K94" s="232"/>
      <c r="L94" s="232"/>
      <c r="M94" s="232"/>
      <c r="N94" s="232"/>
      <c r="O94" s="232"/>
      <c r="P94" s="232"/>
      <c r="Q94" s="232"/>
      <c r="R94" s="233"/>
    </row>
    <row r="97" spans="2:22">
      <c r="B97" s="206"/>
      <c r="C97" s="207"/>
      <c r="D97" s="207"/>
      <c r="E97" s="207"/>
      <c r="F97" s="207"/>
      <c r="G97" s="207"/>
      <c r="H97" s="207"/>
      <c r="I97" s="207"/>
      <c r="J97" s="61"/>
      <c r="K97" s="207"/>
      <c r="L97" s="207"/>
      <c r="M97" s="207"/>
      <c r="N97" s="207"/>
      <c r="O97" s="207"/>
      <c r="P97" s="207"/>
      <c r="Q97" s="207"/>
      <c r="R97" s="208"/>
    </row>
    <row r="98" spans="2:22" ht="21">
      <c r="B98" s="209"/>
      <c r="C98" s="146" t="s">
        <v>45</v>
      </c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210"/>
    </row>
    <row r="99" spans="2:22" ht="2.25" customHeight="1">
      <c r="B99" s="209"/>
      <c r="J99" s="26"/>
      <c r="R99" s="210"/>
    </row>
    <row r="100" spans="2:22" ht="11.4">
      <c r="B100" s="209"/>
      <c r="C100" s="140" t="s">
        <v>3</v>
      </c>
      <c r="F100" s="211" t="str">
        <f>F4</f>
        <v>Revitalizace veřejného prostoru v proluce mezi ZUŠ a domem čp. 23 vč. přilehlých prostor ul. Radniční</v>
      </c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R100" s="210"/>
    </row>
    <row r="101" spans="2:22" ht="15.6">
      <c r="B101" s="209"/>
      <c r="C101" s="135" t="s">
        <v>39</v>
      </c>
      <c r="F101" s="109" t="str">
        <f>F5</f>
        <v>Specifikace</v>
      </c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R101" s="210"/>
    </row>
    <row r="102" spans="2:22">
      <c r="B102" s="209"/>
      <c r="J102" s="26"/>
      <c r="R102" s="210"/>
    </row>
    <row r="103" spans="2:22" ht="11.4">
      <c r="B103" s="209"/>
      <c r="C103" s="140" t="s">
        <v>6</v>
      </c>
      <c r="F103" s="145" t="str">
        <f>F7</f>
        <v>Radniční ul. Bílina
p.č. 107, 120/1, 122, 125/1, 125/2, 125/3, 126, k.ú. Bílina [604208]</v>
      </c>
      <c r="J103" s="26"/>
      <c r="K103" s="140" t="s">
        <v>7</v>
      </c>
      <c r="M103" s="166">
        <f>IF(O7="","",O7)</f>
        <v>0</v>
      </c>
      <c r="N103" s="166"/>
      <c r="O103" s="166"/>
      <c r="P103" s="166"/>
      <c r="R103" s="210"/>
    </row>
    <row r="104" spans="2:22">
      <c r="B104" s="209"/>
      <c r="J104" s="26"/>
      <c r="R104" s="210"/>
    </row>
    <row r="105" spans="2:22" ht="48.75" customHeight="1">
      <c r="B105" s="209"/>
      <c r="C105" s="140" t="s">
        <v>8</v>
      </c>
      <c r="F105" s="127" t="str">
        <f>F81</f>
        <v>město Bílina
Břežanská 50/4, 418 31 Bílina</v>
      </c>
      <c r="G105" s="127"/>
      <c r="H105" s="127"/>
      <c r="I105" s="127"/>
      <c r="J105" s="127"/>
      <c r="K105" s="140" t="s">
        <v>13</v>
      </c>
      <c r="M105" s="136" t="str">
        <f>E16</f>
        <v xml:space="preserve">Ing. arch. MgA. Bořek Peška </v>
      </c>
      <c r="N105" s="136"/>
      <c r="O105" s="136"/>
      <c r="P105" s="136"/>
      <c r="Q105" s="136"/>
      <c r="R105" s="210"/>
    </row>
    <row r="106" spans="2:22" ht="11.4">
      <c r="B106" s="209"/>
      <c r="C106" s="140" t="s">
        <v>11</v>
      </c>
      <c r="F106" s="145">
        <f>F82</f>
        <v>0</v>
      </c>
      <c r="J106" s="26"/>
      <c r="K106" s="140" t="s">
        <v>14</v>
      </c>
      <c r="M106" s="136" t="str">
        <f>E19</f>
        <v>Jakub Kulhavý</v>
      </c>
      <c r="N106" s="136"/>
      <c r="O106" s="136"/>
      <c r="P106" s="136"/>
      <c r="Q106" s="136"/>
      <c r="R106" s="210"/>
    </row>
    <row r="107" spans="2:22" ht="11.4">
      <c r="B107" s="209"/>
      <c r="C107" s="140"/>
      <c r="F107" s="211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R107" s="210"/>
    </row>
    <row r="108" spans="2:22" ht="28.5" customHeight="1">
      <c r="B108" s="209"/>
      <c r="C108" s="140" t="s">
        <v>67</v>
      </c>
      <c r="F108" s="139" t="s">
        <v>821</v>
      </c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R108" s="210"/>
    </row>
    <row r="109" spans="2:22" ht="3.75" customHeight="1">
      <c r="B109" s="209"/>
      <c r="J109" s="26"/>
      <c r="R109" s="210"/>
    </row>
    <row r="110" spans="2:22" s="258" customFormat="1" ht="22.8">
      <c r="B110" s="251"/>
      <c r="C110" s="252" t="s">
        <v>46</v>
      </c>
      <c r="D110" s="253" t="s">
        <v>47</v>
      </c>
      <c r="E110" s="253" t="s">
        <v>34</v>
      </c>
      <c r="F110" s="254" t="s">
        <v>48</v>
      </c>
      <c r="G110" s="254"/>
      <c r="H110" s="254"/>
      <c r="I110" s="254"/>
      <c r="J110" s="34" t="s">
        <v>49</v>
      </c>
      <c r="K110" s="253" t="s">
        <v>50</v>
      </c>
      <c r="L110" s="255" t="s">
        <v>51</v>
      </c>
      <c r="M110" s="255"/>
      <c r="N110" s="254" t="s">
        <v>43</v>
      </c>
      <c r="O110" s="254"/>
      <c r="P110" s="254"/>
      <c r="Q110" s="256"/>
      <c r="R110" s="257"/>
      <c r="T110" s="24"/>
      <c r="U110" s="259"/>
      <c r="V110" s="259"/>
    </row>
    <row r="111" spans="2:22" ht="15.6">
      <c r="B111" s="209"/>
      <c r="C111" s="176" t="s">
        <v>40</v>
      </c>
      <c r="J111" s="26"/>
      <c r="N111" s="260">
        <f>N112+N126</f>
        <v>0</v>
      </c>
      <c r="O111" s="261"/>
      <c r="P111" s="261"/>
      <c r="Q111" s="261"/>
      <c r="R111" s="210"/>
      <c r="T111" s="22">
        <f>T112+T126</f>
        <v>0</v>
      </c>
    </row>
    <row r="112" spans="2:22" s="266" customFormat="1" ht="13.2">
      <c r="B112" s="262"/>
      <c r="C112" s="263"/>
      <c r="D112" s="263" t="s">
        <v>110</v>
      </c>
      <c r="E112" s="263"/>
      <c r="F112" s="263"/>
      <c r="G112" s="263"/>
      <c r="H112" s="263"/>
      <c r="I112" s="263"/>
      <c r="J112" s="36"/>
      <c r="K112" s="263"/>
      <c r="L112" s="155"/>
      <c r="M112" s="155"/>
      <c r="N112" s="264">
        <f>N113+N120</f>
        <v>0</v>
      </c>
      <c r="O112" s="264"/>
      <c r="P112" s="264"/>
      <c r="Q112" s="264"/>
      <c r="R112" s="265"/>
      <c r="T112" s="25">
        <f>SUM(N113:Q125)/2</f>
        <v>0</v>
      </c>
      <c r="U112" s="141"/>
      <c r="V112" s="141"/>
    </row>
    <row r="113" spans="2:22" s="275" customFormat="1">
      <c r="B113" s="267"/>
      <c r="C113" s="268"/>
      <c r="D113" s="268"/>
      <c r="E113" s="269" t="s">
        <v>822</v>
      </c>
      <c r="F113" s="270"/>
      <c r="G113" s="270"/>
      <c r="H113" s="270"/>
      <c r="I113" s="271"/>
      <c r="J113" s="49"/>
      <c r="K113" s="272"/>
      <c r="L113" s="92"/>
      <c r="M113" s="92"/>
      <c r="N113" s="273">
        <f>SUM(N114:Q119)</f>
        <v>0</v>
      </c>
      <c r="O113" s="273"/>
      <c r="P113" s="273"/>
      <c r="Q113" s="273"/>
      <c r="R113" s="274"/>
      <c r="T113" s="48"/>
      <c r="U113" s="276"/>
      <c r="V113" s="276"/>
    </row>
    <row r="114" spans="2:22" ht="66.599999999999994" customHeight="1" outlineLevel="1">
      <c r="B114" s="209"/>
      <c r="C114" s="277">
        <v>1</v>
      </c>
      <c r="D114" s="277"/>
      <c r="E114" s="278" t="s">
        <v>202</v>
      </c>
      <c r="F114" s="279" t="s">
        <v>731</v>
      </c>
      <c r="G114" s="279"/>
      <c r="H114" s="279"/>
      <c r="I114" s="279"/>
      <c r="J114" s="38" t="s">
        <v>58</v>
      </c>
      <c r="K114" s="410">
        <v>52</v>
      </c>
      <c r="L114" s="91"/>
      <c r="M114" s="91"/>
      <c r="N114" s="280">
        <f>ROUND(L114*K114,2)</f>
        <v>0</v>
      </c>
      <c r="O114" s="280"/>
      <c r="P114" s="280"/>
      <c r="Q114" s="280"/>
      <c r="R114" s="210"/>
      <c r="T114" s="25"/>
    </row>
    <row r="115" spans="2:22" ht="66.599999999999994" customHeight="1" outlineLevel="1">
      <c r="B115" s="209"/>
      <c r="C115" s="277">
        <f>C114+1</f>
        <v>2</v>
      </c>
      <c r="D115" s="277"/>
      <c r="E115" s="278" t="s">
        <v>203</v>
      </c>
      <c r="F115" s="279" t="s">
        <v>735</v>
      </c>
      <c r="G115" s="279"/>
      <c r="H115" s="279"/>
      <c r="I115" s="279"/>
      <c r="J115" s="38" t="s">
        <v>57</v>
      </c>
      <c r="K115" s="281">
        <v>5</v>
      </c>
      <c r="L115" s="91"/>
      <c r="M115" s="91"/>
      <c r="N115" s="280">
        <f>ROUND(L115*K115,2)</f>
        <v>0</v>
      </c>
      <c r="O115" s="280"/>
      <c r="P115" s="280"/>
      <c r="Q115" s="280"/>
      <c r="R115" s="210"/>
      <c r="T115" s="25"/>
    </row>
    <row r="116" spans="2:22" ht="66.599999999999994" customHeight="1" outlineLevel="1">
      <c r="B116" s="209"/>
      <c r="C116" s="277">
        <f>C115+1</f>
        <v>3</v>
      </c>
      <c r="D116" s="277"/>
      <c r="E116" s="278" t="s">
        <v>732</v>
      </c>
      <c r="F116" s="279" t="s">
        <v>736</v>
      </c>
      <c r="G116" s="279"/>
      <c r="H116" s="279"/>
      <c r="I116" s="279"/>
      <c r="J116" s="38" t="s">
        <v>207</v>
      </c>
      <c r="K116" s="281">
        <v>1</v>
      </c>
      <c r="L116" s="91"/>
      <c r="M116" s="91"/>
      <c r="N116" s="280">
        <f>ROUND(L116*K116,2)</f>
        <v>0</v>
      </c>
      <c r="O116" s="280"/>
      <c r="P116" s="280"/>
      <c r="Q116" s="280"/>
      <c r="R116" s="210"/>
      <c r="T116" s="25"/>
    </row>
    <row r="117" spans="2:22" ht="66.599999999999994" customHeight="1" outlineLevel="1">
      <c r="B117" s="209"/>
      <c r="C117" s="277">
        <f t="shared" ref="C117:C119" si="2">C116+1</f>
        <v>4</v>
      </c>
      <c r="D117" s="277"/>
      <c r="E117" s="278" t="s">
        <v>733</v>
      </c>
      <c r="F117" s="279" t="s">
        <v>737</v>
      </c>
      <c r="G117" s="279"/>
      <c r="H117" s="279"/>
      <c r="I117" s="279"/>
      <c r="J117" s="38" t="s">
        <v>57</v>
      </c>
      <c r="K117" s="281">
        <v>3</v>
      </c>
      <c r="L117" s="91"/>
      <c r="M117" s="91"/>
      <c r="N117" s="280">
        <f t="shared" ref="N117:N119" si="3">ROUND(L117*K117,2)</f>
        <v>0</v>
      </c>
      <c r="O117" s="280"/>
      <c r="P117" s="280"/>
      <c r="Q117" s="280"/>
      <c r="R117" s="210"/>
      <c r="T117" s="25"/>
    </row>
    <row r="118" spans="2:22" ht="66.599999999999994" customHeight="1" outlineLevel="1">
      <c r="B118" s="209"/>
      <c r="C118" s="277">
        <f t="shared" si="2"/>
        <v>5</v>
      </c>
      <c r="D118" s="277"/>
      <c r="E118" s="278" t="s">
        <v>734</v>
      </c>
      <c r="F118" s="279" t="s">
        <v>739</v>
      </c>
      <c r="G118" s="279"/>
      <c r="H118" s="279"/>
      <c r="I118" s="279"/>
      <c r="J118" s="38" t="s">
        <v>57</v>
      </c>
      <c r="K118" s="281">
        <v>2</v>
      </c>
      <c r="L118" s="91"/>
      <c r="M118" s="91"/>
      <c r="N118" s="280">
        <f t="shared" ref="N118" si="4">ROUND(L118*K118,2)</f>
        <v>0</v>
      </c>
      <c r="O118" s="280"/>
      <c r="P118" s="280"/>
      <c r="Q118" s="280"/>
      <c r="R118" s="210"/>
      <c r="T118" s="25"/>
    </row>
    <row r="119" spans="2:22" ht="66.599999999999994" customHeight="1" outlineLevel="1">
      <c r="B119" s="209"/>
      <c r="C119" s="277">
        <f t="shared" si="2"/>
        <v>6</v>
      </c>
      <c r="D119" s="277"/>
      <c r="E119" s="278" t="s">
        <v>738</v>
      </c>
      <c r="F119" s="279" t="s">
        <v>740</v>
      </c>
      <c r="G119" s="279"/>
      <c r="H119" s="279"/>
      <c r="I119" s="279"/>
      <c r="J119" s="38" t="s">
        <v>57</v>
      </c>
      <c r="K119" s="281">
        <v>1</v>
      </c>
      <c r="L119" s="91"/>
      <c r="M119" s="91"/>
      <c r="N119" s="280">
        <f t="shared" si="3"/>
        <v>0</v>
      </c>
      <c r="O119" s="280"/>
      <c r="P119" s="280"/>
      <c r="Q119" s="280"/>
      <c r="R119" s="210"/>
      <c r="T119" s="25"/>
    </row>
    <row r="120" spans="2:22" s="275" customFormat="1" ht="10.199999999999999" customHeight="1">
      <c r="B120" s="267"/>
      <c r="C120" s="268"/>
      <c r="D120" s="268"/>
      <c r="E120" s="269" t="s">
        <v>823</v>
      </c>
      <c r="F120" s="270"/>
      <c r="G120" s="270"/>
      <c r="H120" s="270"/>
      <c r="I120" s="271"/>
      <c r="J120" s="49"/>
      <c r="K120" s="272"/>
      <c r="L120" s="92"/>
      <c r="M120" s="92"/>
      <c r="N120" s="273">
        <f>SUM(N121:Q125)</f>
        <v>0</v>
      </c>
      <c r="O120" s="273"/>
      <c r="P120" s="273"/>
      <c r="Q120" s="273"/>
      <c r="R120" s="274"/>
      <c r="T120" s="48"/>
      <c r="U120" s="276"/>
      <c r="V120" s="276"/>
    </row>
    <row r="121" spans="2:22" ht="66.599999999999994" customHeight="1" outlineLevel="1">
      <c r="B121" s="209"/>
      <c r="C121" s="277">
        <f>C119+1</f>
        <v>7</v>
      </c>
      <c r="D121" s="277"/>
      <c r="E121" s="278" t="s">
        <v>741</v>
      </c>
      <c r="F121" s="279" t="s">
        <v>744</v>
      </c>
      <c r="G121" s="279"/>
      <c r="H121" s="279"/>
      <c r="I121" s="279"/>
      <c r="J121" s="38" t="s">
        <v>57</v>
      </c>
      <c r="K121" s="281">
        <v>1</v>
      </c>
      <c r="L121" s="91"/>
      <c r="M121" s="91"/>
      <c r="N121" s="280">
        <f>ROUND(L121*K121,2)</f>
        <v>0</v>
      </c>
      <c r="O121" s="280"/>
      <c r="P121" s="280"/>
      <c r="Q121" s="280"/>
      <c r="R121" s="210"/>
      <c r="T121" s="25"/>
    </row>
    <row r="122" spans="2:22" ht="66.599999999999994" customHeight="1" outlineLevel="1">
      <c r="B122" s="209"/>
      <c r="C122" s="277">
        <f t="shared" ref="C122:C125" si="5">C121+1</f>
        <v>8</v>
      </c>
      <c r="D122" s="277"/>
      <c r="E122" s="278" t="s">
        <v>742</v>
      </c>
      <c r="F122" s="279" t="s">
        <v>745</v>
      </c>
      <c r="G122" s="279"/>
      <c r="H122" s="279"/>
      <c r="I122" s="279"/>
      <c r="J122" s="38" t="s">
        <v>57</v>
      </c>
      <c r="K122" s="281">
        <v>1</v>
      </c>
      <c r="L122" s="91"/>
      <c r="M122" s="91"/>
      <c r="N122" s="280">
        <f t="shared" ref="N122:N125" si="6">ROUND(L122*K122,2)</f>
        <v>0</v>
      </c>
      <c r="O122" s="280"/>
      <c r="P122" s="280"/>
      <c r="Q122" s="280"/>
      <c r="R122" s="210"/>
      <c r="T122" s="25"/>
    </row>
    <row r="123" spans="2:22" ht="66.599999999999994" customHeight="1" outlineLevel="1">
      <c r="B123" s="209"/>
      <c r="C123" s="277">
        <f t="shared" si="5"/>
        <v>9</v>
      </c>
      <c r="D123" s="277"/>
      <c r="E123" s="278" t="s">
        <v>743</v>
      </c>
      <c r="F123" s="279" t="s">
        <v>746</v>
      </c>
      <c r="G123" s="279"/>
      <c r="H123" s="279"/>
      <c r="I123" s="279"/>
      <c r="J123" s="38" t="s">
        <v>57</v>
      </c>
      <c r="K123" s="281">
        <v>1</v>
      </c>
      <c r="L123" s="91"/>
      <c r="M123" s="91"/>
      <c r="N123" s="280">
        <f t="shared" ref="N123:N124" si="7">ROUND(L123*K123,2)</f>
        <v>0</v>
      </c>
      <c r="O123" s="280"/>
      <c r="P123" s="280"/>
      <c r="Q123" s="280"/>
      <c r="R123" s="210"/>
      <c r="T123" s="25"/>
    </row>
    <row r="124" spans="2:22" ht="66.599999999999994" customHeight="1" outlineLevel="1">
      <c r="B124" s="209"/>
      <c r="C124" s="277">
        <f t="shared" si="5"/>
        <v>10</v>
      </c>
      <c r="D124" s="412"/>
      <c r="E124" s="413" t="s">
        <v>849</v>
      </c>
      <c r="F124" s="414" t="s">
        <v>851</v>
      </c>
      <c r="G124" s="414"/>
      <c r="H124" s="414"/>
      <c r="I124" s="414"/>
      <c r="J124" s="38" t="s">
        <v>57</v>
      </c>
      <c r="K124" s="410">
        <v>2</v>
      </c>
      <c r="L124" s="91"/>
      <c r="M124" s="91"/>
      <c r="N124" s="280">
        <f t="shared" si="7"/>
        <v>0</v>
      </c>
      <c r="O124" s="280"/>
      <c r="P124" s="280"/>
      <c r="Q124" s="280"/>
      <c r="R124" s="210"/>
      <c r="T124" s="25"/>
    </row>
    <row r="125" spans="2:22" ht="66.599999999999994" customHeight="1" outlineLevel="1">
      <c r="B125" s="209"/>
      <c r="C125" s="277">
        <f t="shared" si="5"/>
        <v>11</v>
      </c>
      <c r="D125" s="412"/>
      <c r="E125" s="413" t="s">
        <v>850</v>
      </c>
      <c r="F125" s="414" t="s">
        <v>852</v>
      </c>
      <c r="G125" s="414"/>
      <c r="H125" s="414"/>
      <c r="I125" s="414"/>
      <c r="J125" s="38" t="s">
        <v>57</v>
      </c>
      <c r="K125" s="410">
        <v>1</v>
      </c>
      <c r="L125" s="91"/>
      <c r="M125" s="91"/>
      <c r="N125" s="280">
        <f t="shared" si="6"/>
        <v>0</v>
      </c>
      <c r="O125" s="280"/>
      <c r="P125" s="280"/>
      <c r="Q125" s="280"/>
      <c r="R125" s="210"/>
      <c r="T125" s="25"/>
    </row>
    <row r="126" spans="2:22" s="266" customFormat="1" ht="13.2">
      <c r="B126" s="262"/>
      <c r="C126" s="263"/>
      <c r="D126" s="263" t="s">
        <v>195</v>
      </c>
      <c r="E126" s="263"/>
      <c r="F126" s="263"/>
      <c r="G126" s="263"/>
      <c r="H126" s="263"/>
      <c r="I126" s="263"/>
      <c r="J126" s="36"/>
      <c r="K126" s="263"/>
      <c r="L126" s="155"/>
      <c r="M126" s="155"/>
      <c r="N126" s="264">
        <f>SUM(N127)</f>
        <v>0</v>
      </c>
      <c r="O126" s="264"/>
      <c r="P126" s="264"/>
      <c r="Q126" s="264"/>
      <c r="R126" s="265"/>
      <c r="T126" s="25">
        <f>SUM(N126:Q183)/2</f>
        <v>0</v>
      </c>
    </row>
    <row r="127" spans="2:22" s="141" customFormat="1" outlineLevel="1">
      <c r="B127" s="282"/>
      <c r="C127" s="277">
        <f>C125+1</f>
        <v>12</v>
      </c>
      <c r="D127" s="277" t="s">
        <v>59</v>
      </c>
      <c r="E127" s="278" t="s">
        <v>747</v>
      </c>
      <c r="F127" s="279" t="s">
        <v>204</v>
      </c>
      <c r="G127" s="279"/>
      <c r="H127" s="279"/>
      <c r="I127" s="279"/>
      <c r="J127" s="38" t="s">
        <v>60</v>
      </c>
      <c r="K127" s="281">
        <f>N112</f>
        <v>0</v>
      </c>
      <c r="L127" s="95"/>
      <c r="M127" s="95"/>
      <c r="N127" s="280">
        <f t="shared" ref="N127" si="8">ROUND(L127*K127,2)</f>
        <v>0</v>
      </c>
      <c r="O127" s="280"/>
      <c r="P127" s="280"/>
      <c r="Q127" s="280"/>
      <c r="R127" s="210"/>
      <c r="S127" s="142"/>
      <c r="T127" s="25"/>
    </row>
    <row r="128" spans="2:22">
      <c r="B128" s="231"/>
      <c r="C128" s="232"/>
      <c r="D128" s="232"/>
      <c r="E128" s="232"/>
      <c r="F128" s="232"/>
      <c r="G128" s="232"/>
      <c r="H128" s="232"/>
      <c r="I128" s="232"/>
      <c r="J128" s="62"/>
      <c r="K128" s="232"/>
      <c r="L128" s="232"/>
      <c r="M128" s="232"/>
      <c r="N128" s="232"/>
      <c r="O128" s="232"/>
      <c r="P128" s="232"/>
      <c r="Q128" s="232"/>
      <c r="R128" s="233"/>
    </row>
  </sheetData>
  <sheetProtection algorithmName="SHA-512" hashValue="dznIQql+LiDKT8dm1HpSq1fuhIjbUG7AGs7v9/6fL4gIW8hFPrs6cPewfOMIjxiKxGTqxQF9IfBOYYjEMWmTNQ==" saltValue="Zzd8D/ek1xBZpl2/v3Ygzg==" spinCount="100000" sheet="1" objects="1" scenarios="1"/>
  <mergeCells count="99">
    <mergeCell ref="F123:I123"/>
    <mergeCell ref="L123:M123"/>
    <mergeCell ref="N123:Q123"/>
    <mergeCell ref="F124:I124"/>
    <mergeCell ref="L124:M124"/>
    <mergeCell ref="N124:Q124"/>
    <mergeCell ref="L116:M116"/>
    <mergeCell ref="N116:Q116"/>
    <mergeCell ref="F116:I116"/>
    <mergeCell ref="L114:M114"/>
    <mergeCell ref="N114:Q114"/>
    <mergeCell ref="F115:I115"/>
    <mergeCell ref="L115:M115"/>
    <mergeCell ref="N115:Q115"/>
    <mergeCell ref="F121:I121"/>
    <mergeCell ref="L121:M121"/>
    <mergeCell ref="N121:Q121"/>
    <mergeCell ref="N111:Q111"/>
    <mergeCell ref="M106:Q106"/>
    <mergeCell ref="F107:P107"/>
    <mergeCell ref="F108:P108"/>
    <mergeCell ref="F110:I110"/>
    <mergeCell ref="L110:M110"/>
    <mergeCell ref="N110:Q110"/>
    <mergeCell ref="N112:Q112"/>
    <mergeCell ref="E113:I113"/>
    <mergeCell ref="L113:M113"/>
    <mergeCell ref="N113:Q113"/>
    <mergeCell ref="E120:I120"/>
    <mergeCell ref="L120:M120"/>
    <mergeCell ref="O18:P18"/>
    <mergeCell ref="L36:P36"/>
    <mergeCell ref="C74:Q74"/>
    <mergeCell ref="F76:P76"/>
    <mergeCell ref="F105:J105"/>
    <mergeCell ref="M105:Q105"/>
    <mergeCell ref="N87:Q87"/>
    <mergeCell ref="N86:Q86"/>
    <mergeCell ref="M79:P79"/>
    <mergeCell ref="F81:J81"/>
    <mergeCell ref="M81:Q81"/>
    <mergeCell ref="M82:Q82"/>
    <mergeCell ref="C84:G84"/>
    <mergeCell ref="N84:Q84"/>
    <mergeCell ref="L92:Q92"/>
    <mergeCell ref="C98:Q98"/>
    <mergeCell ref="O16:P16"/>
    <mergeCell ref="C2:Q2"/>
    <mergeCell ref="F4:P4"/>
    <mergeCell ref="F5:P5"/>
    <mergeCell ref="O7:P7"/>
    <mergeCell ref="F9:L9"/>
    <mergeCell ref="O9:P9"/>
    <mergeCell ref="O10:P10"/>
    <mergeCell ref="F12:I12"/>
    <mergeCell ref="O12:P12"/>
    <mergeCell ref="O13:P13"/>
    <mergeCell ref="O15:P15"/>
    <mergeCell ref="F119:I119"/>
    <mergeCell ref="L119:M119"/>
    <mergeCell ref="N119:Q119"/>
    <mergeCell ref="O19:P19"/>
    <mergeCell ref="O21:P21"/>
    <mergeCell ref="E22:P22"/>
    <mergeCell ref="D25:E25"/>
    <mergeCell ref="G25:P25"/>
    <mergeCell ref="F101:P101"/>
    <mergeCell ref="M103:P103"/>
    <mergeCell ref="N88:Q88"/>
    <mergeCell ref="F100:P100"/>
    <mergeCell ref="F118:I118"/>
    <mergeCell ref="L118:M118"/>
    <mergeCell ref="N118:Q118"/>
    <mergeCell ref="F114:I114"/>
    <mergeCell ref="F77:P77"/>
    <mergeCell ref="D26:E26"/>
    <mergeCell ref="G26:P26"/>
    <mergeCell ref="M29:P29"/>
    <mergeCell ref="M31:P31"/>
    <mergeCell ref="H33:J33"/>
    <mergeCell ref="M33:P33"/>
    <mergeCell ref="H34:J34"/>
    <mergeCell ref="M34:P34"/>
    <mergeCell ref="N126:Q126"/>
    <mergeCell ref="F127:I127"/>
    <mergeCell ref="L127:M127"/>
    <mergeCell ref="N127:Q127"/>
    <mergeCell ref="N89:Q89"/>
    <mergeCell ref="N90:Q90"/>
    <mergeCell ref="F122:I122"/>
    <mergeCell ref="L122:M122"/>
    <mergeCell ref="N122:Q122"/>
    <mergeCell ref="F125:I125"/>
    <mergeCell ref="L125:M125"/>
    <mergeCell ref="N125:Q125"/>
    <mergeCell ref="N120:Q120"/>
    <mergeCell ref="F117:I117"/>
    <mergeCell ref="L117:M117"/>
    <mergeCell ref="N117:Q117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F943C-5DDE-4B83-A9D2-6D7ADA207BEA}">
  <sheetPr>
    <pageSetUpPr fitToPage="1"/>
  </sheetPr>
  <dimension ref="B1:AE227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1" width="11.42578125" style="141" hidden="1" customWidth="1" outlineLevel="1"/>
    <col min="22" max="22" width="11.42578125" style="66" hidden="1" customWidth="1" outlineLevel="1"/>
    <col min="23" max="29" width="11.42578125" style="22" hidden="1" customWidth="1" outlineLevel="1"/>
    <col min="30" max="30" width="11.42578125" style="366" hidden="1" customWidth="1" outlineLevel="1"/>
    <col min="31" max="31" width="9.28515625" style="142" collapsed="1"/>
    <col min="32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232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SO.01 bourání a demolice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0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0">
      <c r="B82" s="209"/>
      <c r="J82" s="26"/>
      <c r="R82" s="210"/>
    </row>
    <row r="83" spans="2:20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Rekapitulace!$AS$87</f>
        <v>1898.6840000000002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0">
      <c r="B84" s="209"/>
      <c r="J84" s="26"/>
      <c r="R84" s="210"/>
    </row>
    <row r="85" spans="2:20" ht="15.6">
      <c r="B85" s="209"/>
      <c r="C85" s="237" t="s">
        <v>44</v>
      </c>
      <c r="J85" s="26"/>
      <c r="K85" s="42">
        <f t="shared" ref="K85:K88" si="0">N85/$I$83</f>
        <v>0</v>
      </c>
      <c r="N85" s="179">
        <f>N86</f>
        <v>0</v>
      </c>
      <c r="O85" s="238"/>
      <c r="P85" s="238"/>
      <c r="Q85" s="238"/>
      <c r="R85" s="210"/>
      <c r="T85" s="31">
        <f>SUM(N85:Q88)/3</f>
        <v>0</v>
      </c>
    </row>
    <row r="86" spans="2:20" s="348" customFormat="1" ht="15">
      <c r="B86" s="347"/>
      <c r="D86" s="349" t="str">
        <f>D110</f>
        <v>Bourání a demolice</v>
      </c>
      <c r="J86" s="32"/>
      <c r="K86" s="43">
        <f t="shared" si="0"/>
        <v>0</v>
      </c>
      <c r="N86" s="350">
        <f>SUM(N87:Q88)</f>
        <v>0</v>
      </c>
      <c r="O86" s="351"/>
      <c r="P86" s="351"/>
      <c r="Q86" s="351"/>
      <c r="R86" s="352"/>
      <c r="T86" s="31">
        <f>SUM(N86:Q88)/2</f>
        <v>0</v>
      </c>
    </row>
    <row r="87" spans="2:20" s="246" customFormat="1" ht="13.2">
      <c r="B87" s="245"/>
      <c r="D87" s="247" t="str">
        <f>D111</f>
        <v xml:space="preserve">    9 - Bourání a demolice</v>
      </c>
      <c r="J87" s="33"/>
      <c r="K87" s="44">
        <f>N87/$I$83</f>
        <v>0</v>
      </c>
      <c r="N87" s="248">
        <f>N111</f>
        <v>0</v>
      </c>
      <c r="O87" s="249"/>
      <c r="P87" s="249"/>
      <c r="Q87" s="249"/>
      <c r="R87" s="250"/>
      <c r="T87" s="23"/>
    </row>
    <row r="88" spans="2:20" s="246" customFormat="1" ht="13.2">
      <c r="B88" s="245"/>
      <c r="D88" s="247" t="str">
        <f>D210</f>
        <v xml:space="preserve">    997 - Přesun sutě</v>
      </c>
      <c r="J88" s="33"/>
      <c r="K88" s="44">
        <f t="shared" si="0"/>
        <v>0</v>
      </c>
      <c r="N88" s="248">
        <f>N210</f>
        <v>0</v>
      </c>
      <c r="O88" s="249"/>
      <c r="P88" s="249"/>
      <c r="Q88" s="249"/>
      <c r="R88" s="250"/>
      <c r="T88" s="23"/>
    </row>
    <row r="89" spans="2:20">
      <c r="B89" s="209"/>
      <c r="J89" s="26"/>
      <c r="R89" s="210"/>
    </row>
    <row r="90" spans="2:20" ht="15.6">
      <c r="B90" s="209"/>
      <c r="C90" s="202" t="s">
        <v>64</v>
      </c>
      <c r="D90" s="203"/>
      <c r="E90" s="203"/>
      <c r="F90" s="203"/>
      <c r="G90" s="203"/>
      <c r="H90" s="203"/>
      <c r="I90" s="203"/>
      <c r="J90" s="30"/>
      <c r="K90" s="45">
        <f>L90/$I$83</f>
        <v>0</v>
      </c>
      <c r="L90" s="204">
        <f>ROUND(N85,2)</f>
        <v>0</v>
      </c>
      <c r="M90" s="204"/>
      <c r="N90" s="204"/>
      <c r="O90" s="204"/>
      <c r="P90" s="204"/>
      <c r="Q90" s="204"/>
      <c r="R90" s="210"/>
    </row>
    <row r="91" spans="2:20">
      <c r="B91" s="209"/>
      <c r="J91" s="26"/>
      <c r="R91" s="210"/>
    </row>
    <row r="92" spans="2:20">
      <c r="B92" s="231"/>
      <c r="C92" s="232"/>
      <c r="D92" s="232"/>
      <c r="E92" s="232"/>
      <c r="F92" s="232"/>
      <c r="G92" s="232"/>
      <c r="H92" s="232"/>
      <c r="I92" s="232"/>
      <c r="J92" s="62"/>
      <c r="K92" s="232"/>
      <c r="L92" s="232"/>
      <c r="M92" s="232"/>
      <c r="N92" s="232"/>
      <c r="O92" s="232"/>
      <c r="P92" s="232"/>
      <c r="Q92" s="232"/>
      <c r="R92" s="233"/>
    </row>
    <row r="95" spans="2:20">
      <c r="B95" s="206"/>
      <c r="C95" s="207"/>
      <c r="D95" s="207"/>
      <c r="E95" s="207"/>
      <c r="F95" s="207"/>
      <c r="G95" s="207"/>
      <c r="H95" s="207"/>
      <c r="I95" s="207"/>
      <c r="J95" s="61"/>
      <c r="K95" s="207"/>
      <c r="L95" s="207"/>
      <c r="M95" s="207"/>
      <c r="N95" s="207"/>
      <c r="O95" s="207"/>
      <c r="P95" s="207"/>
      <c r="Q95" s="207"/>
      <c r="R95" s="208"/>
    </row>
    <row r="96" spans="2:20" ht="21">
      <c r="B96" s="209"/>
      <c r="C96" s="146" t="s">
        <v>45</v>
      </c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210"/>
    </row>
    <row r="97" spans="2:30" ht="2.25" customHeight="1">
      <c r="B97" s="209"/>
      <c r="J97" s="26"/>
      <c r="R97" s="210"/>
    </row>
    <row r="98" spans="2:30" ht="11.4">
      <c r="B98" s="209"/>
      <c r="C98" s="140" t="s">
        <v>3</v>
      </c>
      <c r="F98" s="211" t="str">
        <f>F4</f>
        <v>Revitalizace veřejného prostoru v proluce mezi ZUŠ a domem čp. 23 vč. přilehlých prostor ul. Radniční</v>
      </c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R98" s="210"/>
    </row>
    <row r="99" spans="2:30" ht="15.6">
      <c r="B99" s="209"/>
      <c r="C99" s="135" t="s">
        <v>39</v>
      </c>
      <c r="F99" s="109" t="str">
        <f>F5</f>
        <v>SO.01 bourání a demolice</v>
      </c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R99" s="210"/>
    </row>
    <row r="100" spans="2:30">
      <c r="B100" s="209"/>
      <c r="J100" s="26"/>
      <c r="R100" s="210"/>
    </row>
    <row r="101" spans="2:30" ht="11.4">
      <c r="B101" s="209"/>
      <c r="C101" s="140" t="s">
        <v>6</v>
      </c>
      <c r="F101" s="145" t="str">
        <f>F7</f>
        <v>Radniční ul. Bílina
p.č. 107, 120/1, 122, 125/1, 125/2, 125/3, 126, k.ú. Bílina [604208]</v>
      </c>
      <c r="J101" s="26"/>
      <c r="K101" s="140" t="s">
        <v>7</v>
      </c>
      <c r="M101" s="166">
        <f>IF(O7="","",O7)</f>
        <v>0</v>
      </c>
      <c r="N101" s="166"/>
      <c r="O101" s="166"/>
      <c r="P101" s="166"/>
      <c r="R101" s="210"/>
    </row>
    <row r="102" spans="2:30">
      <c r="B102" s="209"/>
      <c r="J102" s="26"/>
      <c r="R102" s="210"/>
    </row>
    <row r="103" spans="2:30" ht="48.75" customHeight="1">
      <c r="B103" s="209"/>
      <c r="C103" s="140" t="s">
        <v>8</v>
      </c>
      <c r="F103" s="127" t="str">
        <f>F80</f>
        <v>město Bílina
Břežanská 50/4, 418 31 Bílina</v>
      </c>
      <c r="G103" s="127"/>
      <c r="H103" s="127"/>
      <c r="I103" s="127"/>
      <c r="J103" s="127"/>
      <c r="K103" s="140" t="s">
        <v>13</v>
      </c>
      <c r="M103" s="136" t="str">
        <f>E16</f>
        <v xml:space="preserve">Ing. arch. MgA. Bořek Peška </v>
      </c>
      <c r="N103" s="136"/>
      <c r="O103" s="136"/>
      <c r="P103" s="136"/>
      <c r="Q103" s="136"/>
      <c r="R103" s="210"/>
      <c r="U103" s="142"/>
      <c r="V103" s="22"/>
    </row>
    <row r="104" spans="2:30" ht="11.4">
      <c r="B104" s="209"/>
      <c r="C104" s="140" t="s">
        <v>11</v>
      </c>
      <c r="F104" s="145">
        <f>F81</f>
        <v>0</v>
      </c>
      <c r="J104" s="26"/>
      <c r="K104" s="140" t="s">
        <v>14</v>
      </c>
      <c r="M104" s="136" t="str">
        <f>E19</f>
        <v>Jakub Kulhavý</v>
      </c>
      <c r="N104" s="136"/>
      <c r="O104" s="136"/>
      <c r="P104" s="136"/>
      <c r="Q104" s="136"/>
      <c r="R104" s="210"/>
    </row>
    <row r="105" spans="2:30" ht="11.4">
      <c r="B105" s="209"/>
      <c r="C105" s="140"/>
      <c r="F105" s="211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R105" s="210"/>
    </row>
    <row r="106" spans="2:30" ht="28.5" customHeight="1">
      <c r="B106" s="209"/>
      <c r="C106" s="140" t="s">
        <v>67</v>
      </c>
      <c r="F106" s="139" t="s">
        <v>103</v>
      </c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R106" s="210"/>
    </row>
    <row r="107" spans="2:30" ht="3.75" customHeight="1">
      <c r="B107" s="209"/>
      <c r="J107" s="26"/>
      <c r="R107" s="210"/>
    </row>
    <row r="108" spans="2:30" s="258" customFormat="1" ht="22.8">
      <c r="B108" s="251"/>
      <c r="C108" s="252" t="s">
        <v>46</v>
      </c>
      <c r="D108" s="253" t="s">
        <v>47</v>
      </c>
      <c r="E108" s="253" t="s">
        <v>34</v>
      </c>
      <c r="F108" s="254" t="s">
        <v>48</v>
      </c>
      <c r="G108" s="254"/>
      <c r="H108" s="254"/>
      <c r="I108" s="254"/>
      <c r="J108" s="34" t="s">
        <v>49</v>
      </c>
      <c r="K108" s="253" t="s">
        <v>50</v>
      </c>
      <c r="L108" s="255" t="s">
        <v>51</v>
      </c>
      <c r="M108" s="255"/>
      <c r="N108" s="254" t="s">
        <v>43</v>
      </c>
      <c r="O108" s="254"/>
      <c r="P108" s="254"/>
      <c r="Q108" s="256"/>
      <c r="R108" s="257"/>
      <c r="T108" s="24"/>
      <c r="U108" s="259"/>
      <c r="V108" s="24"/>
      <c r="W108" s="24"/>
      <c r="X108" s="24"/>
      <c r="Y108" s="24"/>
      <c r="Z108" s="24"/>
      <c r="AA108" s="24"/>
      <c r="AB108" s="24"/>
      <c r="AC108" s="24"/>
      <c r="AD108" s="259"/>
    </row>
    <row r="109" spans="2:30" ht="15.6">
      <c r="B109" s="209"/>
      <c r="C109" s="176" t="s">
        <v>40</v>
      </c>
      <c r="J109" s="26"/>
      <c r="N109" s="260">
        <f>N110</f>
        <v>0</v>
      </c>
      <c r="O109" s="261"/>
      <c r="P109" s="261"/>
      <c r="Q109" s="261"/>
      <c r="R109" s="210"/>
      <c r="T109" s="22">
        <f>SUM(N109:Q227)/4</f>
        <v>0</v>
      </c>
    </row>
    <row r="110" spans="2:30" s="266" customFormat="1" ht="15">
      <c r="B110" s="262"/>
      <c r="D110" s="349" t="s">
        <v>115</v>
      </c>
      <c r="E110" s="349"/>
      <c r="F110" s="349"/>
      <c r="G110" s="349"/>
      <c r="H110" s="349"/>
      <c r="I110" s="349"/>
      <c r="J110" s="35"/>
      <c r="K110" s="349"/>
      <c r="L110" s="349"/>
      <c r="M110" s="349"/>
      <c r="N110" s="350">
        <f>N111+N210</f>
        <v>0</v>
      </c>
      <c r="O110" s="350"/>
      <c r="P110" s="350"/>
      <c r="Q110" s="350"/>
      <c r="R110" s="265"/>
      <c r="T110" s="25">
        <f>SUM(N110:Q226)/3</f>
        <v>0</v>
      </c>
      <c r="U110" s="141"/>
      <c r="V110" s="66"/>
      <c r="W110" s="37" t="s">
        <v>107</v>
      </c>
      <c r="X110" s="37" t="s">
        <v>134</v>
      </c>
      <c r="Y110" s="37" t="s">
        <v>118</v>
      </c>
      <c r="Z110" s="22" t="s">
        <v>109</v>
      </c>
      <c r="AA110" s="22" t="s">
        <v>108</v>
      </c>
      <c r="AB110" s="22"/>
      <c r="AC110" s="22"/>
      <c r="AD110" s="366"/>
    </row>
    <row r="111" spans="2:30" s="266" customFormat="1" ht="13.2">
      <c r="B111" s="262"/>
      <c r="C111" s="263"/>
      <c r="D111" s="263" t="s">
        <v>106</v>
      </c>
      <c r="E111" s="263"/>
      <c r="F111" s="263"/>
      <c r="G111" s="263"/>
      <c r="H111" s="263"/>
      <c r="I111" s="263"/>
      <c r="J111" s="36"/>
      <c r="K111" s="263"/>
      <c r="L111" s="155"/>
      <c r="M111" s="155"/>
      <c r="N111" s="264">
        <f>SUM(N118:Q209)</f>
        <v>0</v>
      </c>
      <c r="O111" s="264"/>
      <c r="P111" s="264"/>
      <c r="Q111" s="264"/>
      <c r="R111" s="265"/>
      <c r="T111" s="37">
        <f>SUM(N111:Q209)/2</f>
        <v>0</v>
      </c>
      <c r="U111" s="384"/>
      <c r="V111" s="72"/>
      <c r="W111" s="22">
        <f t="shared" ref="W111:AC111" si="1">SUM(W118:W209)</f>
        <v>132.74791999999999</v>
      </c>
      <c r="X111" s="22">
        <f t="shared" si="1"/>
        <v>224.79599999999999</v>
      </c>
      <c r="Y111" s="22">
        <f t="shared" si="1"/>
        <v>411.41099999999994</v>
      </c>
      <c r="Z111" s="22">
        <f t="shared" si="1"/>
        <v>11.165000000000001</v>
      </c>
      <c r="AA111" s="22">
        <f t="shared" si="1"/>
        <v>9.66</v>
      </c>
      <c r="AB111" s="22">
        <f t="shared" si="1"/>
        <v>0</v>
      </c>
      <c r="AC111" s="22">
        <f t="shared" si="1"/>
        <v>0</v>
      </c>
      <c r="AD111" s="366"/>
    </row>
    <row r="112" spans="2:30" s="354" customFormat="1" outlineLevel="1">
      <c r="B112" s="353"/>
      <c r="L112" s="156"/>
      <c r="M112" s="156"/>
      <c r="R112" s="356"/>
    </row>
    <row r="113" spans="2:26" s="275" customFormat="1" outlineLevel="1">
      <c r="B113" s="267"/>
      <c r="C113" s="268"/>
      <c r="D113" s="268"/>
      <c r="E113" s="269" t="s">
        <v>234</v>
      </c>
      <c r="F113" s="270"/>
      <c r="G113" s="270"/>
      <c r="H113" s="270"/>
      <c r="I113" s="271"/>
      <c r="J113" s="49"/>
      <c r="K113" s="272"/>
      <c r="L113" s="92"/>
      <c r="M113" s="92"/>
      <c r="N113" s="273"/>
      <c r="O113" s="273"/>
      <c r="P113" s="273"/>
      <c r="Q113" s="273"/>
      <c r="R113" s="274"/>
      <c r="T113" s="48"/>
      <c r="U113" s="375"/>
      <c r="V113" s="67"/>
      <c r="W113" s="68"/>
      <c r="X113" s="68"/>
    </row>
    <row r="114" spans="2:26" s="360" customFormat="1" outlineLevel="1">
      <c r="B114" s="359"/>
      <c r="E114" s="361" t="s">
        <v>134</v>
      </c>
      <c r="F114" s="362" t="s">
        <v>235</v>
      </c>
      <c r="G114" s="363">
        <f t="shared" ref="G114:I114" si="2">80.02-14.25+102.21+30.61+62.21-6.91</f>
        <v>253.88999999999996</v>
      </c>
      <c r="H114" s="363">
        <f t="shared" si="2"/>
        <v>253.88999999999996</v>
      </c>
      <c r="I114" s="363">
        <f t="shared" si="2"/>
        <v>253.88999999999996</v>
      </c>
      <c r="J114" s="50" t="s">
        <v>53</v>
      </c>
      <c r="K114" s="364">
        <v>1021.8</v>
      </c>
      <c r="L114" s="157"/>
      <c r="M114" s="157"/>
      <c r="R114" s="365"/>
      <c r="T114" s="51"/>
      <c r="V114" s="66"/>
      <c r="W114" s="22"/>
      <c r="X114" s="22"/>
    </row>
    <row r="115" spans="2:26" s="360" customFormat="1" ht="10.199999999999999" customHeight="1" outlineLevel="1">
      <c r="B115" s="359"/>
      <c r="E115" s="361" t="s">
        <v>250</v>
      </c>
      <c r="F115" s="362" t="s">
        <v>251</v>
      </c>
      <c r="G115" s="363"/>
      <c r="H115" s="363"/>
      <c r="I115" s="363"/>
      <c r="J115" s="50" t="s">
        <v>53</v>
      </c>
      <c r="K115" s="364">
        <f>14+4</f>
        <v>18</v>
      </c>
      <c r="L115" s="157"/>
      <c r="M115" s="157"/>
      <c r="R115" s="365"/>
      <c r="T115" s="51"/>
      <c r="V115" s="66"/>
      <c r="W115" s="22"/>
      <c r="X115" s="22"/>
    </row>
    <row r="116" spans="2:26" s="360" customFormat="1" ht="10.199999999999999" customHeight="1" outlineLevel="1">
      <c r="B116" s="359"/>
      <c r="E116" s="361" t="s">
        <v>256</v>
      </c>
      <c r="F116" s="362" t="s">
        <v>257</v>
      </c>
      <c r="G116" s="363"/>
      <c r="H116" s="363"/>
      <c r="I116" s="363"/>
      <c r="J116" s="50" t="s">
        <v>53</v>
      </c>
      <c r="K116" s="364">
        <v>70.5</v>
      </c>
      <c r="L116" s="157"/>
      <c r="M116" s="157"/>
      <c r="R116" s="365"/>
      <c r="T116" s="51"/>
      <c r="V116" s="66"/>
      <c r="W116" s="22"/>
      <c r="X116" s="22"/>
    </row>
    <row r="117" spans="2:26" s="360" customFormat="1" ht="10.199999999999999" customHeight="1" outlineLevel="1">
      <c r="B117" s="359"/>
      <c r="E117" s="361"/>
      <c r="F117" s="362"/>
      <c r="G117" s="363"/>
      <c r="H117" s="363"/>
      <c r="I117" s="363"/>
      <c r="J117" s="50"/>
      <c r="K117" s="364"/>
      <c r="L117" s="157"/>
      <c r="M117" s="157"/>
      <c r="R117" s="365"/>
      <c r="T117" s="51"/>
      <c r="V117" s="66"/>
      <c r="W117" s="22"/>
      <c r="X117" s="22"/>
    </row>
    <row r="118" spans="2:26" outlineLevel="1">
      <c r="B118" s="209"/>
      <c r="C118" s="277">
        <v>1</v>
      </c>
      <c r="D118" s="277" t="s">
        <v>52</v>
      </c>
      <c r="E118" s="278">
        <v>113107242</v>
      </c>
      <c r="F118" s="279" t="s">
        <v>253</v>
      </c>
      <c r="G118" s="279"/>
      <c r="H118" s="279"/>
      <c r="I118" s="279"/>
      <c r="J118" s="38" t="s">
        <v>53</v>
      </c>
      <c r="K118" s="281">
        <f>SUM(K119:K119)</f>
        <v>1021.8</v>
      </c>
      <c r="L118" s="91"/>
      <c r="M118" s="91"/>
      <c r="N118" s="280">
        <f>ROUND(L118*K118,2)</f>
        <v>0</v>
      </c>
      <c r="O118" s="280"/>
      <c r="P118" s="280"/>
      <c r="Q118" s="280"/>
      <c r="R118" s="210"/>
      <c r="T118" s="25"/>
      <c r="V118" s="22">
        <v>0.22</v>
      </c>
      <c r="X118" s="22">
        <f>V118*K118</f>
        <v>224.79599999999999</v>
      </c>
    </row>
    <row r="119" spans="2:26" s="360" customFormat="1" ht="10.199999999999999" customHeight="1" outlineLevel="1">
      <c r="B119" s="359"/>
      <c r="E119" s="361" t="str">
        <f>E114</f>
        <v>asfalt</v>
      </c>
      <c r="F119" s="362"/>
      <c r="G119" s="363"/>
      <c r="H119" s="363"/>
      <c r="I119" s="363"/>
      <c r="J119" s="50"/>
      <c r="K119" s="364">
        <f>K114</f>
        <v>1021.8</v>
      </c>
      <c r="L119" s="157"/>
      <c r="M119" s="157"/>
      <c r="R119" s="365"/>
      <c r="T119" s="51"/>
      <c r="V119" s="66"/>
      <c r="W119" s="22"/>
      <c r="X119" s="22"/>
    </row>
    <row r="120" spans="2:26" outlineLevel="1">
      <c r="B120" s="209"/>
      <c r="C120" s="277">
        <f>C118+1</f>
        <v>2</v>
      </c>
      <c r="D120" s="277" t="s">
        <v>52</v>
      </c>
      <c r="E120" s="278">
        <v>113106161</v>
      </c>
      <c r="F120" s="279" t="s">
        <v>254</v>
      </c>
      <c r="G120" s="279"/>
      <c r="H120" s="279"/>
      <c r="I120" s="279"/>
      <c r="J120" s="38" t="s">
        <v>53</v>
      </c>
      <c r="K120" s="281">
        <f>SUM(K121:K121)</f>
        <v>18</v>
      </c>
      <c r="L120" s="91"/>
      <c r="M120" s="91"/>
      <c r="N120" s="280">
        <f>ROUND(L120*K120,2)</f>
        <v>0</v>
      </c>
      <c r="O120" s="280"/>
      <c r="P120" s="280"/>
      <c r="Q120" s="280"/>
      <c r="R120" s="210"/>
      <c r="T120" s="25"/>
      <c r="V120" s="22"/>
    </row>
    <row r="121" spans="2:26" s="360" customFormat="1" ht="10.199999999999999" customHeight="1" outlineLevel="1">
      <c r="B121" s="359"/>
      <c r="E121" s="361" t="str">
        <f>E115</f>
        <v>kostky</v>
      </c>
      <c r="F121" s="362"/>
      <c r="G121" s="363"/>
      <c r="H121" s="363"/>
      <c r="I121" s="363"/>
      <c r="J121" s="50"/>
      <c r="K121" s="364">
        <f>K115</f>
        <v>18</v>
      </c>
      <c r="L121" s="157"/>
      <c r="M121" s="157"/>
      <c r="R121" s="365"/>
      <c r="T121" s="51"/>
      <c r="V121" s="66"/>
      <c r="W121" s="22"/>
      <c r="X121" s="22"/>
    </row>
    <row r="122" spans="2:26" outlineLevel="1">
      <c r="B122" s="209"/>
      <c r="C122" s="277">
        <f>C120+1</f>
        <v>3</v>
      </c>
      <c r="D122" s="277" t="s">
        <v>52</v>
      </c>
      <c r="E122" s="278">
        <v>113107111</v>
      </c>
      <c r="F122" s="279" t="s">
        <v>258</v>
      </c>
      <c r="G122" s="279"/>
      <c r="H122" s="279"/>
      <c r="I122" s="279"/>
      <c r="J122" s="38" t="s">
        <v>53</v>
      </c>
      <c r="K122" s="281">
        <f>SUM(K123:K123)</f>
        <v>70.5</v>
      </c>
      <c r="L122" s="91"/>
      <c r="M122" s="91"/>
      <c r="N122" s="280">
        <f>ROUND(L122*K122,2)</f>
        <v>0</v>
      </c>
      <c r="O122" s="280"/>
      <c r="P122" s="280"/>
      <c r="Q122" s="280"/>
      <c r="R122" s="210"/>
      <c r="T122" s="25"/>
      <c r="V122" s="66">
        <v>0.18</v>
      </c>
      <c r="Y122" s="22">
        <f>V122*K122</f>
        <v>12.69</v>
      </c>
    </row>
    <row r="123" spans="2:26" s="360" customFormat="1" ht="10.199999999999999" customHeight="1" outlineLevel="1">
      <c r="B123" s="359"/>
      <c r="E123" s="361" t="str">
        <f>E116</f>
        <v>kamenivo</v>
      </c>
      <c r="F123" s="362"/>
      <c r="G123" s="363"/>
      <c r="H123" s="363"/>
      <c r="I123" s="363"/>
      <c r="J123" s="50"/>
      <c r="K123" s="364">
        <f>K116</f>
        <v>70.5</v>
      </c>
      <c r="L123" s="157"/>
      <c r="M123" s="157"/>
      <c r="R123" s="365"/>
      <c r="T123" s="51"/>
      <c r="V123" s="66"/>
      <c r="W123" s="22"/>
      <c r="X123" s="22"/>
      <c r="Y123" s="22"/>
      <c r="Z123" s="22"/>
    </row>
    <row r="124" spans="2:26" outlineLevel="1">
      <c r="B124" s="209"/>
      <c r="C124" s="277">
        <f>C122+1</f>
        <v>4</v>
      </c>
      <c r="D124" s="277" t="s">
        <v>52</v>
      </c>
      <c r="E124" s="278">
        <v>113201112</v>
      </c>
      <c r="F124" s="279" t="s">
        <v>227</v>
      </c>
      <c r="G124" s="279"/>
      <c r="H124" s="279"/>
      <c r="I124" s="279"/>
      <c r="J124" s="38" t="s">
        <v>58</v>
      </c>
      <c r="K124" s="281">
        <f>SUM(K125:K126)</f>
        <v>19</v>
      </c>
      <c r="L124" s="91"/>
      <c r="M124" s="91"/>
      <c r="N124" s="280">
        <f>ROUND(L124*K124,2)</f>
        <v>0</v>
      </c>
      <c r="O124" s="280"/>
      <c r="P124" s="280"/>
      <c r="Q124" s="280"/>
      <c r="R124" s="210"/>
      <c r="T124" s="25"/>
      <c r="V124" s="22">
        <v>0.28999999999999998</v>
      </c>
      <c r="Y124" s="22">
        <f>V124*K124</f>
        <v>5.51</v>
      </c>
    </row>
    <row r="125" spans="2:26" s="360" customFormat="1" ht="10.199999999999999" customHeight="1" outlineLevel="1">
      <c r="B125" s="359"/>
      <c r="E125" s="361" t="s">
        <v>259</v>
      </c>
      <c r="F125" s="362" t="s">
        <v>251</v>
      </c>
      <c r="G125" s="363">
        <f>111.7</f>
        <v>111.7</v>
      </c>
      <c r="H125" s="363">
        <f>111.7</f>
        <v>111.7</v>
      </c>
      <c r="I125" s="363">
        <f>111.7</f>
        <v>111.7</v>
      </c>
      <c r="J125" s="50"/>
      <c r="K125" s="364">
        <v>12</v>
      </c>
      <c r="L125" s="157"/>
      <c r="M125" s="157"/>
      <c r="R125" s="365"/>
      <c r="T125" s="51"/>
      <c r="V125" s="66"/>
      <c r="W125" s="22"/>
      <c r="X125" s="22"/>
      <c r="Y125" s="22"/>
      <c r="Z125" s="22"/>
    </row>
    <row r="126" spans="2:26" s="360" customFormat="1" ht="10.199999999999999" customHeight="1" outlineLevel="1">
      <c r="B126" s="359"/>
      <c r="E126" s="361" t="s">
        <v>259</v>
      </c>
      <c r="F126" s="362" t="s">
        <v>249</v>
      </c>
      <c r="G126" s="363">
        <v>111.7</v>
      </c>
      <c r="H126" s="363">
        <v>111.7</v>
      </c>
      <c r="I126" s="363">
        <v>111.7</v>
      </c>
      <c r="J126" s="50"/>
      <c r="K126" s="364">
        <v>7</v>
      </c>
      <c r="L126" s="157"/>
      <c r="M126" s="157"/>
      <c r="R126" s="365"/>
      <c r="T126" s="51"/>
      <c r="V126" s="66"/>
      <c r="W126" s="22"/>
      <c r="X126" s="22"/>
      <c r="Y126" s="22"/>
      <c r="Z126" s="22"/>
    </row>
    <row r="127" spans="2:26" ht="27" customHeight="1" outlineLevel="1">
      <c r="B127" s="209"/>
      <c r="C127" s="277">
        <f>C124+1</f>
        <v>5</v>
      </c>
      <c r="D127" s="277" t="s">
        <v>52</v>
      </c>
      <c r="E127" s="278">
        <v>113107222</v>
      </c>
      <c r="F127" s="279" t="s">
        <v>260</v>
      </c>
      <c r="G127" s="279"/>
      <c r="H127" s="279"/>
      <c r="I127" s="279"/>
      <c r="J127" s="38" t="s">
        <v>53</v>
      </c>
      <c r="K127" s="281">
        <f>SUM(K128:K129)</f>
        <v>1092.3</v>
      </c>
      <c r="L127" s="91"/>
      <c r="M127" s="91"/>
      <c r="N127" s="280">
        <f>ROUND(L127*K127,2)</f>
        <v>0</v>
      </c>
      <c r="O127" s="280"/>
      <c r="P127" s="280"/>
      <c r="Q127" s="280"/>
      <c r="R127" s="210"/>
      <c r="T127" s="25"/>
      <c r="V127" s="66">
        <v>0.28999999999999998</v>
      </c>
      <c r="Y127" s="22">
        <f>V127*K127</f>
        <v>316.76699999999994</v>
      </c>
    </row>
    <row r="128" spans="2:26" s="360" customFormat="1" ht="10.199999999999999" customHeight="1" outlineLevel="1">
      <c r="B128" s="359"/>
      <c r="E128" s="361" t="str">
        <f>E114</f>
        <v>asfalt</v>
      </c>
      <c r="F128" s="362"/>
      <c r="G128" s="363"/>
      <c r="H128" s="363"/>
      <c r="I128" s="363"/>
      <c r="J128" s="50"/>
      <c r="K128" s="364">
        <f>K114</f>
        <v>1021.8</v>
      </c>
      <c r="L128" s="157"/>
      <c r="M128" s="157"/>
      <c r="R128" s="365"/>
      <c r="T128" s="51"/>
      <c r="V128" s="66"/>
      <c r="W128" s="22"/>
      <c r="X128" s="22"/>
      <c r="Y128" s="22"/>
      <c r="Z128" s="22"/>
    </row>
    <row r="129" spans="2:26" s="360" customFormat="1" ht="10.199999999999999" customHeight="1" outlineLevel="1">
      <c r="B129" s="359"/>
      <c r="E129" s="361" t="str">
        <f>E116</f>
        <v>kamenivo</v>
      </c>
      <c r="F129" s="362"/>
      <c r="G129" s="363"/>
      <c r="H129" s="363"/>
      <c r="I129" s="363"/>
      <c r="J129" s="50"/>
      <c r="K129" s="364">
        <f>K116</f>
        <v>70.5</v>
      </c>
      <c r="L129" s="157"/>
      <c r="M129" s="157"/>
      <c r="R129" s="365"/>
      <c r="T129" s="51"/>
      <c r="V129" s="66"/>
      <c r="W129" s="22"/>
      <c r="X129" s="22"/>
      <c r="Y129" s="22"/>
      <c r="Z129" s="22"/>
    </row>
    <row r="130" spans="2:26" outlineLevel="1">
      <c r="B130" s="209"/>
      <c r="C130" s="277">
        <f>C127+1</f>
        <v>6</v>
      </c>
      <c r="D130" s="277" t="s">
        <v>52</v>
      </c>
      <c r="E130" s="278">
        <v>113107122</v>
      </c>
      <c r="F130" s="279" t="s">
        <v>261</v>
      </c>
      <c r="G130" s="279"/>
      <c r="H130" s="279"/>
      <c r="I130" s="279"/>
      <c r="J130" s="38" t="s">
        <v>53</v>
      </c>
      <c r="K130" s="281">
        <f>SUM(K131:K131)</f>
        <v>18</v>
      </c>
      <c r="L130" s="91"/>
      <c r="M130" s="91"/>
      <c r="N130" s="280">
        <f>ROUND(L130*K130,2)</f>
        <v>0</v>
      </c>
      <c r="O130" s="280"/>
      <c r="P130" s="280"/>
      <c r="Q130" s="280"/>
      <c r="R130" s="210"/>
      <c r="T130" s="25"/>
      <c r="V130" s="66">
        <v>0.28999999999999998</v>
      </c>
      <c r="Y130" s="22">
        <f>V130*K130</f>
        <v>5.22</v>
      </c>
    </row>
    <row r="131" spans="2:26" s="360" customFormat="1" ht="10.199999999999999" customHeight="1" outlineLevel="1">
      <c r="B131" s="359"/>
      <c r="E131" s="361" t="str">
        <f>E115</f>
        <v>kostky</v>
      </c>
      <c r="F131" s="362"/>
      <c r="G131" s="363"/>
      <c r="H131" s="363"/>
      <c r="I131" s="363"/>
      <c r="J131" s="50"/>
      <c r="K131" s="364">
        <f>K115</f>
        <v>18</v>
      </c>
      <c r="L131" s="157"/>
      <c r="M131" s="157"/>
      <c r="R131" s="365"/>
      <c r="T131" s="51"/>
      <c r="V131" s="66"/>
      <c r="W131" s="22"/>
      <c r="X131" s="22"/>
      <c r="Y131" s="22"/>
      <c r="Z131" s="22"/>
    </row>
    <row r="132" spans="2:26" outlineLevel="1">
      <c r="B132" s="209"/>
      <c r="C132" s="277">
        <f>C130+1</f>
        <v>7</v>
      </c>
      <c r="D132" s="277" t="s">
        <v>52</v>
      </c>
      <c r="E132" s="278">
        <v>966006132</v>
      </c>
      <c r="F132" s="279" t="s">
        <v>262</v>
      </c>
      <c r="G132" s="279"/>
      <c r="H132" s="279"/>
      <c r="I132" s="279"/>
      <c r="J132" s="38" t="s">
        <v>57</v>
      </c>
      <c r="K132" s="281">
        <f>SUM(K133:K134)</f>
        <v>2</v>
      </c>
      <c r="L132" s="91"/>
      <c r="M132" s="91"/>
      <c r="N132" s="280">
        <f>ROUND(L132*K132,2)</f>
        <v>0</v>
      </c>
      <c r="O132" s="280"/>
      <c r="P132" s="280"/>
      <c r="Q132" s="280"/>
      <c r="R132" s="210"/>
      <c r="T132" s="25"/>
      <c r="V132" s="66">
        <v>3.5000000000000003E-2</v>
      </c>
      <c r="Z132" s="22">
        <f>V132*K132</f>
        <v>7.0000000000000007E-2</v>
      </c>
    </row>
    <row r="133" spans="2:26" s="360" customFormat="1" ht="10.199999999999999" customHeight="1" outlineLevel="1">
      <c r="B133" s="359"/>
      <c r="E133" s="361" t="s">
        <v>251</v>
      </c>
      <c r="F133" s="362"/>
      <c r="G133" s="363"/>
      <c r="H133" s="363"/>
      <c r="I133" s="363"/>
      <c r="J133" s="50"/>
      <c r="K133" s="364">
        <v>1</v>
      </c>
      <c r="L133" s="157"/>
      <c r="M133" s="157"/>
      <c r="R133" s="365"/>
      <c r="T133" s="51"/>
      <c r="V133" s="66"/>
      <c r="W133" s="22"/>
      <c r="X133" s="22"/>
      <c r="Y133" s="22"/>
      <c r="Z133" s="22"/>
    </row>
    <row r="134" spans="2:26" s="360" customFormat="1" ht="10.199999999999999" customHeight="1" outlineLevel="1">
      <c r="B134" s="359"/>
      <c r="E134" s="361" t="s">
        <v>249</v>
      </c>
      <c r="F134" s="362"/>
      <c r="G134" s="363"/>
      <c r="H134" s="363"/>
      <c r="I134" s="363"/>
      <c r="J134" s="50"/>
      <c r="K134" s="364">
        <v>1</v>
      </c>
      <c r="L134" s="157"/>
      <c r="M134" s="157"/>
      <c r="R134" s="365"/>
      <c r="T134" s="51"/>
      <c r="V134" s="66"/>
      <c r="W134" s="22"/>
      <c r="X134" s="22"/>
      <c r="Y134" s="22"/>
      <c r="Z134" s="22"/>
    </row>
    <row r="135" spans="2:26" outlineLevel="1">
      <c r="B135" s="209"/>
      <c r="C135" s="277">
        <f>C132+1</f>
        <v>8</v>
      </c>
      <c r="D135" s="277" t="s">
        <v>52</v>
      </c>
      <c r="E135" s="278">
        <v>966006211</v>
      </c>
      <c r="F135" s="279" t="s">
        <v>263</v>
      </c>
      <c r="G135" s="279"/>
      <c r="H135" s="279"/>
      <c r="I135" s="279"/>
      <c r="J135" s="38" t="s">
        <v>57</v>
      </c>
      <c r="K135" s="281">
        <f>SUM(K136:K136)</f>
        <v>1</v>
      </c>
      <c r="L135" s="91"/>
      <c r="M135" s="91"/>
      <c r="N135" s="280">
        <f>ROUND(L135*K135,2)</f>
        <v>0</v>
      </c>
      <c r="O135" s="280"/>
      <c r="P135" s="280"/>
      <c r="Q135" s="280"/>
      <c r="R135" s="210"/>
      <c r="T135" s="25"/>
      <c r="V135" s="66">
        <v>5.0000000000000001E-3</v>
      </c>
      <c r="Z135" s="22">
        <f>V135*K135</f>
        <v>5.0000000000000001E-3</v>
      </c>
    </row>
    <row r="136" spans="2:26" s="360" customFormat="1" ht="20.399999999999999" outlineLevel="1">
      <c r="B136" s="359"/>
      <c r="E136" s="361" t="s">
        <v>264</v>
      </c>
      <c r="F136" s="362"/>
      <c r="G136" s="363"/>
      <c r="H136" s="363"/>
      <c r="I136" s="363"/>
      <c r="J136" s="50"/>
      <c r="K136" s="364">
        <v>1</v>
      </c>
      <c r="L136" s="157"/>
      <c r="M136" s="157"/>
      <c r="R136" s="365"/>
      <c r="T136" s="51"/>
      <c r="V136" s="66"/>
      <c r="W136" s="22"/>
      <c r="X136" s="22"/>
      <c r="Y136" s="22"/>
      <c r="Z136" s="22"/>
    </row>
    <row r="137" spans="2:26" outlineLevel="1">
      <c r="B137" s="209"/>
      <c r="C137" s="277">
        <f>C135+1</f>
        <v>9</v>
      </c>
      <c r="D137" s="277" t="s">
        <v>52</v>
      </c>
      <c r="E137" s="278">
        <v>966006251</v>
      </c>
      <c r="F137" s="279" t="s">
        <v>265</v>
      </c>
      <c r="G137" s="279"/>
      <c r="H137" s="279"/>
      <c r="I137" s="279"/>
      <c r="J137" s="38" t="s">
        <v>57</v>
      </c>
      <c r="K137" s="281">
        <f>SUM(K138:K138)</f>
        <v>1</v>
      </c>
      <c r="L137" s="91"/>
      <c r="M137" s="91"/>
      <c r="N137" s="280">
        <f>ROUND(L137*K137,2)</f>
        <v>0</v>
      </c>
      <c r="O137" s="280"/>
      <c r="P137" s="280"/>
      <c r="Q137" s="280"/>
      <c r="R137" s="210"/>
      <c r="T137" s="25"/>
      <c r="V137" s="66">
        <v>0.05</v>
      </c>
      <c r="Z137" s="22">
        <f>V137*K137</f>
        <v>0.05</v>
      </c>
    </row>
    <row r="138" spans="2:26" s="360" customFormat="1" ht="10.199999999999999" customHeight="1" outlineLevel="1">
      <c r="B138" s="359"/>
      <c r="E138" s="361" t="s">
        <v>266</v>
      </c>
      <c r="F138" s="362"/>
      <c r="G138" s="363"/>
      <c r="H138" s="363"/>
      <c r="I138" s="363"/>
      <c r="J138" s="50"/>
      <c r="K138" s="364">
        <v>1</v>
      </c>
      <c r="L138" s="157"/>
      <c r="M138" s="157"/>
      <c r="R138" s="365"/>
      <c r="T138" s="51"/>
      <c r="V138" s="66"/>
      <c r="W138" s="22"/>
      <c r="X138" s="22"/>
      <c r="Y138" s="22"/>
      <c r="Z138" s="22"/>
    </row>
    <row r="139" spans="2:26" s="354" customFormat="1" outlineLevel="1">
      <c r="B139" s="353"/>
      <c r="E139" s="358"/>
      <c r="F139" s="358"/>
      <c r="G139" s="358"/>
      <c r="H139" s="358"/>
      <c r="I139" s="358"/>
      <c r="J139" s="358"/>
      <c r="K139" s="358"/>
      <c r="L139" s="156"/>
      <c r="M139" s="156"/>
      <c r="R139" s="356"/>
      <c r="T139" s="52"/>
      <c r="V139" s="67"/>
      <c r="W139" s="68"/>
      <c r="X139" s="68"/>
      <c r="Y139" s="68"/>
      <c r="Z139" s="68"/>
    </row>
    <row r="140" spans="2:26" s="275" customFormat="1" outlineLevel="1">
      <c r="B140" s="267"/>
      <c r="C140" s="268"/>
      <c r="D140" s="268"/>
      <c r="E140" s="269" t="s">
        <v>247</v>
      </c>
      <c r="F140" s="270"/>
      <c r="G140" s="270"/>
      <c r="H140" s="270"/>
      <c r="I140" s="271"/>
      <c r="J140" s="49"/>
      <c r="K140" s="272"/>
      <c r="L140" s="92"/>
      <c r="M140" s="92"/>
      <c r="N140" s="273"/>
      <c r="O140" s="273"/>
      <c r="P140" s="273"/>
      <c r="Q140" s="273"/>
      <c r="R140" s="274"/>
      <c r="T140" s="48"/>
      <c r="U140" s="375"/>
      <c r="V140" s="67"/>
      <c r="W140" s="68"/>
      <c r="X140" s="68"/>
      <c r="Y140" s="68"/>
      <c r="Z140" s="68"/>
    </row>
    <row r="141" spans="2:26" s="360" customFormat="1" ht="10.199999999999999" customHeight="1" outlineLevel="1">
      <c r="B141" s="359"/>
      <c r="E141" s="361" t="s">
        <v>107</v>
      </c>
      <c r="F141" s="362" t="s">
        <v>763</v>
      </c>
      <c r="G141" s="363">
        <f t="shared" ref="G141:I141" si="3">80.02-14.25+102.21+30.61+62.21-6.91</f>
        <v>253.88999999999996</v>
      </c>
      <c r="H141" s="363">
        <f t="shared" si="3"/>
        <v>253.88999999999996</v>
      </c>
      <c r="I141" s="363">
        <f t="shared" si="3"/>
        <v>253.88999999999996</v>
      </c>
      <c r="J141" s="50" t="s">
        <v>53</v>
      </c>
      <c r="K141" s="364">
        <f>183.3</f>
        <v>183.3</v>
      </c>
      <c r="L141" s="157"/>
      <c r="M141" s="157"/>
      <c r="R141" s="365"/>
      <c r="T141" s="51"/>
      <c r="V141" s="66"/>
      <c r="W141" s="22"/>
      <c r="X141" s="22"/>
    </row>
    <row r="142" spans="2:26" s="360" customFormat="1" outlineLevel="1">
      <c r="B142" s="359"/>
      <c r="E142" s="361" t="s">
        <v>248</v>
      </c>
      <c r="F142" s="362" t="s">
        <v>249</v>
      </c>
      <c r="G142" s="363"/>
      <c r="H142" s="363"/>
      <c r="I142" s="363"/>
      <c r="J142" s="50" t="s">
        <v>53</v>
      </c>
      <c r="K142" s="364">
        <v>21</v>
      </c>
      <c r="L142" s="157"/>
      <c r="M142" s="157"/>
      <c r="R142" s="365"/>
      <c r="T142" s="51"/>
      <c r="V142" s="66"/>
      <c r="W142" s="22"/>
      <c r="X142" s="22"/>
    </row>
    <row r="143" spans="2:26" s="360" customFormat="1" ht="10.199999999999999" customHeight="1" outlineLevel="1">
      <c r="B143" s="359"/>
      <c r="E143" s="361" t="s">
        <v>236</v>
      </c>
      <c r="F143" s="362" t="s">
        <v>273</v>
      </c>
      <c r="G143" s="363">
        <f t="shared" ref="G143:I144" si="4">80.02-14.25+102.21+30.61+62.21-6.91</f>
        <v>253.88999999999996</v>
      </c>
      <c r="H143" s="363">
        <f t="shared" si="4"/>
        <v>253.88999999999996</v>
      </c>
      <c r="I143" s="363">
        <f t="shared" si="4"/>
        <v>253.88999999999996</v>
      </c>
      <c r="J143" s="50" t="s">
        <v>58</v>
      </c>
      <c r="K143" s="364">
        <v>46.8</v>
      </c>
      <c r="L143" s="157"/>
      <c r="M143" s="157"/>
      <c r="R143" s="365"/>
      <c r="T143" s="51"/>
      <c r="V143" s="66"/>
      <c r="W143" s="22"/>
      <c r="X143" s="22"/>
      <c r="Y143" s="22"/>
      <c r="Z143" s="22"/>
    </row>
    <row r="144" spans="2:26" s="360" customFormat="1" ht="10.199999999999999" customHeight="1" outlineLevel="1">
      <c r="B144" s="359"/>
      <c r="E144" s="361" t="s">
        <v>237</v>
      </c>
      <c r="F144" s="362" t="s">
        <v>274</v>
      </c>
      <c r="G144" s="363">
        <f t="shared" si="4"/>
        <v>253.88999999999996</v>
      </c>
      <c r="H144" s="363">
        <f t="shared" si="4"/>
        <v>253.88999999999996</v>
      </c>
      <c r="I144" s="363">
        <f t="shared" si="4"/>
        <v>253.88999999999996</v>
      </c>
      <c r="J144" s="50" t="s">
        <v>58</v>
      </c>
      <c r="K144" s="364">
        <f>28.1+19.5</f>
        <v>47.6</v>
      </c>
      <c r="L144" s="157"/>
      <c r="M144" s="157"/>
      <c r="R144" s="365"/>
      <c r="T144" s="51"/>
      <c r="V144" s="66"/>
      <c r="W144" s="22"/>
      <c r="X144" s="22"/>
      <c r="Y144" s="22"/>
      <c r="Z144" s="22"/>
    </row>
    <row r="145" spans="2:27" s="360" customFormat="1" ht="10.199999999999999" customHeight="1" outlineLevel="1">
      <c r="B145" s="359"/>
      <c r="E145" s="361" t="s">
        <v>271</v>
      </c>
      <c r="F145" s="362" t="s">
        <v>272</v>
      </c>
      <c r="G145" s="363"/>
      <c r="H145" s="363"/>
      <c r="I145" s="363"/>
      <c r="J145" s="50" t="s">
        <v>58</v>
      </c>
      <c r="K145" s="364">
        <f>7.7+7.3</f>
        <v>15</v>
      </c>
      <c r="L145" s="157"/>
      <c r="M145" s="157"/>
      <c r="R145" s="365"/>
      <c r="T145" s="51"/>
      <c r="V145" s="66"/>
      <c r="W145" s="22"/>
      <c r="X145" s="22"/>
      <c r="Y145" s="22"/>
      <c r="Z145" s="22"/>
    </row>
    <row r="146" spans="2:27" s="360" customFormat="1" ht="10.199999999999999" customHeight="1" outlineLevel="1">
      <c r="B146" s="359"/>
      <c r="E146" s="361" t="s">
        <v>303</v>
      </c>
      <c r="F146" s="362"/>
      <c r="G146" s="363"/>
      <c r="H146" s="363"/>
      <c r="I146" s="363"/>
      <c r="J146" s="50" t="s">
        <v>58</v>
      </c>
      <c r="K146" s="364">
        <v>4.5999999999999996</v>
      </c>
      <c r="L146" s="157"/>
      <c r="M146" s="157"/>
      <c r="R146" s="365"/>
      <c r="T146" s="51"/>
      <c r="V146" s="66"/>
      <c r="W146" s="22"/>
      <c r="X146" s="22"/>
      <c r="Y146" s="22"/>
      <c r="Z146" s="22"/>
    </row>
    <row r="147" spans="2:27" s="360" customFormat="1" ht="10.199999999999999" customHeight="1" outlineLevel="1">
      <c r="B147" s="359"/>
      <c r="E147" s="361"/>
      <c r="F147" s="362"/>
      <c r="G147" s="363"/>
      <c r="H147" s="363"/>
      <c r="I147" s="363"/>
      <c r="J147" s="50"/>
      <c r="K147" s="364"/>
      <c r="L147" s="157"/>
      <c r="M147" s="157"/>
      <c r="R147" s="365"/>
      <c r="T147" s="51"/>
      <c r="V147" s="66"/>
      <c r="W147" s="22"/>
      <c r="X147" s="22"/>
      <c r="Y147" s="22"/>
      <c r="Z147" s="22"/>
    </row>
    <row r="148" spans="2:27" outlineLevel="1">
      <c r="B148" s="209"/>
      <c r="C148" s="277">
        <f>C137+1</f>
        <v>10</v>
      </c>
      <c r="D148" s="277" t="s">
        <v>52</v>
      </c>
      <c r="E148" s="278">
        <v>113107131</v>
      </c>
      <c r="F148" s="279" t="s">
        <v>252</v>
      </c>
      <c r="G148" s="279"/>
      <c r="H148" s="279"/>
      <c r="I148" s="279"/>
      <c r="J148" s="38" t="s">
        <v>53</v>
      </c>
      <c r="K148" s="281">
        <f>SUM(K149)</f>
        <v>183.3</v>
      </c>
      <c r="L148" s="91"/>
      <c r="M148" s="91"/>
      <c r="N148" s="280">
        <f>ROUND(L148*K148,2)</f>
        <v>0</v>
      </c>
      <c r="O148" s="280"/>
      <c r="P148" s="280"/>
      <c r="Q148" s="280"/>
      <c r="R148" s="210"/>
      <c r="T148" s="25"/>
      <c r="V148" s="22">
        <f>2.4*0.15</f>
        <v>0.36</v>
      </c>
      <c r="W148" s="22">
        <f>V148*K148</f>
        <v>65.988</v>
      </c>
    </row>
    <row r="149" spans="2:27" s="360" customFormat="1" ht="10.199999999999999" customHeight="1" outlineLevel="1">
      <c r="B149" s="359"/>
      <c r="E149" s="361" t="str">
        <f>E141</f>
        <v>beton</v>
      </c>
      <c r="F149" s="362"/>
      <c r="G149" s="363"/>
      <c r="H149" s="363"/>
      <c r="I149" s="363"/>
      <c r="J149" s="50"/>
      <c r="K149" s="364">
        <f>K141</f>
        <v>183.3</v>
      </c>
      <c r="L149" s="157"/>
      <c r="M149" s="157"/>
      <c r="R149" s="365"/>
      <c r="T149" s="51"/>
      <c r="V149" s="66"/>
      <c r="W149" s="22"/>
      <c r="X149" s="22"/>
    </row>
    <row r="150" spans="2:27" outlineLevel="1">
      <c r="B150" s="209"/>
      <c r="C150" s="277">
        <f>C148+1</f>
        <v>11</v>
      </c>
      <c r="D150" s="277" t="s">
        <v>52</v>
      </c>
      <c r="E150" s="278">
        <v>113106171</v>
      </c>
      <c r="F150" s="279" t="s">
        <v>255</v>
      </c>
      <c r="G150" s="279"/>
      <c r="H150" s="279"/>
      <c r="I150" s="279"/>
      <c r="J150" s="38" t="s">
        <v>53</v>
      </c>
      <c r="K150" s="281">
        <f>SUM(K151:K151)</f>
        <v>21</v>
      </c>
      <c r="L150" s="91"/>
      <c r="M150" s="91"/>
      <c r="N150" s="280">
        <f>ROUND(L150*K150,2)</f>
        <v>0</v>
      </c>
      <c r="O150" s="280"/>
      <c r="P150" s="280"/>
      <c r="Q150" s="280"/>
      <c r="R150" s="210"/>
      <c r="T150" s="25"/>
      <c r="V150" s="22">
        <f>2.4*0.08</f>
        <v>0.192</v>
      </c>
      <c r="W150" s="22">
        <f>V150*K150</f>
        <v>4.032</v>
      </c>
    </row>
    <row r="151" spans="2:27" s="360" customFormat="1" ht="10.199999999999999" customHeight="1" outlineLevel="1">
      <c r="B151" s="359"/>
      <c r="E151" s="361" t="str">
        <f>E142</f>
        <v>zámková dlažba</v>
      </c>
      <c r="F151" s="362"/>
      <c r="G151" s="363"/>
      <c r="H151" s="363"/>
      <c r="I151" s="363"/>
      <c r="J151" s="50"/>
      <c r="K151" s="364">
        <f>K142</f>
        <v>21</v>
      </c>
      <c r="L151" s="157"/>
      <c r="M151" s="157"/>
      <c r="R151" s="365"/>
      <c r="T151" s="51"/>
      <c r="V151" s="66"/>
      <c r="W151" s="22"/>
      <c r="X151" s="22"/>
    </row>
    <row r="152" spans="2:27" outlineLevel="1">
      <c r="B152" s="209"/>
      <c r="C152" s="277">
        <f>C150+1</f>
        <v>12</v>
      </c>
      <c r="D152" s="277" t="s">
        <v>52</v>
      </c>
      <c r="E152" s="278">
        <v>113107122</v>
      </c>
      <c r="F152" s="279" t="s">
        <v>261</v>
      </c>
      <c r="G152" s="279"/>
      <c r="H152" s="279"/>
      <c r="I152" s="279"/>
      <c r="J152" s="38" t="s">
        <v>53</v>
      </c>
      <c r="K152" s="281">
        <f>SUM(K153:K154)</f>
        <v>204.3</v>
      </c>
      <c r="L152" s="91"/>
      <c r="M152" s="91"/>
      <c r="N152" s="280">
        <f>ROUND(L152*K152,2)</f>
        <v>0</v>
      </c>
      <c r="O152" s="280"/>
      <c r="P152" s="280"/>
      <c r="Q152" s="280"/>
      <c r="R152" s="210"/>
      <c r="T152" s="25"/>
      <c r="V152" s="66">
        <v>0.28999999999999998</v>
      </c>
      <c r="Y152" s="22">
        <f>V152*K152</f>
        <v>59.247</v>
      </c>
    </row>
    <row r="153" spans="2:27" s="360" customFormat="1" ht="10.199999999999999" customHeight="1" outlineLevel="1">
      <c r="B153" s="359"/>
      <c r="E153" s="361" t="str">
        <f>E141</f>
        <v>beton</v>
      </c>
      <c r="F153" s="362"/>
      <c r="G153" s="363"/>
      <c r="H153" s="363"/>
      <c r="I153" s="363"/>
      <c r="J153" s="50"/>
      <c r="K153" s="364">
        <f>K141</f>
        <v>183.3</v>
      </c>
      <c r="L153" s="157"/>
      <c r="M153" s="157"/>
      <c r="R153" s="365"/>
      <c r="T153" s="51"/>
      <c r="V153" s="66"/>
      <c r="W153" s="22"/>
      <c r="X153" s="22"/>
      <c r="Y153" s="22"/>
      <c r="Z153" s="22"/>
    </row>
    <row r="154" spans="2:27" s="360" customFormat="1" ht="10.199999999999999" customHeight="1" outlineLevel="1">
      <c r="B154" s="359"/>
      <c r="E154" s="361" t="str">
        <f>E142</f>
        <v>zámková dlažba</v>
      </c>
      <c r="F154" s="362"/>
      <c r="G154" s="363"/>
      <c r="H154" s="363"/>
      <c r="I154" s="363"/>
      <c r="J154" s="50"/>
      <c r="K154" s="364">
        <f>K142</f>
        <v>21</v>
      </c>
      <c r="L154" s="157"/>
      <c r="M154" s="157"/>
      <c r="R154" s="365"/>
      <c r="T154" s="51"/>
      <c r="V154" s="66"/>
      <c r="W154" s="22"/>
      <c r="X154" s="22"/>
      <c r="Y154" s="22"/>
      <c r="Z154" s="22"/>
    </row>
    <row r="155" spans="2:27" outlineLevel="1">
      <c r="B155" s="209"/>
      <c r="C155" s="277">
        <f>C152+1</f>
        <v>13</v>
      </c>
      <c r="D155" s="277" t="s">
        <v>52</v>
      </c>
      <c r="E155" s="278">
        <v>966003814</v>
      </c>
      <c r="F155" s="279" t="s">
        <v>238</v>
      </c>
      <c r="G155" s="279"/>
      <c r="H155" s="279"/>
      <c r="I155" s="279"/>
      <c r="J155" s="38" t="s">
        <v>58</v>
      </c>
      <c r="K155" s="281">
        <f>SUM(K156)</f>
        <v>47.6</v>
      </c>
      <c r="L155" s="91"/>
      <c r="M155" s="91"/>
      <c r="N155" s="280">
        <f>ROUND(L155*K155,2)</f>
        <v>0</v>
      </c>
      <c r="O155" s="280"/>
      <c r="P155" s="280"/>
      <c r="Q155" s="280"/>
      <c r="R155" s="210"/>
      <c r="T155" s="25"/>
      <c r="V155" s="22">
        <v>7.0000000000000007E-2</v>
      </c>
      <c r="Z155" s="22">
        <f>V155*K155</f>
        <v>3.3320000000000003</v>
      </c>
    </row>
    <row r="156" spans="2:27" s="360" customFormat="1" ht="10.199999999999999" customHeight="1" outlineLevel="1">
      <c r="B156" s="359"/>
      <c r="E156" s="361" t="str">
        <f>E144</f>
        <v>oplocení vysoké</v>
      </c>
      <c r="F156" s="362"/>
      <c r="G156" s="363"/>
      <c r="H156" s="363"/>
      <c r="I156" s="363"/>
      <c r="J156" s="50"/>
      <c r="K156" s="364">
        <f>K144</f>
        <v>47.6</v>
      </c>
      <c r="L156" s="157"/>
      <c r="M156" s="157"/>
      <c r="R156" s="365"/>
      <c r="T156" s="51"/>
      <c r="V156" s="66"/>
      <c r="W156" s="22"/>
      <c r="X156" s="22"/>
      <c r="Y156" s="22"/>
      <c r="Z156" s="22"/>
    </row>
    <row r="157" spans="2:27" outlineLevel="1">
      <c r="B157" s="209"/>
      <c r="C157" s="277">
        <f>C155+1</f>
        <v>14</v>
      </c>
      <c r="D157" s="277" t="s">
        <v>52</v>
      </c>
      <c r="E157" s="278">
        <v>966003818</v>
      </c>
      <c r="F157" s="279" t="s">
        <v>239</v>
      </c>
      <c r="G157" s="279"/>
      <c r="H157" s="279"/>
      <c r="I157" s="279"/>
      <c r="J157" s="38" t="s">
        <v>58</v>
      </c>
      <c r="K157" s="281">
        <f>SUM(K158:K158)</f>
        <v>46.8</v>
      </c>
      <c r="L157" s="91"/>
      <c r="M157" s="91"/>
      <c r="N157" s="280">
        <f>ROUND(L157*K157,2)</f>
        <v>0</v>
      </c>
      <c r="O157" s="280"/>
      <c r="P157" s="280"/>
      <c r="Q157" s="280"/>
      <c r="R157" s="210"/>
      <c r="T157" s="25"/>
      <c r="V157" s="22">
        <v>0.06</v>
      </c>
      <c r="Z157" s="22">
        <f>V157*K157</f>
        <v>2.8079999999999998</v>
      </c>
    </row>
    <row r="158" spans="2:27" s="360" customFormat="1" ht="10.199999999999999" customHeight="1" outlineLevel="1">
      <c r="B158" s="359"/>
      <c r="E158" s="361" t="str">
        <f>E143</f>
        <v>oplocení nízké</v>
      </c>
      <c r="F158" s="362"/>
      <c r="G158" s="363"/>
      <c r="H158" s="363"/>
      <c r="I158" s="363"/>
      <c r="J158" s="50"/>
      <c r="K158" s="364">
        <f>K143</f>
        <v>46.8</v>
      </c>
      <c r="L158" s="157"/>
      <c r="M158" s="157"/>
      <c r="R158" s="365"/>
      <c r="T158" s="51"/>
      <c r="V158" s="66"/>
      <c r="W158" s="22"/>
      <c r="X158" s="22"/>
      <c r="Y158" s="22"/>
      <c r="Z158" s="22"/>
    </row>
    <row r="159" spans="2:27" outlineLevel="1">
      <c r="B159" s="209"/>
      <c r="C159" s="277">
        <f>C157+1</f>
        <v>15</v>
      </c>
      <c r="D159" s="277" t="s">
        <v>52</v>
      </c>
      <c r="E159" s="278">
        <v>966072811</v>
      </c>
      <c r="F159" s="279" t="s">
        <v>276</v>
      </c>
      <c r="G159" s="279"/>
      <c r="H159" s="279"/>
      <c r="I159" s="279"/>
      <c r="J159" s="38" t="s">
        <v>58</v>
      </c>
      <c r="K159" s="281">
        <f>SUM(K160:K160)</f>
        <v>15</v>
      </c>
      <c r="L159" s="91"/>
      <c r="M159" s="91"/>
      <c r="N159" s="280">
        <f>ROUND(L159*K159,2)</f>
        <v>0</v>
      </c>
      <c r="O159" s="280"/>
      <c r="P159" s="280"/>
      <c r="Q159" s="280"/>
      <c r="R159" s="210"/>
      <c r="T159" s="25"/>
      <c r="V159" s="22">
        <v>0.01</v>
      </c>
      <c r="Z159" s="22">
        <f>V159*K159</f>
        <v>0.15</v>
      </c>
    </row>
    <row r="160" spans="2:27" s="360" customFormat="1" ht="10.199999999999999" customHeight="1" outlineLevel="1">
      <c r="B160" s="359"/>
      <c r="E160" s="361" t="str">
        <f>E145</f>
        <v>oplocení kovové</v>
      </c>
      <c r="F160" s="362"/>
      <c r="G160" s="363"/>
      <c r="H160" s="363"/>
      <c r="I160" s="363"/>
      <c r="J160" s="50"/>
      <c r="K160" s="364">
        <f>K145</f>
        <v>15</v>
      </c>
      <c r="L160" s="157"/>
      <c r="M160" s="157"/>
      <c r="R160" s="365"/>
      <c r="T160" s="51"/>
      <c r="V160" s="66"/>
      <c r="W160" s="22"/>
      <c r="X160" s="22"/>
      <c r="Y160" s="22"/>
      <c r="Z160" s="22"/>
      <c r="AA160" s="22"/>
    </row>
    <row r="161" spans="2:27" outlineLevel="1">
      <c r="B161" s="209"/>
      <c r="C161" s="277">
        <f>C159+1</f>
        <v>16</v>
      </c>
      <c r="D161" s="277" t="s">
        <v>52</v>
      </c>
      <c r="E161" s="278">
        <v>966073810</v>
      </c>
      <c r="F161" s="279" t="s">
        <v>240</v>
      </c>
      <c r="G161" s="279"/>
      <c r="H161" s="279"/>
      <c r="I161" s="279"/>
      <c r="J161" s="38" t="s">
        <v>57</v>
      </c>
      <c r="K161" s="281">
        <f>SUM(K162:K162)</f>
        <v>1</v>
      </c>
      <c r="L161" s="91"/>
      <c r="M161" s="91"/>
      <c r="N161" s="280">
        <f>ROUND(L161*K161,2)</f>
        <v>0</v>
      </c>
      <c r="O161" s="280"/>
      <c r="P161" s="280"/>
      <c r="Q161" s="280"/>
      <c r="R161" s="210"/>
      <c r="T161" s="25"/>
      <c r="V161" s="22">
        <v>0.05</v>
      </c>
      <c r="Z161" s="22">
        <f>V161*K161</f>
        <v>0.05</v>
      </c>
    </row>
    <row r="162" spans="2:27" s="360" customFormat="1" ht="10.199999999999999" customHeight="1" outlineLevel="1">
      <c r="B162" s="359"/>
      <c r="E162" s="361" t="s">
        <v>241</v>
      </c>
      <c r="F162" s="362"/>
      <c r="G162" s="363"/>
      <c r="H162" s="363"/>
      <c r="I162" s="363"/>
      <c r="J162" s="50"/>
      <c r="K162" s="364">
        <v>1</v>
      </c>
      <c r="L162" s="157"/>
      <c r="M162" s="157"/>
      <c r="R162" s="365"/>
      <c r="T162" s="51"/>
      <c r="V162" s="66"/>
      <c r="W162" s="22"/>
      <c r="X162" s="22"/>
      <c r="Y162" s="22"/>
      <c r="Z162" s="22"/>
      <c r="AA162" s="22"/>
    </row>
    <row r="163" spans="2:27" outlineLevel="1">
      <c r="B163" s="209"/>
      <c r="C163" s="277">
        <f>C161+1</f>
        <v>17</v>
      </c>
      <c r="D163" s="277" t="s">
        <v>52</v>
      </c>
      <c r="E163" s="278">
        <v>966073811</v>
      </c>
      <c r="F163" s="279" t="s">
        <v>242</v>
      </c>
      <c r="G163" s="279"/>
      <c r="H163" s="279"/>
      <c r="I163" s="279"/>
      <c r="J163" s="38" t="s">
        <v>57</v>
      </c>
      <c r="K163" s="281">
        <f>SUM(K164:K164)</f>
        <v>2</v>
      </c>
      <c r="L163" s="91"/>
      <c r="M163" s="91"/>
      <c r="N163" s="280">
        <f>ROUND(L163*K163,2)</f>
        <v>0</v>
      </c>
      <c r="O163" s="280"/>
      <c r="P163" s="280"/>
      <c r="Q163" s="280"/>
      <c r="R163" s="210"/>
      <c r="T163" s="25"/>
      <c r="V163" s="22">
        <v>0.1</v>
      </c>
      <c r="Z163" s="22">
        <f>V163*K163</f>
        <v>0.2</v>
      </c>
    </row>
    <row r="164" spans="2:27" s="360" customFormat="1" ht="10.199999999999999" customHeight="1" outlineLevel="1">
      <c r="B164" s="359"/>
      <c r="E164" s="361" t="s">
        <v>243</v>
      </c>
      <c r="F164" s="362"/>
      <c r="G164" s="363"/>
      <c r="H164" s="363"/>
      <c r="I164" s="363"/>
      <c r="J164" s="50"/>
      <c r="K164" s="364">
        <v>2</v>
      </c>
      <c r="L164" s="157"/>
      <c r="M164" s="157"/>
      <c r="R164" s="365"/>
      <c r="T164" s="51"/>
      <c r="V164" s="66"/>
      <c r="W164" s="22"/>
      <c r="X164" s="22"/>
      <c r="Y164" s="22"/>
      <c r="Z164" s="22"/>
      <c r="AA164" s="22"/>
    </row>
    <row r="165" spans="2:27" ht="27" customHeight="1" outlineLevel="1">
      <c r="B165" s="209"/>
      <c r="C165" s="277">
        <f>C163+1</f>
        <v>18</v>
      </c>
      <c r="D165" s="277" t="s">
        <v>52</v>
      </c>
      <c r="E165" s="278">
        <v>962033123</v>
      </c>
      <c r="F165" s="279" t="s">
        <v>244</v>
      </c>
      <c r="G165" s="279"/>
      <c r="H165" s="279"/>
      <c r="I165" s="279"/>
      <c r="J165" s="38" t="s">
        <v>54</v>
      </c>
      <c r="K165" s="281">
        <f>SUM(K166:K167)</f>
        <v>10.421999999999999</v>
      </c>
      <c r="L165" s="91"/>
      <c r="M165" s="91"/>
      <c r="N165" s="280">
        <f>ROUND(L165*K165,2)</f>
        <v>0</v>
      </c>
      <c r="O165" s="280"/>
      <c r="P165" s="280"/>
      <c r="Q165" s="280"/>
      <c r="R165" s="210"/>
      <c r="T165" s="25"/>
      <c r="V165" s="66">
        <v>2.4</v>
      </c>
      <c r="W165" s="22">
        <f>V165*K165</f>
        <v>25.012799999999995</v>
      </c>
    </row>
    <row r="166" spans="2:27" s="360" customFormat="1" ht="10.199999999999999" customHeight="1" outlineLevel="1">
      <c r="B166" s="359"/>
      <c r="E166" s="361" t="s">
        <v>246</v>
      </c>
      <c r="F166" s="362" t="s">
        <v>245</v>
      </c>
      <c r="G166" s="363"/>
      <c r="H166" s="363"/>
      <c r="I166" s="363"/>
      <c r="J166" s="50"/>
      <c r="K166" s="364">
        <f>19.54*0.3*(0.5+0.5)+6*(1.5*0.3*0.3)</f>
        <v>6.6719999999999988</v>
      </c>
      <c r="L166" s="157"/>
      <c r="M166" s="157"/>
      <c r="R166" s="365"/>
      <c r="T166" s="51"/>
      <c r="V166" s="66"/>
      <c r="W166" s="22"/>
      <c r="X166" s="22"/>
      <c r="Y166" s="22"/>
      <c r="Z166" s="22"/>
      <c r="AA166" s="22"/>
    </row>
    <row r="167" spans="2:27" s="360" customFormat="1" ht="10.199999999999999" customHeight="1" outlineLevel="1">
      <c r="B167" s="359"/>
      <c r="E167" s="361" t="s">
        <v>271</v>
      </c>
      <c r="F167" s="362" t="s">
        <v>275</v>
      </c>
      <c r="G167" s="363"/>
      <c r="H167" s="363"/>
      <c r="I167" s="363"/>
      <c r="J167" s="50"/>
      <c r="K167" s="364">
        <f>(7.7+7.3)*0.25*(0.5+0.5)</f>
        <v>3.75</v>
      </c>
      <c r="L167" s="157"/>
      <c r="M167" s="157"/>
      <c r="R167" s="365"/>
      <c r="T167" s="51"/>
      <c r="V167" s="66"/>
      <c r="W167" s="22"/>
      <c r="X167" s="22"/>
      <c r="Y167" s="22"/>
      <c r="Z167" s="22"/>
      <c r="AA167" s="22"/>
    </row>
    <row r="168" spans="2:27" outlineLevel="1">
      <c r="B168" s="209"/>
      <c r="C168" s="277">
        <f>C165+1</f>
        <v>19</v>
      </c>
      <c r="D168" s="277" t="s">
        <v>52</v>
      </c>
      <c r="E168" s="278">
        <v>962032241</v>
      </c>
      <c r="F168" s="279" t="s">
        <v>305</v>
      </c>
      <c r="G168" s="279"/>
      <c r="H168" s="279"/>
      <c r="I168" s="279"/>
      <c r="J168" s="38" t="s">
        <v>54</v>
      </c>
      <c r="K168" s="281">
        <f>SUM(K169:K169)</f>
        <v>4.83</v>
      </c>
      <c r="L168" s="91"/>
      <c r="M168" s="91"/>
      <c r="N168" s="280">
        <f>ROUND(L168*K168,2)</f>
        <v>0</v>
      </c>
      <c r="O168" s="280"/>
      <c r="P168" s="280"/>
      <c r="Q168" s="280"/>
      <c r="R168" s="210"/>
      <c r="T168" s="25"/>
      <c r="V168" s="66">
        <v>2</v>
      </c>
      <c r="W168" s="142"/>
      <c r="AA168" s="22">
        <f>V168*K168</f>
        <v>9.66</v>
      </c>
    </row>
    <row r="169" spans="2:27" s="360" customFormat="1" ht="10.199999999999999" customHeight="1" outlineLevel="1">
      <c r="B169" s="359"/>
      <c r="E169" s="361" t="s">
        <v>246</v>
      </c>
      <c r="F169" s="362" t="s">
        <v>306</v>
      </c>
      <c r="G169" s="363"/>
      <c r="H169" s="363"/>
      <c r="I169" s="363"/>
      <c r="J169" s="50">
        <f>(3+0.5)*0.3</f>
        <v>1.05</v>
      </c>
      <c r="K169" s="364">
        <f>K146*J169</f>
        <v>4.83</v>
      </c>
      <c r="L169" s="157"/>
      <c r="M169" s="157"/>
      <c r="R169" s="365"/>
      <c r="T169" s="51"/>
      <c r="V169" s="66"/>
      <c r="W169" s="22"/>
      <c r="X169" s="22"/>
      <c r="Y169" s="22"/>
      <c r="Z169" s="22"/>
      <c r="AA169" s="22"/>
    </row>
    <row r="170" spans="2:27" ht="10.199999999999999" customHeight="1" outlineLevel="1">
      <c r="B170" s="209"/>
      <c r="C170" s="277">
        <f>C168+1</f>
        <v>20</v>
      </c>
      <c r="D170" s="277" t="s">
        <v>59</v>
      </c>
      <c r="E170" s="278" t="s">
        <v>267</v>
      </c>
      <c r="F170" s="279" t="s">
        <v>270</v>
      </c>
      <c r="G170" s="279"/>
      <c r="H170" s="279"/>
      <c r="I170" s="279"/>
      <c r="J170" s="38" t="s">
        <v>57</v>
      </c>
      <c r="K170" s="281">
        <v>10</v>
      </c>
      <c r="L170" s="91"/>
      <c r="M170" s="91"/>
      <c r="N170" s="280">
        <f>ROUND(L170*K170,2)</f>
        <v>0</v>
      </c>
      <c r="O170" s="280"/>
      <c r="P170" s="280"/>
      <c r="Q170" s="280"/>
      <c r="R170" s="210"/>
      <c r="T170" s="25"/>
      <c r="V170" s="22">
        <v>0.25</v>
      </c>
      <c r="W170" s="22">
        <f>V170*K170</f>
        <v>2.5</v>
      </c>
    </row>
    <row r="171" spans="2:27" s="354" customFormat="1" outlineLevel="1">
      <c r="B171" s="353"/>
      <c r="E171" s="358"/>
      <c r="F171" s="358"/>
      <c r="G171" s="358"/>
      <c r="H171" s="358"/>
      <c r="I171" s="358"/>
      <c r="J171" s="358"/>
      <c r="K171" s="358"/>
      <c r="L171" s="156"/>
      <c r="M171" s="156"/>
      <c r="R171" s="356"/>
      <c r="T171" s="52"/>
      <c r="V171" s="67"/>
      <c r="W171" s="68"/>
      <c r="X171" s="68"/>
      <c r="Y171" s="68"/>
      <c r="Z171" s="68"/>
      <c r="AA171" s="68"/>
    </row>
    <row r="172" spans="2:27" s="275" customFormat="1" outlineLevel="1">
      <c r="B172" s="267"/>
      <c r="C172" s="268"/>
      <c r="D172" s="268"/>
      <c r="E172" s="269" t="s">
        <v>277</v>
      </c>
      <c r="F172" s="270"/>
      <c r="G172" s="270"/>
      <c r="H172" s="270"/>
      <c r="I172" s="271"/>
      <c r="J172" s="49"/>
      <c r="K172" s="272"/>
      <c r="L172" s="92"/>
      <c r="M172" s="92"/>
      <c r="N172" s="273"/>
      <c r="O172" s="273"/>
      <c r="P172" s="273"/>
      <c r="Q172" s="273"/>
      <c r="R172" s="274"/>
      <c r="T172" s="48"/>
      <c r="U172" s="375"/>
      <c r="V172" s="67"/>
      <c r="W172" s="68"/>
      <c r="X172" s="68"/>
      <c r="Y172" s="68"/>
      <c r="Z172" s="68"/>
      <c r="AA172" s="68"/>
    </row>
    <row r="173" spans="2:27" s="360" customFormat="1" ht="10.199999999999999" customHeight="1" outlineLevel="1">
      <c r="B173" s="359"/>
      <c r="E173" s="361" t="s">
        <v>761</v>
      </c>
      <c r="F173" s="362" t="s">
        <v>762</v>
      </c>
      <c r="G173" s="363">
        <f t="shared" ref="G173:I173" si="5">80.02-14.25+102.21+30.61+62.21-6.91</f>
        <v>253.88999999999996</v>
      </c>
      <c r="H173" s="363">
        <f t="shared" si="5"/>
        <v>253.88999999999996</v>
      </c>
      <c r="I173" s="363">
        <f t="shared" si="5"/>
        <v>253.88999999999996</v>
      </c>
      <c r="J173" s="50" t="s">
        <v>53</v>
      </c>
      <c r="K173" s="364">
        <f>14.3</f>
        <v>14.3</v>
      </c>
      <c r="L173" s="157"/>
      <c r="M173" s="157"/>
      <c r="R173" s="365"/>
      <c r="T173" s="51"/>
      <c r="V173" s="66"/>
      <c r="W173" s="22"/>
      <c r="X173" s="22"/>
    </row>
    <row r="174" spans="2:27" s="360" customFormat="1" outlineLevel="1">
      <c r="B174" s="359"/>
      <c r="E174" s="361" t="s">
        <v>248</v>
      </c>
      <c r="F174" s="362" t="s">
        <v>764</v>
      </c>
      <c r="G174" s="363"/>
      <c r="H174" s="363"/>
      <c r="I174" s="363"/>
      <c r="J174" s="50" t="s">
        <v>53</v>
      </c>
      <c r="K174" s="364">
        <v>27</v>
      </c>
      <c r="L174" s="157"/>
      <c r="M174" s="157"/>
      <c r="R174" s="365"/>
      <c r="T174" s="51"/>
      <c r="V174" s="66"/>
      <c r="W174" s="22"/>
      <c r="X174" s="22"/>
    </row>
    <row r="175" spans="2:27" s="360" customFormat="1" ht="10.199999999999999" customHeight="1" outlineLevel="1">
      <c r="B175" s="359"/>
      <c r="E175" s="361" t="s">
        <v>278</v>
      </c>
      <c r="F175" s="362"/>
      <c r="G175" s="363"/>
      <c r="H175" s="363"/>
      <c r="I175" s="363"/>
      <c r="J175" s="50" t="s">
        <v>58</v>
      </c>
      <c r="K175" s="364">
        <f>2.3+9+5.2</f>
        <v>16.5</v>
      </c>
      <c r="L175" s="157"/>
      <c r="M175" s="157"/>
      <c r="R175" s="365"/>
      <c r="T175" s="51"/>
      <c r="V175" s="66"/>
      <c r="W175" s="22"/>
      <c r="X175" s="22"/>
      <c r="Y175" s="22"/>
      <c r="Z175" s="22"/>
      <c r="AA175" s="22"/>
    </row>
    <row r="176" spans="2:27" s="360" customFormat="1" ht="10.199999999999999" customHeight="1" outlineLevel="1">
      <c r="B176" s="359"/>
      <c r="E176" s="361" t="s">
        <v>279</v>
      </c>
      <c r="F176" s="362"/>
      <c r="G176" s="363"/>
      <c r="H176" s="363"/>
      <c r="I176" s="363"/>
      <c r="J176" s="50" t="s">
        <v>58</v>
      </c>
      <c r="K176" s="364">
        <v>3</v>
      </c>
      <c r="L176" s="157"/>
      <c r="M176" s="157"/>
      <c r="R176" s="365"/>
      <c r="T176" s="51"/>
      <c r="V176" s="66"/>
      <c r="W176" s="22"/>
      <c r="X176" s="22"/>
      <c r="Y176" s="22"/>
      <c r="Z176" s="22"/>
      <c r="AA176" s="22"/>
    </row>
    <row r="177" spans="2:27" s="360" customFormat="1" ht="10.199999999999999" customHeight="1" outlineLevel="1">
      <c r="B177" s="359"/>
      <c r="E177" s="361" t="s">
        <v>280</v>
      </c>
      <c r="F177" s="362"/>
      <c r="G177" s="363"/>
      <c r="H177" s="363"/>
      <c r="I177" s="363"/>
      <c r="J177" s="50" t="s">
        <v>58</v>
      </c>
      <c r="K177" s="364">
        <v>33.200000000000003</v>
      </c>
      <c r="L177" s="157"/>
      <c r="M177" s="157"/>
      <c r="R177" s="365"/>
      <c r="T177" s="51"/>
      <c r="V177" s="66"/>
      <c r="W177" s="22"/>
      <c r="X177" s="22"/>
      <c r="Y177" s="22"/>
      <c r="Z177" s="22"/>
      <c r="AA177" s="22"/>
    </row>
    <row r="178" spans="2:27" s="360" customFormat="1" ht="10.199999999999999" customHeight="1" outlineLevel="1">
      <c r="B178" s="359"/>
      <c r="E178" s="361" t="s">
        <v>281</v>
      </c>
      <c r="F178" s="362"/>
      <c r="G178" s="363"/>
      <c r="H178" s="363"/>
      <c r="I178" s="363"/>
      <c r="J178" s="50" t="s">
        <v>58</v>
      </c>
      <c r="K178" s="364">
        <v>1.6</v>
      </c>
      <c r="L178" s="157"/>
      <c r="M178" s="157"/>
      <c r="R178" s="365"/>
      <c r="T178" s="51"/>
      <c r="V178" s="66"/>
      <c r="W178" s="22"/>
    </row>
    <row r="179" spans="2:27" s="360" customFormat="1" ht="10.199999999999999" customHeight="1" outlineLevel="1">
      <c r="B179" s="359"/>
      <c r="E179" s="361" t="s">
        <v>282</v>
      </c>
      <c r="F179" s="362"/>
      <c r="G179" s="363"/>
      <c r="H179" s="363"/>
      <c r="I179" s="363"/>
      <c r="J179" s="50" t="s">
        <v>58</v>
      </c>
      <c r="K179" s="364">
        <v>0.25</v>
      </c>
      <c r="L179" s="157"/>
      <c r="M179" s="157"/>
      <c r="R179" s="365"/>
      <c r="T179" s="51"/>
      <c r="V179" s="66"/>
      <c r="W179" s="22"/>
    </row>
    <row r="180" spans="2:27" s="360" customFormat="1" ht="10.199999999999999" customHeight="1" outlineLevel="1">
      <c r="B180" s="359"/>
      <c r="E180" s="361"/>
      <c r="F180" s="362"/>
      <c r="G180" s="363"/>
      <c r="H180" s="363"/>
      <c r="I180" s="363"/>
      <c r="J180" s="50"/>
      <c r="K180" s="364"/>
      <c r="L180" s="157"/>
      <c r="M180" s="157"/>
      <c r="R180" s="365"/>
      <c r="T180" s="51"/>
      <c r="V180" s="66"/>
      <c r="W180" s="22"/>
    </row>
    <row r="181" spans="2:27" outlineLevel="1">
      <c r="B181" s="209"/>
      <c r="C181" s="277">
        <f>C170+1</f>
        <v>21</v>
      </c>
      <c r="D181" s="277" t="s">
        <v>52</v>
      </c>
      <c r="E181" s="278">
        <v>113107131</v>
      </c>
      <c r="F181" s="279" t="s">
        <v>252</v>
      </c>
      <c r="G181" s="279"/>
      <c r="H181" s="279"/>
      <c r="I181" s="279"/>
      <c r="J181" s="38" t="s">
        <v>53</v>
      </c>
      <c r="K181" s="281">
        <f>SUM(K182)</f>
        <v>14.3</v>
      </c>
      <c r="L181" s="91"/>
      <c r="M181" s="91"/>
      <c r="N181" s="280">
        <f>ROUND(L181*K181,2)</f>
        <v>0</v>
      </c>
      <c r="O181" s="280"/>
      <c r="P181" s="280"/>
      <c r="Q181" s="280"/>
      <c r="R181" s="210"/>
      <c r="T181" s="25"/>
      <c r="V181" s="22">
        <f>2.4*0.15</f>
        <v>0.36</v>
      </c>
      <c r="W181" s="22">
        <f>V181*K181</f>
        <v>5.1479999999999997</v>
      </c>
    </row>
    <row r="182" spans="2:27" s="360" customFormat="1" ht="10.199999999999999" customHeight="1" outlineLevel="1">
      <c r="B182" s="359"/>
      <c r="E182" s="361" t="str">
        <f>E173</f>
        <v xml:space="preserve">beton </v>
      </c>
      <c r="F182" s="362"/>
      <c r="G182" s="363"/>
      <c r="H182" s="363"/>
      <c r="I182" s="363"/>
      <c r="J182" s="50"/>
      <c r="K182" s="364">
        <f>K173</f>
        <v>14.3</v>
      </c>
      <c r="L182" s="157"/>
      <c r="M182" s="157"/>
      <c r="R182" s="365"/>
      <c r="T182" s="51"/>
      <c r="V182" s="66"/>
      <c r="W182" s="22"/>
      <c r="X182" s="22"/>
    </row>
    <row r="183" spans="2:27" outlineLevel="1">
      <c r="B183" s="209"/>
      <c r="C183" s="277">
        <f>C181+1</f>
        <v>22</v>
      </c>
      <c r="D183" s="277" t="s">
        <v>52</v>
      </c>
      <c r="E183" s="278">
        <v>113106171</v>
      </c>
      <c r="F183" s="279" t="s">
        <v>255</v>
      </c>
      <c r="G183" s="279"/>
      <c r="H183" s="279"/>
      <c r="I183" s="279"/>
      <c r="J183" s="38" t="s">
        <v>53</v>
      </c>
      <c r="K183" s="281">
        <f>SUM(K184:K184)</f>
        <v>27</v>
      </c>
      <c r="L183" s="91"/>
      <c r="M183" s="91"/>
      <c r="N183" s="280">
        <f>ROUND(L183*K183,2)</f>
        <v>0</v>
      </c>
      <c r="O183" s="280"/>
      <c r="P183" s="280"/>
      <c r="Q183" s="280"/>
      <c r="R183" s="210"/>
      <c r="T183" s="25"/>
      <c r="V183" s="22">
        <f>2.4*0.08</f>
        <v>0.192</v>
      </c>
      <c r="W183" s="22">
        <f>V183*K183</f>
        <v>5.1840000000000002</v>
      </c>
    </row>
    <row r="184" spans="2:27" s="360" customFormat="1" ht="10.199999999999999" customHeight="1" outlineLevel="1">
      <c r="B184" s="359"/>
      <c r="E184" s="361" t="str">
        <f>E174</f>
        <v>zámková dlažba</v>
      </c>
      <c r="F184" s="362"/>
      <c r="G184" s="363"/>
      <c r="H184" s="363"/>
      <c r="I184" s="363"/>
      <c r="J184" s="50"/>
      <c r="K184" s="364">
        <f>K174</f>
        <v>27</v>
      </c>
      <c r="L184" s="157"/>
      <c r="M184" s="157"/>
      <c r="R184" s="365"/>
      <c r="T184" s="51"/>
      <c r="V184" s="66"/>
      <c r="W184" s="22"/>
      <c r="X184" s="22"/>
    </row>
    <row r="185" spans="2:27" outlineLevel="1">
      <c r="B185" s="209"/>
      <c r="C185" s="277">
        <f>C183+1</f>
        <v>23</v>
      </c>
      <c r="D185" s="277" t="s">
        <v>52</v>
      </c>
      <c r="E185" s="278">
        <v>113107122</v>
      </c>
      <c r="F185" s="279" t="s">
        <v>261</v>
      </c>
      <c r="G185" s="279"/>
      <c r="H185" s="279"/>
      <c r="I185" s="279"/>
      <c r="J185" s="38" t="s">
        <v>53</v>
      </c>
      <c r="K185" s="281">
        <f>SUM(K186:K187)</f>
        <v>41.3</v>
      </c>
      <c r="L185" s="91"/>
      <c r="M185" s="91"/>
      <c r="N185" s="280">
        <f>ROUND(L185*K185,2)</f>
        <v>0</v>
      </c>
      <c r="O185" s="280"/>
      <c r="P185" s="280"/>
      <c r="Q185" s="280"/>
      <c r="R185" s="210"/>
      <c r="T185" s="25"/>
      <c r="V185" s="66">
        <v>0.28999999999999998</v>
      </c>
      <c r="Y185" s="22">
        <f>V185*K185</f>
        <v>11.976999999999999</v>
      </c>
    </row>
    <row r="186" spans="2:27" s="360" customFormat="1" ht="10.199999999999999" customHeight="1" outlineLevel="1">
      <c r="B186" s="359"/>
      <c r="E186" s="361" t="str">
        <f>E173</f>
        <v xml:space="preserve">beton </v>
      </c>
      <c r="F186" s="362"/>
      <c r="G186" s="363"/>
      <c r="H186" s="363"/>
      <c r="I186" s="363"/>
      <c r="J186" s="50"/>
      <c r="K186" s="364">
        <f>K173</f>
        <v>14.3</v>
      </c>
      <c r="L186" s="157"/>
      <c r="M186" s="157"/>
      <c r="R186" s="365"/>
      <c r="T186" s="51"/>
      <c r="V186" s="66"/>
      <c r="W186" s="22"/>
      <c r="X186" s="22"/>
      <c r="Y186" s="22"/>
      <c r="Z186" s="22"/>
    </row>
    <row r="187" spans="2:27" s="360" customFormat="1" ht="10.199999999999999" customHeight="1" outlineLevel="1">
      <c r="B187" s="359"/>
      <c r="E187" s="361" t="str">
        <f>E174</f>
        <v>zámková dlažba</v>
      </c>
      <c r="F187" s="362"/>
      <c r="G187" s="363"/>
      <c r="H187" s="363"/>
      <c r="I187" s="363"/>
      <c r="J187" s="50"/>
      <c r="K187" s="364">
        <f>K174</f>
        <v>27</v>
      </c>
      <c r="L187" s="157"/>
      <c r="M187" s="157"/>
      <c r="R187" s="365"/>
      <c r="T187" s="51"/>
      <c r="V187" s="66"/>
      <c r="W187" s="22"/>
      <c r="X187" s="22"/>
      <c r="Y187" s="22"/>
      <c r="Z187" s="22"/>
    </row>
    <row r="188" spans="2:27" ht="27" customHeight="1" outlineLevel="1">
      <c r="B188" s="209"/>
      <c r="C188" s="277">
        <f>C181+1</f>
        <v>22</v>
      </c>
      <c r="D188" s="277" t="s">
        <v>52</v>
      </c>
      <c r="E188" s="278">
        <v>962033113</v>
      </c>
      <c r="F188" s="279" t="s">
        <v>283</v>
      </c>
      <c r="G188" s="279"/>
      <c r="H188" s="279"/>
      <c r="I188" s="279"/>
      <c r="J188" s="38" t="s">
        <v>54</v>
      </c>
      <c r="K188" s="281">
        <f>SUM(K189:K189)</f>
        <v>2.0750000000000002</v>
      </c>
      <c r="L188" s="91"/>
      <c r="M188" s="91"/>
      <c r="N188" s="280">
        <f>ROUND(L188*K188,2)</f>
        <v>0</v>
      </c>
      <c r="O188" s="280"/>
      <c r="P188" s="280"/>
      <c r="Q188" s="280"/>
      <c r="R188" s="210"/>
      <c r="T188" s="25"/>
      <c r="V188" s="66">
        <v>2.4</v>
      </c>
      <c r="W188" s="22">
        <f>V188*K188</f>
        <v>4.9800000000000004</v>
      </c>
    </row>
    <row r="189" spans="2:27" s="360" customFormat="1" ht="10.199999999999999" customHeight="1" outlineLevel="1">
      <c r="B189" s="359"/>
      <c r="E189" s="361" t="str">
        <f>E177</f>
        <v>atika okolo</v>
      </c>
      <c r="F189" s="362"/>
      <c r="G189" s="363"/>
      <c r="H189" s="363"/>
      <c r="I189" s="363"/>
      <c r="J189" s="50">
        <f>K179*0.25</f>
        <v>6.25E-2</v>
      </c>
      <c r="K189" s="364">
        <f>K177*J189</f>
        <v>2.0750000000000002</v>
      </c>
      <c r="L189" s="157"/>
      <c r="M189" s="157"/>
      <c r="R189" s="365"/>
      <c r="T189" s="51"/>
      <c r="V189" s="66"/>
      <c r="W189" s="22"/>
    </row>
    <row r="190" spans="2:27" ht="27" customHeight="1" outlineLevel="1">
      <c r="B190" s="209"/>
      <c r="C190" s="277">
        <f>C188+1</f>
        <v>23</v>
      </c>
      <c r="D190" s="277" t="s">
        <v>52</v>
      </c>
      <c r="E190" s="278">
        <v>962033123</v>
      </c>
      <c r="F190" s="279" t="s">
        <v>244</v>
      </c>
      <c r="G190" s="279"/>
      <c r="H190" s="279"/>
      <c r="I190" s="279"/>
      <c r="J190" s="38" t="s">
        <v>54</v>
      </c>
      <c r="K190" s="281">
        <f>SUM(K191:K192)</f>
        <v>7.8000000000000007</v>
      </c>
      <c r="L190" s="91"/>
      <c r="M190" s="91"/>
      <c r="N190" s="280">
        <f>ROUND(L190*K190,2)</f>
        <v>0</v>
      </c>
      <c r="O190" s="280"/>
      <c r="P190" s="280"/>
      <c r="Q190" s="280"/>
      <c r="R190" s="210"/>
      <c r="T190" s="25"/>
      <c r="V190" s="66">
        <v>2.4</v>
      </c>
      <c r="W190" s="22">
        <f>V190*K190</f>
        <v>18.720000000000002</v>
      </c>
    </row>
    <row r="191" spans="2:27" s="360" customFormat="1" ht="10.199999999999999" customHeight="1" outlineLevel="1">
      <c r="B191" s="359"/>
      <c r="E191" s="361" t="str">
        <f>E175</f>
        <v>zídka záhon</v>
      </c>
      <c r="F191" s="362"/>
      <c r="G191" s="363"/>
      <c r="H191" s="363"/>
      <c r="I191" s="363"/>
      <c r="J191" s="50">
        <f>K178*0.25</f>
        <v>0.4</v>
      </c>
      <c r="K191" s="364">
        <f>K175*J191</f>
        <v>6.6000000000000005</v>
      </c>
      <c r="L191" s="157"/>
      <c r="M191" s="157"/>
      <c r="R191" s="365"/>
      <c r="T191" s="51"/>
      <c r="V191" s="66"/>
      <c r="W191" s="22"/>
    </row>
    <row r="192" spans="2:27" s="360" customFormat="1" ht="10.199999999999999" customHeight="1" outlineLevel="1">
      <c r="B192" s="359"/>
      <c r="E192" s="361" t="str">
        <f>E176</f>
        <v>zídka schodiště</v>
      </c>
      <c r="F192" s="362"/>
      <c r="G192" s="363"/>
      <c r="H192" s="363"/>
      <c r="I192" s="363"/>
      <c r="J192" s="50">
        <f>J191</f>
        <v>0.4</v>
      </c>
      <c r="K192" s="364">
        <f>K176*J192</f>
        <v>1.2000000000000002</v>
      </c>
      <c r="L192" s="157"/>
      <c r="M192" s="157"/>
      <c r="R192" s="365"/>
      <c r="T192" s="51"/>
      <c r="V192" s="66"/>
      <c r="W192" s="22"/>
    </row>
    <row r="193" spans="2:29" outlineLevel="1">
      <c r="B193" s="209"/>
      <c r="C193" s="277">
        <f>C190+1</f>
        <v>24</v>
      </c>
      <c r="D193" s="277" t="s">
        <v>52</v>
      </c>
      <c r="E193" s="278">
        <v>963042819</v>
      </c>
      <c r="F193" s="279" t="s">
        <v>119</v>
      </c>
      <c r="G193" s="279"/>
      <c r="H193" s="279"/>
      <c r="I193" s="279"/>
      <c r="J193" s="38" t="s">
        <v>58</v>
      </c>
      <c r="K193" s="281">
        <f>SUM(K194:K195)</f>
        <v>14.4</v>
      </c>
      <c r="L193" s="91"/>
      <c r="M193" s="91"/>
      <c r="N193" s="280">
        <f>ROUND(L193*K193,2)</f>
        <v>0</v>
      </c>
      <c r="O193" s="280"/>
      <c r="P193" s="280"/>
      <c r="Q193" s="280"/>
      <c r="R193" s="210"/>
      <c r="T193" s="25"/>
      <c r="V193" s="66">
        <f>2.4*0.3*0.18*0.5</f>
        <v>6.4799999999999996E-2</v>
      </c>
      <c r="W193" s="22">
        <f>V193*K193</f>
        <v>0.93311999999999995</v>
      </c>
    </row>
    <row r="194" spans="2:29" s="360" customFormat="1" ht="10.199999999999999" customHeight="1" outlineLevel="1">
      <c r="B194" s="359"/>
      <c r="E194" s="361" t="s">
        <v>284</v>
      </c>
      <c r="F194" s="362"/>
      <c r="G194" s="363"/>
      <c r="H194" s="363"/>
      <c r="I194" s="363"/>
      <c r="J194" s="50">
        <v>10</v>
      </c>
      <c r="K194" s="364">
        <f>1.2*J194</f>
        <v>12</v>
      </c>
      <c r="L194" s="157"/>
      <c r="M194" s="157"/>
      <c r="R194" s="365"/>
      <c r="T194" s="51"/>
      <c r="V194" s="66"/>
      <c r="W194" s="22"/>
    </row>
    <row r="195" spans="2:29" s="360" customFormat="1" ht="10.199999999999999" customHeight="1" outlineLevel="1">
      <c r="B195" s="359"/>
      <c r="E195" s="361" t="s">
        <v>285</v>
      </c>
      <c r="F195" s="362"/>
      <c r="G195" s="363"/>
      <c r="H195" s="363"/>
      <c r="I195" s="363"/>
      <c r="J195" s="50">
        <v>2</v>
      </c>
      <c r="K195" s="364">
        <f>1.2*J195</f>
        <v>2.4</v>
      </c>
      <c r="L195" s="157"/>
      <c r="M195" s="157"/>
      <c r="R195" s="365"/>
      <c r="T195" s="51"/>
      <c r="V195" s="66"/>
      <c r="W195" s="22"/>
    </row>
    <row r="196" spans="2:29" s="354" customFormat="1" outlineLevel="1">
      <c r="B196" s="353"/>
      <c r="E196" s="358"/>
      <c r="F196" s="358"/>
      <c r="G196" s="358"/>
      <c r="H196" s="358"/>
      <c r="I196" s="358"/>
      <c r="J196" s="358"/>
      <c r="K196" s="358"/>
      <c r="L196" s="156"/>
      <c r="M196" s="156"/>
      <c r="R196" s="356"/>
      <c r="T196" s="52"/>
      <c r="V196" s="67"/>
      <c r="W196" s="68"/>
    </row>
    <row r="197" spans="2:29" s="275" customFormat="1" outlineLevel="1">
      <c r="B197" s="267"/>
      <c r="C197" s="268"/>
      <c r="D197" s="268"/>
      <c r="E197" s="269" t="s">
        <v>290</v>
      </c>
      <c r="F197" s="270"/>
      <c r="G197" s="270"/>
      <c r="H197" s="270"/>
      <c r="I197" s="271"/>
      <c r="J197" s="49"/>
      <c r="K197" s="272"/>
      <c r="L197" s="92"/>
      <c r="M197" s="92"/>
      <c r="N197" s="273"/>
      <c r="O197" s="273"/>
      <c r="P197" s="273"/>
      <c r="Q197" s="273"/>
      <c r="R197" s="274"/>
      <c r="T197" s="48"/>
      <c r="U197" s="375"/>
      <c r="V197" s="67"/>
      <c r="W197" s="68"/>
    </row>
    <row r="198" spans="2:29" s="360" customFormat="1" ht="10.199999999999999" customHeight="1" outlineLevel="1">
      <c r="B198" s="359"/>
      <c r="E198" s="361"/>
      <c r="F198" s="362"/>
      <c r="G198" s="363"/>
      <c r="H198" s="363"/>
      <c r="I198" s="363"/>
      <c r="J198" s="50"/>
      <c r="K198" s="364"/>
      <c r="L198" s="157"/>
      <c r="M198" s="157"/>
      <c r="R198" s="365"/>
      <c r="T198" s="51"/>
      <c r="V198" s="66"/>
      <c r="W198" s="22"/>
    </row>
    <row r="199" spans="2:29" outlineLevel="1">
      <c r="B199" s="209"/>
      <c r="C199" s="277">
        <f>C193+1</f>
        <v>25</v>
      </c>
      <c r="D199" s="277" t="s">
        <v>59</v>
      </c>
      <c r="E199" s="278" t="s">
        <v>269</v>
      </c>
      <c r="F199" s="279" t="s">
        <v>292</v>
      </c>
      <c r="G199" s="279"/>
      <c r="H199" s="279"/>
      <c r="I199" s="279"/>
      <c r="J199" s="38" t="s">
        <v>57</v>
      </c>
      <c r="K199" s="281">
        <v>1</v>
      </c>
      <c r="L199" s="91"/>
      <c r="M199" s="91"/>
      <c r="N199" s="280">
        <f>ROUND(L199*K199,2)</f>
        <v>0</v>
      </c>
      <c r="O199" s="280"/>
      <c r="P199" s="280"/>
      <c r="Q199" s="280"/>
      <c r="R199" s="210"/>
      <c r="T199" s="25"/>
      <c r="V199" s="22">
        <v>0.25</v>
      </c>
      <c r="W199" s="22">
        <f>V199*K199</f>
        <v>0.25</v>
      </c>
    </row>
    <row r="200" spans="2:29" s="354" customFormat="1" outlineLevel="1">
      <c r="B200" s="353"/>
      <c r="L200" s="156"/>
      <c r="M200" s="156"/>
      <c r="R200" s="356"/>
    </row>
    <row r="201" spans="2:29" s="275" customFormat="1" outlineLevel="1">
      <c r="B201" s="267"/>
      <c r="C201" s="268"/>
      <c r="D201" s="268"/>
      <c r="E201" s="269" t="s">
        <v>286</v>
      </c>
      <c r="F201" s="270"/>
      <c r="G201" s="270"/>
      <c r="H201" s="270"/>
      <c r="I201" s="271"/>
      <c r="J201" s="49"/>
      <c r="K201" s="272"/>
      <c r="L201" s="92"/>
      <c r="M201" s="92"/>
      <c r="N201" s="273"/>
      <c r="O201" s="273"/>
      <c r="P201" s="273"/>
      <c r="Q201" s="273"/>
      <c r="R201" s="274"/>
      <c r="T201" s="48"/>
      <c r="U201" s="375"/>
      <c r="V201" s="67"/>
      <c r="W201" s="68"/>
      <c r="X201" s="68"/>
      <c r="Y201" s="68"/>
      <c r="Z201" s="68"/>
      <c r="AA201" s="68"/>
      <c r="AB201" s="68"/>
      <c r="AC201" s="68"/>
    </row>
    <row r="202" spans="2:29" s="354" customFormat="1" ht="10.199999999999999" customHeight="1" outlineLevel="1">
      <c r="B202" s="353"/>
      <c r="E202" s="358"/>
      <c r="F202" s="358"/>
      <c r="G202" s="358"/>
      <c r="H202" s="358"/>
      <c r="I202" s="358"/>
      <c r="J202" s="358"/>
      <c r="K202" s="358"/>
      <c r="L202" s="156"/>
      <c r="M202" s="156"/>
      <c r="R202" s="356"/>
      <c r="T202" s="52"/>
      <c r="V202" s="67"/>
      <c r="W202" s="68"/>
      <c r="X202" s="68"/>
      <c r="Y202" s="68"/>
      <c r="Z202" s="68"/>
      <c r="AA202" s="68"/>
      <c r="AB202" s="68"/>
      <c r="AC202" s="68"/>
    </row>
    <row r="203" spans="2:29" outlineLevel="1">
      <c r="B203" s="209"/>
      <c r="C203" s="277">
        <f>C199+1</f>
        <v>26</v>
      </c>
      <c r="D203" s="277" t="s">
        <v>59</v>
      </c>
      <c r="E203" s="278" t="s">
        <v>291</v>
      </c>
      <c r="F203" s="279" t="s">
        <v>268</v>
      </c>
      <c r="G203" s="279"/>
      <c r="H203" s="279"/>
      <c r="I203" s="279"/>
      <c r="J203" s="38" t="s">
        <v>207</v>
      </c>
      <c r="K203" s="281">
        <v>1</v>
      </c>
      <c r="L203" s="91"/>
      <c r="M203" s="91"/>
      <c r="N203" s="280">
        <f>ROUND(L203*K203,2)</f>
        <v>0</v>
      </c>
      <c r="O203" s="280"/>
      <c r="P203" s="280"/>
      <c r="Q203" s="280"/>
      <c r="R203" s="210"/>
      <c r="T203" s="25"/>
      <c r="V203" s="66">
        <v>4.5</v>
      </c>
      <c r="Z203" s="22">
        <f>V203*K203</f>
        <v>4.5</v>
      </c>
    </row>
    <row r="204" spans="2:29" outlineLevel="1">
      <c r="B204" s="209"/>
      <c r="C204" s="277">
        <f>C203+1</f>
        <v>27</v>
      </c>
      <c r="D204" s="277" t="s">
        <v>52</v>
      </c>
      <c r="E204" s="278">
        <v>184818243</v>
      </c>
      <c r="F204" s="279" t="s">
        <v>287</v>
      </c>
      <c r="G204" s="279"/>
      <c r="H204" s="279"/>
      <c r="I204" s="279"/>
      <c r="J204" s="38" t="s">
        <v>57</v>
      </c>
      <c r="K204" s="281">
        <f>SUM(K205:K206)</f>
        <v>2</v>
      </c>
      <c r="L204" s="91"/>
      <c r="M204" s="91"/>
      <c r="N204" s="280">
        <f>ROUND(L204*K204,2)</f>
        <v>0</v>
      </c>
      <c r="O204" s="280"/>
      <c r="P204" s="280"/>
      <c r="Q204" s="280"/>
      <c r="R204" s="210"/>
      <c r="T204" s="25"/>
      <c r="V204" s="22"/>
    </row>
    <row r="205" spans="2:29" s="360" customFormat="1" ht="10.199999999999999" customHeight="1" outlineLevel="1">
      <c r="B205" s="359"/>
      <c r="E205" s="361" t="s">
        <v>288</v>
      </c>
      <c r="F205" s="362"/>
      <c r="G205" s="363"/>
      <c r="H205" s="363"/>
      <c r="I205" s="363"/>
      <c r="J205" s="50"/>
      <c r="K205" s="364">
        <v>1</v>
      </c>
      <c r="L205" s="157"/>
      <c r="M205" s="157"/>
      <c r="R205" s="365"/>
      <c r="T205" s="51"/>
      <c r="V205" s="66"/>
      <c r="W205" s="22"/>
      <c r="X205" s="22"/>
      <c r="Y205" s="22"/>
      <c r="Z205" s="22"/>
      <c r="AA205" s="22"/>
      <c r="AB205" s="22"/>
      <c r="AC205" s="22"/>
    </row>
    <row r="206" spans="2:29" s="360" customFormat="1" ht="10.199999999999999" customHeight="1" outlineLevel="1">
      <c r="B206" s="359"/>
      <c r="E206" s="361" t="s">
        <v>289</v>
      </c>
      <c r="F206" s="362"/>
      <c r="G206" s="363"/>
      <c r="H206" s="363"/>
      <c r="I206" s="363"/>
      <c r="J206" s="50"/>
      <c r="K206" s="364">
        <v>1</v>
      </c>
      <c r="L206" s="157"/>
      <c r="M206" s="157"/>
      <c r="R206" s="365"/>
      <c r="T206" s="51"/>
      <c r="V206" s="66"/>
      <c r="W206" s="22"/>
      <c r="X206" s="22"/>
      <c r="Y206" s="22"/>
      <c r="Z206" s="22"/>
      <c r="AA206" s="22"/>
      <c r="AB206" s="22"/>
      <c r="AC206" s="22"/>
    </row>
    <row r="207" spans="2:29" outlineLevel="1">
      <c r="B207" s="209"/>
      <c r="C207" s="277">
        <f>C204+1</f>
        <v>28</v>
      </c>
      <c r="D207" s="277" t="s">
        <v>52</v>
      </c>
      <c r="E207" s="278" t="s">
        <v>224</v>
      </c>
      <c r="F207" s="279" t="s">
        <v>225</v>
      </c>
      <c r="G207" s="279"/>
      <c r="H207" s="279"/>
      <c r="I207" s="279"/>
      <c r="J207" s="38" t="s">
        <v>102</v>
      </c>
      <c r="K207" s="281">
        <f>SUM(K208:K208)</f>
        <v>40</v>
      </c>
      <c r="L207" s="91"/>
      <c r="M207" s="91"/>
      <c r="N207" s="280">
        <f>ROUND(L207*K207,2)</f>
        <v>0</v>
      </c>
      <c r="O207" s="280"/>
      <c r="P207" s="280"/>
      <c r="Q207" s="280"/>
      <c r="R207" s="210"/>
      <c r="T207" s="25"/>
      <c r="V207" s="22"/>
      <c r="Z207" s="141"/>
    </row>
    <row r="208" spans="2:29" s="360" customFormat="1" ht="10.199999999999999" customHeight="1" outlineLevel="1">
      <c r="B208" s="359"/>
      <c r="E208" s="361" t="s">
        <v>222</v>
      </c>
      <c r="F208" s="362" t="s">
        <v>223</v>
      </c>
      <c r="G208" s="363"/>
      <c r="H208" s="363"/>
      <c r="I208" s="363"/>
      <c r="J208" s="50"/>
      <c r="K208" s="364">
        <v>40</v>
      </c>
      <c r="L208" s="157"/>
      <c r="M208" s="157"/>
      <c r="R208" s="365"/>
      <c r="T208" s="51"/>
      <c r="V208" s="66"/>
      <c r="W208" s="22"/>
      <c r="X208" s="22"/>
      <c r="Y208" s="22"/>
      <c r="Z208" s="22"/>
      <c r="AA208" s="22"/>
      <c r="AB208" s="22"/>
      <c r="AC208" s="22"/>
    </row>
    <row r="209" spans="2:29" s="354" customFormat="1">
      <c r="B209" s="353"/>
      <c r="E209" s="358"/>
      <c r="F209" s="358"/>
      <c r="G209" s="358"/>
      <c r="H209" s="358"/>
      <c r="I209" s="358"/>
      <c r="J209" s="358"/>
      <c r="K209" s="358"/>
      <c r="L209" s="156"/>
      <c r="M209" s="156"/>
      <c r="R209" s="356"/>
      <c r="T209" s="52"/>
      <c r="V209" s="67"/>
      <c r="W209" s="68"/>
      <c r="X209" s="68"/>
      <c r="Y209" s="68"/>
      <c r="Z209" s="68"/>
      <c r="AA209" s="68"/>
      <c r="AB209" s="68"/>
      <c r="AC209" s="68"/>
    </row>
    <row r="210" spans="2:29" s="266" customFormat="1" ht="13.2">
      <c r="B210" s="262"/>
      <c r="C210" s="263"/>
      <c r="D210" s="263" t="s">
        <v>120</v>
      </c>
      <c r="E210" s="263"/>
      <c r="F210" s="263"/>
      <c r="G210" s="263"/>
      <c r="H210" s="263"/>
      <c r="I210" s="263"/>
      <c r="J210" s="36"/>
      <c r="K210" s="263"/>
      <c r="L210" s="155"/>
      <c r="M210" s="155"/>
      <c r="N210" s="264">
        <f>SUM(N219:Q226)</f>
        <v>0</v>
      </c>
      <c r="O210" s="264"/>
      <c r="P210" s="264"/>
      <c r="Q210" s="264"/>
      <c r="R210" s="265"/>
      <c r="T210" s="37">
        <f>SUM(N210:Q226)/2</f>
        <v>0</v>
      </c>
      <c r="U210" s="384"/>
      <c r="V210" s="72"/>
      <c r="W210" s="37" t="str">
        <f t="shared" ref="W210:AC210" si="6">W110</f>
        <v>beton</v>
      </c>
      <c r="X210" s="37" t="str">
        <f t="shared" si="6"/>
        <v>asfalt</v>
      </c>
      <c r="Y210" s="37" t="str">
        <f t="shared" si="6"/>
        <v>zemina</v>
      </c>
      <c r="Z210" s="37" t="str">
        <f t="shared" si="6"/>
        <v>směs</v>
      </c>
      <c r="AA210" s="37" t="str">
        <f t="shared" si="6"/>
        <v>cihla</v>
      </c>
      <c r="AB210" s="37">
        <f t="shared" si="6"/>
        <v>0</v>
      </c>
      <c r="AC210" s="37">
        <f t="shared" si="6"/>
        <v>0</v>
      </c>
    </row>
    <row r="211" spans="2:29" s="354" customFormat="1" outlineLevel="1">
      <c r="B211" s="353"/>
      <c r="E211" s="376" t="s">
        <v>442</v>
      </c>
      <c r="F211" s="376"/>
      <c r="G211" s="376"/>
      <c r="H211" s="376"/>
      <c r="I211" s="376"/>
      <c r="J211" s="376"/>
      <c r="K211" s="376"/>
      <c r="L211" s="156"/>
      <c r="M211" s="156"/>
      <c r="R211" s="356"/>
      <c r="T211" s="52"/>
      <c r="V211" s="67">
        <f>SUM(W211:AC211)</f>
        <v>1309.1854624999999</v>
      </c>
      <c r="W211" s="68">
        <f>SUM(W212:W220)</f>
        <v>132.74791999999999</v>
      </c>
      <c r="X211" s="68">
        <f t="shared" ref="X211:AA211" si="7">SUM(X212:X220)</f>
        <v>224.79599999999999</v>
      </c>
      <c r="Y211" s="68">
        <f t="shared" si="7"/>
        <v>927.41947999999991</v>
      </c>
      <c r="Z211" s="68">
        <f t="shared" si="7"/>
        <v>13.909562500000002</v>
      </c>
      <c r="AA211" s="68">
        <f t="shared" si="7"/>
        <v>10.3125</v>
      </c>
      <c r="AB211" s="68">
        <f t="shared" ref="AB211:AC211" si="8">SUM(AB212:AB215)</f>
        <v>0</v>
      </c>
      <c r="AC211" s="68">
        <f t="shared" si="8"/>
        <v>0</v>
      </c>
    </row>
    <row r="212" spans="2:29" s="360" customFormat="1" outlineLevel="1">
      <c r="B212" s="359"/>
      <c r="E212" s="361" t="s">
        <v>121</v>
      </c>
      <c r="F212" s="362" t="s">
        <v>124</v>
      </c>
      <c r="G212" s="363" t="e">
        <f t="shared" ref="G212:I212" si="9">(43.7+20+13+10+0.5+5+3.2*2+7.2+5.4+6.3+3+6.5+10.4+23.8)*F212</f>
        <v>#VALUE!</v>
      </c>
      <c r="H212" s="363" t="e">
        <f t="shared" si="9"/>
        <v>#VALUE!</v>
      </c>
      <c r="I212" s="363" t="e">
        <f t="shared" si="9"/>
        <v>#VALUE!</v>
      </c>
      <c r="J212" s="50"/>
      <c r="K212" s="364">
        <f>W211</f>
        <v>132.74791999999999</v>
      </c>
      <c r="L212" s="157"/>
      <c r="M212" s="157"/>
      <c r="R212" s="365"/>
      <c r="T212" s="51"/>
      <c r="V212" s="66" t="s">
        <v>130</v>
      </c>
      <c r="W212" s="37">
        <f t="shared" ref="W212:AC212" si="10">W111</f>
        <v>132.74791999999999</v>
      </c>
      <c r="X212" s="37">
        <f t="shared" si="10"/>
        <v>224.79599999999999</v>
      </c>
      <c r="Y212" s="37">
        <f t="shared" si="10"/>
        <v>411.41099999999994</v>
      </c>
      <c r="Z212" s="37">
        <f t="shared" si="10"/>
        <v>11.165000000000001</v>
      </c>
      <c r="AA212" s="37">
        <f t="shared" si="10"/>
        <v>9.66</v>
      </c>
      <c r="AB212" s="37">
        <f t="shared" si="10"/>
        <v>0</v>
      </c>
      <c r="AC212" s="37">
        <f t="shared" si="10"/>
        <v>0</v>
      </c>
    </row>
    <row r="213" spans="2:29" s="360" customFormat="1" outlineLevel="1">
      <c r="B213" s="359"/>
      <c r="E213" s="361" t="s">
        <v>293</v>
      </c>
      <c r="F213" s="362" t="s">
        <v>124</v>
      </c>
      <c r="G213" s="363" t="e">
        <f t="shared" ref="G213:I213" si="11">(43.7+20+13+10+0.5+5+3.2*2+7.2+5.4+6.3+3+6.5+10.4+23.8)*F213</f>
        <v>#VALUE!</v>
      </c>
      <c r="H213" s="363" t="e">
        <f t="shared" si="11"/>
        <v>#VALUE!</v>
      </c>
      <c r="I213" s="363" t="e">
        <f t="shared" si="11"/>
        <v>#VALUE!</v>
      </c>
      <c r="J213" s="50"/>
      <c r="K213" s="364">
        <f>X211</f>
        <v>224.79599999999999</v>
      </c>
      <c r="L213" s="157"/>
      <c r="M213" s="157"/>
      <c r="R213" s="365"/>
      <c r="T213" s="51"/>
      <c r="V213" s="66" t="s">
        <v>294</v>
      </c>
      <c r="W213" s="22"/>
      <c r="X213" s="22"/>
      <c r="Y213" s="22">
        <f>'SO.02 proluka'!V114</f>
        <v>253.43199999999999</v>
      </c>
      <c r="Z213" s="22"/>
      <c r="AA213" s="22"/>
      <c r="AB213" s="22"/>
      <c r="AC213" s="22"/>
    </row>
    <row r="214" spans="2:29" s="360" customFormat="1" outlineLevel="1">
      <c r="B214" s="359"/>
      <c r="E214" s="361" t="s">
        <v>122</v>
      </c>
      <c r="F214" s="362" t="s">
        <v>124</v>
      </c>
      <c r="G214" s="363" t="e">
        <f t="shared" ref="G214:I214" si="12">(43.7+20+13+10+0.5+5+3.2*2+7.2+5.4+6.3+3+6.5+10.4+23.8)*F214</f>
        <v>#VALUE!</v>
      </c>
      <c r="H214" s="363" t="e">
        <f t="shared" si="12"/>
        <v>#VALUE!</v>
      </c>
      <c r="I214" s="363" t="e">
        <f t="shared" si="12"/>
        <v>#VALUE!</v>
      </c>
      <c r="J214" s="50"/>
      <c r="K214" s="364">
        <f>Y211</f>
        <v>927.41947999999991</v>
      </c>
      <c r="L214" s="157"/>
      <c r="M214" s="157"/>
      <c r="R214" s="365"/>
      <c r="T214" s="51"/>
      <c r="V214" s="66" t="s">
        <v>295</v>
      </c>
      <c r="W214" s="22">
        <f>'SO.03 dětské hřiště'!W115</f>
        <v>0</v>
      </c>
      <c r="X214" s="22"/>
      <c r="Y214" s="22">
        <f>'SO.03 dětské hřiště'!V115</f>
        <v>-203.00672000000003</v>
      </c>
      <c r="Z214" s="22">
        <f>'SO.03 dětské hřiště'!Y115</f>
        <v>0</v>
      </c>
      <c r="AA214" s="22">
        <f>'SO.03 dětské hřiště'!X115</f>
        <v>0</v>
      </c>
      <c r="AB214" s="22"/>
      <c r="AC214" s="22"/>
    </row>
    <row r="215" spans="2:29" s="360" customFormat="1" outlineLevel="1">
      <c r="B215" s="359"/>
      <c r="E215" s="361" t="s">
        <v>123</v>
      </c>
      <c r="F215" s="362" t="s">
        <v>124</v>
      </c>
      <c r="G215" s="363" t="e">
        <f t="shared" ref="G215:I215" si="13">(43.7+20+13+10+0.5+5+3.2*2+7.2+5.4+6.3+3+6.5+10.4+23.8)*F215</f>
        <v>#VALUE!</v>
      </c>
      <c r="H215" s="363" t="e">
        <f t="shared" si="13"/>
        <v>#VALUE!</v>
      </c>
      <c r="I215" s="363" t="e">
        <f t="shared" si="13"/>
        <v>#VALUE!</v>
      </c>
      <c r="J215" s="50"/>
      <c r="K215" s="364">
        <f>Z211</f>
        <v>13.909562500000002</v>
      </c>
      <c r="L215" s="157"/>
      <c r="M215" s="157"/>
      <c r="R215" s="365"/>
      <c r="T215" s="51"/>
      <c r="V215" s="66" t="s">
        <v>296</v>
      </c>
      <c r="W215" s="22"/>
      <c r="X215" s="22"/>
      <c r="Y215" s="22">
        <f>'SO.04 vyvýšené sezení'!X113</f>
        <v>15.368799999999997</v>
      </c>
      <c r="Z215" s="22">
        <f>'SO.04 vyvýšené sezení'!W113</f>
        <v>1.6570625000000001</v>
      </c>
      <c r="AA215" s="22"/>
      <c r="AB215" s="22"/>
      <c r="AC215" s="22"/>
    </row>
    <row r="216" spans="2:29" s="360" customFormat="1" outlineLevel="1">
      <c r="B216" s="359"/>
      <c r="E216" s="360" t="s">
        <v>304</v>
      </c>
      <c r="F216" s="362" t="s">
        <v>124</v>
      </c>
      <c r="G216" s="363" t="e">
        <f t="shared" ref="G216" si="14">(43.7+20+13+10+0.5+5+3.2*2+7.2+5.4+6.3+3+6.5+10.4+23.8)*F216</f>
        <v>#VALUE!</v>
      </c>
      <c r="H216" s="363" t="e">
        <f t="shared" ref="H216" si="15">(43.7+20+13+10+0.5+5+3.2*2+7.2+5.4+6.3+3+6.5+10.4+23.8)*G216</f>
        <v>#VALUE!</v>
      </c>
      <c r="I216" s="363" t="e">
        <f t="shared" ref="I216" si="16">(43.7+20+13+10+0.5+5+3.2*2+7.2+5.4+6.3+3+6.5+10.4+23.8)*H216</f>
        <v>#VALUE!</v>
      </c>
      <c r="J216" s="50"/>
      <c r="K216" s="364">
        <f>AA211</f>
        <v>10.3125</v>
      </c>
      <c r="L216" s="157"/>
      <c r="M216" s="157"/>
      <c r="R216" s="365"/>
      <c r="T216" s="51"/>
      <c r="V216" s="66" t="s">
        <v>297</v>
      </c>
      <c r="W216" s="22"/>
      <c r="X216" s="22"/>
      <c r="Y216" s="22">
        <f>'SO.05 ohradní zeď'!X113</f>
        <v>0.83520000000000005</v>
      </c>
      <c r="Z216" s="22">
        <f>'SO.05 ohradní zeď'!Y113</f>
        <v>1.0875000000000001</v>
      </c>
      <c r="AA216" s="22">
        <f>'SO.05 ohradní zeď'!W113</f>
        <v>0.65249999999999997</v>
      </c>
      <c r="AB216" s="22"/>
      <c r="AC216" s="22"/>
    </row>
    <row r="217" spans="2:29" s="360" customFormat="1" ht="10.199999999999999" customHeight="1" outlineLevel="1">
      <c r="B217" s="359"/>
      <c r="E217" s="361" t="s">
        <v>125</v>
      </c>
      <c r="F217" s="362"/>
      <c r="G217" s="363"/>
      <c r="H217" s="363"/>
      <c r="I217" s="363"/>
      <c r="J217" s="50"/>
      <c r="K217" s="364">
        <f>V211</f>
        <v>1309.1854624999999</v>
      </c>
      <c r="L217" s="157"/>
      <c r="M217" s="157"/>
      <c r="R217" s="365"/>
      <c r="T217" s="51"/>
      <c r="V217" s="66" t="s">
        <v>298</v>
      </c>
      <c r="W217" s="22"/>
      <c r="X217" s="22"/>
      <c r="Y217" s="22">
        <f>'SO.06 sanace zdivo ZUŠ'!Y113</f>
        <v>436.2432</v>
      </c>
      <c r="Z217" s="22"/>
      <c r="AA217" s="22"/>
      <c r="AB217" s="22"/>
      <c r="AC217" s="22"/>
    </row>
    <row r="218" spans="2:29" s="354" customFormat="1" outlineLevel="1">
      <c r="B218" s="353"/>
      <c r="E218" s="358"/>
      <c r="F218" s="358"/>
      <c r="G218" s="358"/>
      <c r="H218" s="358"/>
      <c r="I218" s="358"/>
      <c r="J218" s="358"/>
      <c r="K218" s="358"/>
      <c r="L218" s="156"/>
      <c r="M218" s="156"/>
      <c r="R218" s="356"/>
      <c r="T218" s="52"/>
      <c r="V218" s="66" t="s">
        <v>299</v>
      </c>
      <c r="W218" s="68"/>
      <c r="Y218" s="22">
        <f>'SO.07 přípojka vodovod'!D28</f>
        <v>6.6560000000000006</v>
      </c>
    </row>
    <row r="219" spans="2:29" outlineLevel="1">
      <c r="B219" s="209"/>
      <c r="C219" s="277">
        <f>C207+1</f>
        <v>29</v>
      </c>
      <c r="D219" s="277" t="s">
        <v>52</v>
      </c>
      <c r="E219" s="278">
        <v>997013501</v>
      </c>
      <c r="F219" s="279" t="s">
        <v>126</v>
      </c>
      <c r="G219" s="279"/>
      <c r="H219" s="279"/>
      <c r="I219" s="279"/>
      <c r="J219" s="38" t="s">
        <v>56</v>
      </c>
      <c r="K219" s="281">
        <f>K217</f>
        <v>1309.1854624999999</v>
      </c>
      <c r="L219" s="91"/>
      <c r="M219" s="91"/>
      <c r="N219" s="280">
        <f>ROUND(L219*K219,2)</f>
        <v>0</v>
      </c>
      <c r="O219" s="280"/>
      <c r="P219" s="280"/>
      <c r="Q219" s="280"/>
      <c r="R219" s="210"/>
      <c r="T219" s="25"/>
      <c r="V219" s="66" t="s">
        <v>300</v>
      </c>
      <c r="Y219" s="22">
        <f>'SO.08 dešťová kanalizace'!D40</f>
        <v>6.48</v>
      </c>
    </row>
    <row r="220" spans="2:29" outlineLevel="1">
      <c r="B220" s="209"/>
      <c r="C220" s="277">
        <f>C219+1</f>
        <v>30</v>
      </c>
      <c r="D220" s="277" t="s">
        <v>52</v>
      </c>
      <c r="E220" s="278">
        <v>997013509</v>
      </c>
      <c r="F220" s="279" t="s">
        <v>129</v>
      </c>
      <c r="G220" s="279"/>
      <c r="H220" s="279"/>
      <c r="I220" s="279"/>
      <c r="J220" s="38" t="s">
        <v>56</v>
      </c>
      <c r="K220" s="281">
        <f>SUM(K221:K221)</f>
        <v>24874.523787499998</v>
      </c>
      <c r="L220" s="91"/>
      <c r="M220" s="91"/>
      <c r="N220" s="280">
        <f>ROUND(L220*K220,2)</f>
        <v>0</v>
      </c>
      <c r="O220" s="280"/>
      <c r="P220" s="280"/>
      <c r="Q220" s="280"/>
      <c r="R220" s="210"/>
      <c r="T220" s="25"/>
      <c r="V220" s="66" t="s">
        <v>301</v>
      </c>
    </row>
    <row r="221" spans="2:29" s="360" customFormat="1" outlineLevel="1">
      <c r="B221" s="359"/>
      <c r="E221" s="361" t="s">
        <v>127</v>
      </c>
      <c r="F221" s="362" t="s">
        <v>128</v>
      </c>
      <c r="G221" s="363"/>
      <c r="H221" s="363"/>
      <c r="I221" s="363"/>
      <c r="J221" s="73">
        <v>19</v>
      </c>
      <c r="K221" s="364">
        <f>K219*J221</f>
        <v>24874.523787499998</v>
      </c>
      <c r="L221" s="157"/>
      <c r="M221" s="157"/>
      <c r="R221" s="365"/>
      <c r="T221" s="51"/>
      <c r="W221" s="22"/>
      <c r="X221" s="22"/>
      <c r="Y221" s="22"/>
      <c r="Z221" s="22"/>
      <c r="AA221" s="22"/>
      <c r="AB221" s="22"/>
      <c r="AC221" s="22"/>
    </row>
    <row r="222" spans="2:29" ht="27" customHeight="1" outlineLevel="1">
      <c r="B222" s="209"/>
      <c r="C222" s="277">
        <f t="shared" ref="C222" si="17">C220+1</f>
        <v>31</v>
      </c>
      <c r="D222" s="277" t="s">
        <v>52</v>
      </c>
      <c r="E222" s="278">
        <v>997013861</v>
      </c>
      <c r="F222" s="279" t="s">
        <v>131</v>
      </c>
      <c r="G222" s="279"/>
      <c r="H222" s="279"/>
      <c r="I222" s="279"/>
      <c r="J222" s="38" t="s">
        <v>56</v>
      </c>
      <c r="K222" s="281">
        <f>W211</f>
        <v>132.74791999999999</v>
      </c>
      <c r="L222" s="91"/>
      <c r="M222" s="91"/>
      <c r="N222" s="280">
        <f>ROUND(L222*K222,2)</f>
        <v>0</v>
      </c>
      <c r="O222" s="280"/>
      <c r="P222" s="280"/>
      <c r="Q222" s="280"/>
      <c r="R222" s="210"/>
      <c r="T222" s="25"/>
      <c r="Z222" s="141"/>
      <c r="AA222" s="141"/>
      <c r="AB222" s="141"/>
      <c r="AC222" s="141"/>
    </row>
    <row r="223" spans="2:29" ht="27" customHeight="1" outlineLevel="1">
      <c r="B223" s="209"/>
      <c r="C223" s="277">
        <f t="shared" ref="C223:C226" si="18">C222+1</f>
        <v>32</v>
      </c>
      <c r="D223" s="277" t="s">
        <v>52</v>
      </c>
      <c r="E223" s="278">
        <v>997013863</v>
      </c>
      <c r="F223" s="279" t="s">
        <v>366</v>
      </c>
      <c r="G223" s="279"/>
      <c r="H223" s="279"/>
      <c r="I223" s="279"/>
      <c r="J223" s="38" t="s">
        <v>56</v>
      </c>
      <c r="K223" s="281">
        <f>AA211</f>
        <v>10.3125</v>
      </c>
      <c r="L223" s="91"/>
      <c r="M223" s="91"/>
      <c r="N223" s="280">
        <f t="shared" ref="N223" si="19">ROUND(L223*K223,2)</f>
        <v>0</v>
      </c>
      <c r="O223" s="280"/>
      <c r="P223" s="280"/>
      <c r="Q223" s="280"/>
      <c r="R223" s="210"/>
      <c r="T223" s="25"/>
      <c r="Z223" s="141"/>
      <c r="AA223" s="141"/>
      <c r="AB223" s="141"/>
      <c r="AC223" s="141"/>
    </row>
    <row r="224" spans="2:29" ht="27" customHeight="1" outlineLevel="1">
      <c r="B224" s="209"/>
      <c r="C224" s="277">
        <f t="shared" si="18"/>
        <v>33</v>
      </c>
      <c r="D224" s="277" t="s">
        <v>52</v>
      </c>
      <c r="E224" s="278">
        <v>997013645</v>
      </c>
      <c r="F224" s="279" t="s">
        <v>829</v>
      </c>
      <c r="G224" s="279"/>
      <c r="H224" s="279"/>
      <c r="I224" s="279"/>
      <c r="J224" s="38" t="s">
        <v>56</v>
      </c>
      <c r="K224" s="281">
        <f>X211</f>
        <v>224.79599999999999</v>
      </c>
      <c r="L224" s="91"/>
      <c r="M224" s="91"/>
      <c r="N224" s="280">
        <f t="shared" ref="N224:N226" si="20">ROUND(L224*K224,2)</f>
        <v>0</v>
      </c>
      <c r="O224" s="280"/>
      <c r="P224" s="280"/>
      <c r="Q224" s="280"/>
      <c r="R224" s="210"/>
      <c r="T224" s="25"/>
      <c r="Z224" s="141"/>
      <c r="AA224" s="141"/>
      <c r="AB224" s="141"/>
      <c r="AC224" s="141"/>
    </row>
    <row r="225" spans="2:29" ht="27" customHeight="1" outlineLevel="1">
      <c r="B225" s="209"/>
      <c r="C225" s="277">
        <f t="shared" si="18"/>
        <v>34</v>
      </c>
      <c r="D225" s="277" t="s">
        <v>52</v>
      </c>
      <c r="E225" s="278">
        <v>997013873</v>
      </c>
      <c r="F225" s="279" t="s">
        <v>133</v>
      </c>
      <c r="G225" s="279"/>
      <c r="H225" s="279"/>
      <c r="I225" s="279"/>
      <c r="J225" s="38" t="s">
        <v>56</v>
      </c>
      <c r="K225" s="281">
        <f>Y211</f>
        <v>927.41947999999991</v>
      </c>
      <c r="L225" s="91"/>
      <c r="M225" s="91"/>
      <c r="N225" s="280">
        <f t="shared" si="20"/>
        <v>0</v>
      </c>
      <c r="O225" s="280"/>
      <c r="P225" s="280"/>
      <c r="Q225" s="280"/>
      <c r="R225" s="210"/>
      <c r="T225" s="25"/>
      <c r="Z225" s="141"/>
      <c r="AA225" s="141"/>
      <c r="AB225" s="141"/>
      <c r="AC225" s="141"/>
    </row>
    <row r="226" spans="2:29" ht="27" customHeight="1" outlineLevel="1">
      <c r="B226" s="209"/>
      <c r="C226" s="277">
        <f t="shared" si="18"/>
        <v>35</v>
      </c>
      <c r="D226" s="277" t="s">
        <v>52</v>
      </c>
      <c r="E226" s="278">
        <v>997013871</v>
      </c>
      <c r="F226" s="279" t="s">
        <v>132</v>
      </c>
      <c r="G226" s="279"/>
      <c r="H226" s="279"/>
      <c r="I226" s="279"/>
      <c r="J226" s="38" t="s">
        <v>56</v>
      </c>
      <c r="K226" s="281">
        <f>Z211</f>
        <v>13.909562500000002</v>
      </c>
      <c r="L226" s="91"/>
      <c r="M226" s="91"/>
      <c r="N226" s="280">
        <f t="shared" si="20"/>
        <v>0</v>
      </c>
      <c r="O226" s="280"/>
      <c r="P226" s="280"/>
      <c r="Q226" s="280"/>
      <c r="R226" s="210"/>
      <c r="T226" s="25"/>
      <c r="Z226" s="141"/>
      <c r="AA226" s="141"/>
      <c r="AB226" s="141"/>
      <c r="AC226" s="141"/>
    </row>
    <row r="227" spans="2:29">
      <c r="B227" s="231"/>
      <c r="C227" s="232"/>
      <c r="D227" s="232"/>
      <c r="E227" s="232"/>
      <c r="F227" s="232"/>
      <c r="G227" s="232"/>
      <c r="H227" s="232"/>
      <c r="I227" s="232"/>
      <c r="J227" s="62"/>
      <c r="K227" s="232"/>
      <c r="L227" s="232"/>
      <c r="M227" s="232"/>
      <c r="N227" s="232"/>
      <c r="O227" s="232"/>
      <c r="P227" s="232"/>
      <c r="Q227" s="232"/>
      <c r="R227" s="233"/>
    </row>
  </sheetData>
  <sheetProtection algorithmName="SHA-512" hashValue="Oec+ssWEQkzOv4tdMkaD4EO8rDbNHD/vOwacPVu7uMiQqWESLGCdjKGdzzEi5CtsHDCC4MF7Ka5LL5RTqlo0hA==" saltValue="E1E4Ti+UnTmOb9BDEjcZkQ==" spinCount="100000" sheet="1" objects="1" scenarios="1"/>
  <mergeCells count="245">
    <mergeCell ref="F173:I173"/>
    <mergeCell ref="F174:I174"/>
    <mergeCell ref="F148:I148"/>
    <mergeCell ref="L148:M148"/>
    <mergeCell ref="N148:Q148"/>
    <mergeCell ref="F149:I149"/>
    <mergeCell ref="F152:I152"/>
    <mergeCell ref="L152:M152"/>
    <mergeCell ref="N152:Q152"/>
    <mergeCell ref="F153:I153"/>
    <mergeCell ref="F154:I154"/>
    <mergeCell ref="F150:I150"/>
    <mergeCell ref="L150:M150"/>
    <mergeCell ref="N150:Q150"/>
    <mergeCell ref="F151:I151"/>
    <mergeCell ref="F160:I160"/>
    <mergeCell ref="E172:I172"/>
    <mergeCell ref="L172:M172"/>
    <mergeCell ref="N172:Q172"/>
    <mergeCell ref="N163:Q163"/>
    <mergeCell ref="F164:I164"/>
    <mergeCell ref="F165:I165"/>
    <mergeCell ref="F199:I199"/>
    <mergeCell ref="F198:I198"/>
    <mergeCell ref="L199:M199"/>
    <mergeCell ref="N199:Q199"/>
    <mergeCell ref="F191:I191"/>
    <mergeCell ref="F192:I192"/>
    <mergeCell ref="F189:I189"/>
    <mergeCell ref="F190:I190"/>
    <mergeCell ref="F194:I194"/>
    <mergeCell ref="L190:M190"/>
    <mergeCell ref="N190:Q190"/>
    <mergeCell ref="F193:I193"/>
    <mergeCell ref="L193:M193"/>
    <mergeCell ref="N193:Q193"/>
    <mergeCell ref="F195:I195"/>
    <mergeCell ref="F175:I175"/>
    <mergeCell ref="F176:I176"/>
    <mergeCell ref="F177:I177"/>
    <mergeCell ref="F178:I178"/>
    <mergeCell ref="F179:I179"/>
    <mergeCell ref="F180:I180"/>
    <mergeCell ref="F188:I188"/>
    <mergeCell ref="L188:M188"/>
    <mergeCell ref="N188:Q188"/>
    <mergeCell ref="F183:I183"/>
    <mergeCell ref="L183:M183"/>
    <mergeCell ref="N183:Q183"/>
    <mergeCell ref="F184:I184"/>
    <mergeCell ref="F185:I185"/>
    <mergeCell ref="L185:M185"/>
    <mergeCell ref="N185:Q185"/>
    <mergeCell ref="F186:I186"/>
    <mergeCell ref="F187:I187"/>
    <mergeCell ref="F181:I181"/>
    <mergeCell ref="L181:M181"/>
    <mergeCell ref="N181:Q181"/>
    <mergeCell ref="F182:I182"/>
    <mergeCell ref="F125:I125"/>
    <mergeCell ref="F138:I138"/>
    <mergeCell ref="F127:I127"/>
    <mergeCell ref="L127:M127"/>
    <mergeCell ref="N127:Q127"/>
    <mergeCell ref="F128:I128"/>
    <mergeCell ref="F129:I129"/>
    <mergeCell ref="F130:I130"/>
    <mergeCell ref="L130:M130"/>
    <mergeCell ref="N130:Q130"/>
    <mergeCell ref="F131:I131"/>
    <mergeCell ref="F132:I132"/>
    <mergeCell ref="L132:M132"/>
    <mergeCell ref="N132:Q132"/>
    <mergeCell ref="F141:I141"/>
    <mergeCell ref="F142:I142"/>
    <mergeCell ref="N110:Q110"/>
    <mergeCell ref="N210:Q210"/>
    <mergeCell ref="N157:Q157"/>
    <mergeCell ref="F158:I158"/>
    <mergeCell ref="L140:M140"/>
    <mergeCell ref="N140:Q140"/>
    <mergeCell ref="F143:I143"/>
    <mergeCell ref="F144:I144"/>
    <mergeCell ref="F145:I145"/>
    <mergeCell ref="F146:I146"/>
    <mergeCell ref="F133:I133"/>
    <mergeCell ref="F134:I134"/>
    <mergeCell ref="F166:I166"/>
    <mergeCell ref="F170:I170"/>
    <mergeCell ref="L170:M170"/>
    <mergeCell ref="N170:Q170"/>
    <mergeCell ref="F161:I161"/>
    <mergeCell ref="L161:M161"/>
    <mergeCell ref="N161:Q161"/>
    <mergeCell ref="F162:I162"/>
    <mergeCell ref="F163:I163"/>
    <mergeCell ref="L163:M163"/>
    <mergeCell ref="N111:Q111"/>
    <mergeCell ref="F108:I108"/>
    <mergeCell ref="L108:M108"/>
    <mergeCell ref="N108:Q108"/>
    <mergeCell ref="N109:Q109"/>
    <mergeCell ref="L90:Q90"/>
    <mergeCell ref="C96:Q96"/>
    <mergeCell ref="F98:P98"/>
    <mergeCell ref="F99:P99"/>
    <mergeCell ref="M103:Q103"/>
    <mergeCell ref="M104:Q104"/>
    <mergeCell ref="F105:P105"/>
    <mergeCell ref="F106:P106"/>
    <mergeCell ref="M101:P101"/>
    <mergeCell ref="F103:J103"/>
    <mergeCell ref="C2:Q2"/>
    <mergeCell ref="F4:P4"/>
    <mergeCell ref="F5:P5"/>
    <mergeCell ref="O7:P7"/>
    <mergeCell ref="F9:L9"/>
    <mergeCell ref="O9:P9"/>
    <mergeCell ref="O21:P21"/>
    <mergeCell ref="C73:Q73"/>
    <mergeCell ref="F75:P75"/>
    <mergeCell ref="O10:P10"/>
    <mergeCell ref="F12:I12"/>
    <mergeCell ref="O12:P12"/>
    <mergeCell ref="O13:P13"/>
    <mergeCell ref="O15:P15"/>
    <mergeCell ref="O16:P16"/>
    <mergeCell ref="O18:P18"/>
    <mergeCell ref="O19:P19"/>
    <mergeCell ref="D25:E25"/>
    <mergeCell ref="G25:P25"/>
    <mergeCell ref="M28:P28"/>
    <mergeCell ref="M30:P30"/>
    <mergeCell ref="H32:J32"/>
    <mergeCell ref="L35:P35"/>
    <mergeCell ref="M32:P32"/>
    <mergeCell ref="E22:P22"/>
    <mergeCell ref="N88:Q88"/>
    <mergeCell ref="H33:J33"/>
    <mergeCell ref="M33:P33"/>
    <mergeCell ref="N87:Q87"/>
    <mergeCell ref="M78:P78"/>
    <mergeCell ref="F80:J80"/>
    <mergeCell ref="M80:Q80"/>
    <mergeCell ref="M81:Q81"/>
    <mergeCell ref="C83:G83"/>
    <mergeCell ref="N83:Q83"/>
    <mergeCell ref="N85:Q85"/>
    <mergeCell ref="N86:Q86"/>
    <mergeCell ref="F76:P76"/>
    <mergeCell ref="F114:I114"/>
    <mergeCell ref="E113:I113"/>
    <mergeCell ref="L113:M113"/>
    <mergeCell ref="N113:Q113"/>
    <mergeCell ref="F115:I115"/>
    <mergeCell ref="F116:I116"/>
    <mergeCell ref="F117:I117"/>
    <mergeCell ref="F204:I204"/>
    <mergeCell ref="L204:M204"/>
    <mergeCell ref="N204:Q204"/>
    <mergeCell ref="F168:I168"/>
    <mergeCell ref="L168:M168"/>
    <mergeCell ref="N168:Q168"/>
    <mergeCell ref="F169:I169"/>
    <mergeCell ref="L120:M120"/>
    <mergeCell ref="N120:Q120"/>
    <mergeCell ref="F122:I122"/>
    <mergeCell ref="L122:M122"/>
    <mergeCell ref="N122:Q122"/>
    <mergeCell ref="F123:I123"/>
    <mergeCell ref="F124:I124"/>
    <mergeCell ref="L124:M124"/>
    <mergeCell ref="N124:Q124"/>
    <mergeCell ref="F121:I121"/>
    <mergeCell ref="F226:I226"/>
    <mergeCell ref="F222:I222"/>
    <mergeCell ref="L222:M222"/>
    <mergeCell ref="N222:Q222"/>
    <mergeCell ref="L226:M226"/>
    <mergeCell ref="N226:Q226"/>
    <mergeCell ref="F118:I118"/>
    <mergeCell ref="L118:M118"/>
    <mergeCell ref="N118:Q118"/>
    <mergeCell ref="F119:I119"/>
    <mergeCell ref="F120:I120"/>
    <mergeCell ref="L165:M165"/>
    <mergeCell ref="N165:Q165"/>
    <mergeCell ref="F147:I147"/>
    <mergeCell ref="F155:I155"/>
    <mergeCell ref="L155:M155"/>
    <mergeCell ref="N155:Q155"/>
    <mergeCell ref="F156:I156"/>
    <mergeCell ref="F157:I157"/>
    <mergeCell ref="L157:M157"/>
    <mergeCell ref="F167:I167"/>
    <mergeCell ref="F159:I159"/>
    <mergeCell ref="L159:M159"/>
    <mergeCell ref="N159:Q159"/>
    <mergeCell ref="F207:I207"/>
    <mergeCell ref="L207:M207"/>
    <mergeCell ref="N207:Q207"/>
    <mergeCell ref="F208:I208"/>
    <mergeCell ref="E140:I140"/>
    <mergeCell ref="F126:I126"/>
    <mergeCell ref="F135:I135"/>
    <mergeCell ref="L135:M135"/>
    <mergeCell ref="N135:Q135"/>
    <mergeCell ref="F136:I136"/>
    <mergeCell ref="L137:M137"/>
    <mergeCell ref="N137:Q137"/>
    <mergeCell ref="F137:I137"/>
    <mergeCell ref="E201:I201"/>
    <mergeCell ref="L201:M201"/>
    <mergeCell ref="N201:Q201"/>
    <mergeCell ref="F206:I206"/>
    <mergeCell ref="F203:I203"/>
    <mergeCell ref="L203:M203"/>
    <mergeCell ref="N203:Q203"/>
    <mergeCell ref="F205:I205"/>
    <mergeCell ref="E197:I197"/>
    <mergeCell ref="L197:M197"/>
    <mergeCell ref="N197:Q197"/>
    <mergeCell ref="N220:Q220"/>
    <mergeCell ref="N219:Q219"/>
    <mergeCell ref="E211:K211"/>
    <mergeCell ref="F224:I224"/>
    <mergeCell ref="F223:I223"/>
    <mergeCell ref="L223:M223"/>
    <mergeCell ref="N223:Q223"/>
    <mergeCell ref="F225:I225"/>
    <mergeCell ref="F219:I219"/>
    <mergeCell ref="L219:M219"/>
    <mergeCell ref="F220:I220"/>
    <mergeCell ref="F217:I217"/>
    <mergeCell ref="L220:M220"/>
    <mergeCell ref="F216:I216"/>
    <mergeCell ref="L225:M225"/>
    <mergeCell ref="N225:Q225"/>
    <mergeCell ref="F212:I212"/>
    <mergeCell ref="F213:I213"/>
    <mergeCell ref="F214:I214"/>
    <mergeCell ref="F215:I215"/>
    <mergeCell ref="F221:I221"/>
    <mergeCell ref="L224:M224"/>
    <mergeCell ref="N224:Q2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1649-155A-4FB8-9025-0999617BC8A7}">
  <sheetPr>
    <pageSetUpPr fitToPage="1"/>
  </sheetPr>
  <dimension ref="B1:AI219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3" width="11.42578125" style="141" hidden="1" customWidth="1" outlineLevel="1"/>
    <col min="24" max="24" width="11.42578125" style="142" customWidth="1" collapsed="1"/>
    <col min="25" max="26" width="11.42578125" style="142" customWidth="1"/>
    <col min="27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667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SO.02 revitalizace veřejné komunikace, chodníku a parkoviště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2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2">
      <c r="B82" s="209"/>
      <c r="J82" s="26"/>
      <c r="R82" s="210"/>
    </row>
    <row r="83" spans="2:22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K113</f>
        <v>949.7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2">
      <c r="B84" s="209"/>
      <c r="J84" s="26"/>
      <c r="R84" s="210"/>
    </row>
    <row r="85" spans="2:22" ht="15.6">
      <c r="B85" s="209"/>
      <c r="C85" s="237" t="s">
        <v>44</v>
      </c>
      <c r="J85" s="26"/>
      <c r="K85" s="42">
        <f t="shared" ref="K85:K89" si="0">N85/$I$83</f>
        <v>0</v>
      </c>
      <c r="N85" s="179">
        <f>N86</f>
        <v>0</v>
      </c>
      <c r="O85" s="238"/>
      <c r="P85" s="238"/>
      <c r="Q85" s="238"/>
      <c r="R85" s="210"/>
      <c r="T85" s="31">
        <f>SUM(N85:Q89)/3</f>
        <v>0</v>
      </c>
    </row>
    <row r="86" spans="2:22" s="348" customFormat="1" ht="15">
      <c r="B86" s="347"/>
      <c r="D86" s="349" t="str">
        <f>D111</f>
        <v>Stavební práce a dodávky</v>
      </c>
      <c r="J86" s="32"/>
      <c r="K86" s="43">
        <f t="shared" si="0"/>
        <v>0</v>
      </c>
      <c r="N86" s="350">
        <f>SUM(N87:Q89)</f>
        <v>0</v>
      </c>
      <c r="O86" s="351"/>
      <c r="P86" s="351"/>
      <c r="Q86" s="351"/>
      <c r="R86" s="352"/>
      <c r="T86" s="31">
        <f>SUM(N86:Q89)/2</f>
        <v>0</v>
      </c>
      <c r="U86" s="383"/>
      <c r="V86" s="383"/>
    </row>
    <row r="87" spans="2:22" s="246" customFormat="1" ht="13.2">
      <c r="B87" s="245"/>
      <c r="D87" s="247" t="str">
        <f>D113</f>
        <v xml:space="preserve">    1 - Zpevněné a nezpevněné plochy</v>
      </c>
      <c r="J87" s="33"/>
      <c r="K87" s="44">
        <f t="shared" si="0"/>
        <v>0</v>
      </c>
      <c r="N87" s="248">
        <f>N113</f>
        <v>0</v>
      </c>
      <c r="O87" s="249"/>
      <c r="P87" s="249"/>
      <c r="Q87" s="249"/>
      <c r="R87" s="250"/>
      <c r="T87" s="23"/>
      <c r="U87" s="192"/>
      <c r="V87" s="192"/>
    </row>
    <row r="88" spans="2:22" s="246" customFormat="1" ht="13.2">
      <c r="B88" s="245"/>
      <c r="D88" s="247" t="str">
        <f>D187</f>
        <v xml:space="preserve">    2 - Dopravní značení a ostatní</v>
      </c>
      <c r="J88" s="33"/>
      <c r="K88" s="44">
        <f t="shared" si="0"/>
        <v>0</v>
      </c>
      <c r="N88" s="248">
        <f>N187</f>
        <v>0</v>
      </c>
      <c r="O88" s="249"/>
      <c r="P88" s="249"/>
      <c r="Q88" s="249"/>
      <c r="R88" s="250"/>
      <c r="T88" s="23"/>
      <c r="U88" s="192"/>
      <c r="V88" s="192"/>
    </row>
    <row r="89" spans="2:22" s="246" customFormat="1" ht="13.2">
      <c r="B89" s="245"/>
      <c r="D89" s="247" t="str">
        <f>D217</f>
        <v xml:space="preserve">    998 - Přesuny hmot</v>
      </c>
      <c r="J89" s="33"/>
      <c r="K89" s="44">
        <f t="shared" si="0"/>
        <v>0</v>
      </c>
      <c r="N89" s="248">
        <f>N217</f>
        <v>0</v>
      </c>
      <c r="O89" s="249"/>
      <c r="P89" s="249"/>
      <c r="Q89" s="249"/>
      <c r="R89" s="250"/>
      <c r="U89" s="192"/>
      <c r="V89" s="192"/>
    </row>
    <row r="90" spans="2:22">
      <c r="B90" s="209"/>
      <c r="J90" s="26"/>
      <c r="R90" s="210"/>
    </row>
    <row r="91" spans="2:22" ht="15.6">
      <c r="B91" s="209"/>
      <c r="C91" s="202" t="s">
        <v>64</v>
      </c>
      <c r="D91" s="203"/>
      <c r="E91" s="203"/>
      <c r="F91" s="203"/>
      <c r="G91" s="203"/>
      <c r="H91" s="203"/>
      <c r="I91" s="203"/>
      <c r="J91" s="30"/>
      <c r="K91" s="45">
        <f>L91/$I$83</f>
        <v>0</v>
      </c>
      <c r="L91" s="204">
        <f>ROUND(N85,2)</f>
        <v>0</v>
      </c>
      <c r="M91" s="204"/>
      <c r="N91" s="204"/>
      <c r="O91" s="204"/>
      <c r="P91" s="204"/>
      <c r="Q91" s="204"/>
      <c r="R91" s="210"/>
    </row>
    <row r="92" spans="2:22">
      <c r="B92" s="231"/>
      <c r="C92" s="232"/>
      <c r="D92" s="232"/>
      <c r="E92" s="232"/>
      <c r="F92" s="232"/>
      <c r="G92" s="232"/>
      <c r="H92" s="232"/>
      <c r="I92" s="232"/>
      <c r="J92" s="62"/>
      <c r="K92" s="232"/>
      <c r="L92" s="232"/>
      <c r="M92" s="232"/>
      <c r="N92" s="232"/>
      <c r="O92" s="232"/>
      <c r="P92" s="232"/>
      <c r="Q92" s="232"/>
      <c r="R92" s="233"/>
    </row>
    <row r="96" spans="2:22">
      <c r="B96" s="206"/>
      <c r="C96" s="207"/>
      <c r="D96" s="207"/>
      <c r="E96" s="207"/>
      <c r="F96" s="207"/>
      <c r="G96" s="207"/>
      <c r="H96" s="207"/>
      <c r="I96" s="207"/>
      <c r="J96" s="61"/>
      <c r="K96" s="207"/>
      <c r="L96" s="207"/>
      <c r="M96" s="207"/>
      <c r="N96" s="207"/>
      <c r="O96" s="207"/>
      <c r="P96" s="207"/>
      <c r="Q96" s="207"/>
      <c r="R96" s="208"/>
    </row>
    <row r="97" spans="2:23" ht="21">
      <c r="B97" s="209"/>
      <c r="C97" s="146" t="s">
        <v>45</v>
      </c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210"/>
    </row>
    <row r="98" spans="2:23" ht="2.25" customHeight="1">
      <c r="B98" s="209"/>
      <c r="J98" s="26"/>
      <c r="R98" s="210"/>
    </row>
    <row r="99" spans="2:23" ht="11.4">
      <c r="B99" s="209"/>
      <c r="C99" s="140" t="s">
        <v>3</v>
      </c>
      <c r="F99" s="211" t="str">
        <f>F4</f>
        <v>Revitalizace veřejného prostoru v proluce mezi ZUŠ a domem čp. 23 vč. přilehlých prostor ul. Radniční</v>
      </c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R99" s="210"/>
    </row>
    <row r="100" spans="2:23" ht="15.6">
      <c r="B100" s="209"/>
      <c r="C100" s="135" t="s">
        <v>39</v>
      </c>
      <c r="F100" s="109" t="str">
        <f>F5</f>
        <v>SO.02 revitalizace veřejné komunikace, chodníku a parkoviště</v>
      </c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R100" s="210"/>
    </row>
    <row r="101" spans="2:23">
      <c r="B101" s="209"/>
      <c r="J101" s="26"/>
      <c r="R101" s="210"/>
    </row>
    <row r="102" spans="2:23" ht="11.4">
      <c r="B102" s="209"/>
      <c r="C102" s="140" t="s">
        <v>6</v>
      </c>
      <c r="F102" s="145" t="str">
        <f>F7</f>
        <v>Radniční ul. Bílina
p.č. 107, 120/1, 122, 125/1, 125/2, 125/3, 126, k.ú. Bílina [604208]</v>
      </c>
      <c r="J102" s="26"/>
      <c r="K102" s="140" t="s">
        <v>7</v>
      </c>
      <c r="M102" s="166">
        <f>IF(O7="","",O7)</f>
        <v>0</v>
      </c>
      <c r="N102" s="166"/>
      <c r="O102" s="166"/>
      <c r="P102" s="166"/>
      <c r="R102" s="210"/>
    </row>
    <row r="103" spans="2:23">
      <c r="B103" s="209"/>
      <c r="J103" s="26"/>
      <c r="R103" s="210"/>
    </row>
    <row r="104" spans="2:23" ht="48.75" customHeight="1">
      <c r="B104" s="209"/>
      <c r="C104" s="140" t="s">
        <v>8</v>
      </c>
      <c r="F104" s="127" t="str">
        <f>F80</f>
        <v>město Bílina
Břežanská 50/4, 418 31 Bílina</v>
      </c>
      <c r="G104" s="127"/>
      <c r="H104" s="127"/>
      <c r="I104" s="127"/>
      <c r="J104" s="127"/>
      <c r="K104" s="140" t="s">
        <v>13</v>
      </c>
      <c r="M104" s="136" t="str">
        <f>E16</f>
        <v xml:space="preserve">Ing. arch. MgA. Bořek Peška </v>
      </c>
      <c r="N104" s="136"/>
      <c r="O104" s="136"/>
      <c r="P104" s="136"/>
      <c r="Q104" s="136"/>
      <c r="R104" s="210"/>
    </row>
    <row r="105" spans="2:23" ht="11.4">
      <c r="B105" s="209"/>
      <c r="C105" s="140" t="s">
        <v>11</v>
      </c>
      <c r="F105" s="145">
        <f>F81</f>
        <v>0</v>
      </c>
      <c r="J105" s="26"/>
      <c r="K105" s="140" t="s">
        <v>14</v>
      </c>
      <c r="M105" s="136" t="str">
        <f>E19</f>
        <v>Jakub Kulhavý</v>
      </c>
      <c r="N105" s="136"/>
      <c r="O105" s="136"/>
      <c r="P105" s="136"/>
      <c r="Q105" s="136"/>
      <c r="R105" s="210"/>
    </row>
    <row r="106" spans="2:23" ht="11.4">
      <c r="B106" s="209"/>
      <c r="C106" s="140"/>
      <c r="F106" s="211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R106" s="210"/>
    </row>
    <row r="107" spans="2:23" ht="28.5" customHeight="1">
      <c r="B107" s="209"/>
      <c r="C107" s="140" t="s">
        <v>67</v>
      </c>
      <c r="F107" s="139" t="s">
        <v>103</v>
      </c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R107" s="210"/>
    </row>
    <row r="108" spans="2:23" ht="3.75" customHeight="1">
      <c r="B108" s="209"/>
      <c r="J108" s="26"/>
      <c r="R108" s="210"/>
    </row>
    <row r="109" spans="2:23" s="258" customFormat="1" ht="22.8">
      <c r="B109" s="251"/>
      <c r="C109" s="252" t="s">
        <v>46</v>
      </c>
      <c r="D109" s="253" t="s">
        <v>47</v>
      </c>
      <c r="E109" s="253" t="s">
        <v>34</v>
      </c>
      <c r="F109" s="254" t="s">
        <v>48</v>
      </c>
      <c r="G109" s="254"/>
      <c r="H109" s="254"/>
      <c r="I109" s="254"/>
      <c r="J109" s="34" t="s">
        <v>49</v>
      </c>
      <c r="K109" s="253" t="s">
        <v>50</v>
      </c>
      <c r="L109" s="255" t="s">
        <v>51</v>
      </c>
      <c r="M109" s="255"/>
      <c r="N109" s="254" t="s">
        <v>43</v>
      </c>
      <c r="O109" s="254"/>
      <c r="P109" s="254"/>
      <c r="Q109" s="256"/>
      <c r="R109" s="257"/>
      <c r="T109" s="24"/>
      <c r="U109" s="259"/>
      <c r="V109" s="259"/>
      <c r="W109" s="259"/>
    </row>
    <row r="110" spans="2:23" ht="15.6">
      <c r="B110" s="209"/>
      <c r="C110" s="176" t="s">
        <v>40</v>
      </c>
      <c r="J110" s="26"/>
      <c r="N110" s="260">
        <f>N111</f>
        <v>0</v>
      </c>
      <c r="O110" s="261"/>
      <c r="P110" s="261"/>
      <c r="Q110" s="261"/>
      <c r="R110" s="210"/>
      <c r="T110" s="22">
        <f>T111</f>
        <v>0</v>
      </c>
    </row>
    <row r="111" spans="2:23" s="266" customFormat="1" ht="15">
      <c r="B111" s="262"/>
      <c r="D111" s="349" t="s">
        <v>191</v>
      </c>
      <c r="E111" s="349"/>
      <c r="F111" s="349"/>
      <c r="G111" s="349"/>
      <c r="H111" s="349"/>
      <c r="I111" s="349"/>
      <c r="J111" s="35"/>
      <c r="K111" s="349"/>
      <c r="L111" s="349"/>
      <c r="M111" s="349"/>
      <c r="N111" s="350">
        <f>N113+N187+N217</f>
        <v>0</v>
      </c>
      <c r="O111" s="350"/>
      <c r="P111" s="350"/>
      <c r="Q111" s="350"/>
      <c r="R111" s="265"/>
      <c r="T111" s="25">
        <f>SUM(N111:Q218)/3</f>
        <v>0</v>
      </c>
      <c r="U111" s="141"/>
      <c r="V111" s="141"/>
    </row>
    <row r="112" spans="2:23" s="354" customFormat="1">
      <c r="B112" s="353"/>
      <c r="E112" s="355" t="s">
        <v>407</v>
      </c>
      <c r="F112" s="355"/>
      <c r="G112" s="355"/>
      <c r="H112" s="355"/>
      <c r="I112" s="355"/>
      <c r="J112" s="355"/>
      <c r="K112" s="355"/>
      <c r="R112" s="356"/>
      <c r="T112" s="52"/>
      <c r="U112" s="69"/>
      <c r="V112" s="69"/>
      <c r="W112" s="69"/>
    </row>
    <row r="113" spans="2:23" s="266" customFormat="1" ht="13.2">
      <c r="B113" s="262"/>
      <c r="C113" s="263"/>
      <c r="D113" s="263" t="s">
        <v>668</v>
      </c>
      <c r="E113" s="263"/>
      <c r="F113" s="263"/>
      <c r="G113" s="263"/>
      <c r="H113" s="263"/>
      <c r="I113" s="263"/>
      <c r="J113" s="36"/>
      <c r="K113" s="357">
        <f>K114+K117</f>
        <v>949.7</v>
      </c>
      <c r="L113" s="155"/>
      <c r="M113" s="155"/>
      <c r="N113" s="264">
        <f>SUM(N114:Q186)</f>
        <v>0</v>
      </c>
      <c r="O113" s="264"/>
      <c r="P113" s="264"/>
      <c r="Q113" s="264"/>
      <c r="R113" s="265"/>
      <c r="T113" s="37">
        <f>SUM(N113:Q186)/2</f>
        <v>0</v>
      </c>
      <c r="U113" s="141"/>
      <c r="V113" s="141" t="s">
        <v>118</v>
      </c>
    </row>
    <row r="114" spans="2:23" s="398" customFormat="1" ht="10.199999999999999" customHeight="1" outlineLevel="1">
      <c r="B114" s="397"/>
      <c r="E114" s="399" t="s">
        <v>669</v>
      </c>
      <c r="F114" s="400" t="s">
        <v>198</v>
      </c>
      <c r="G114" s="401"/>
      <c r="H114" s="401"/>
      <c r="I114" s="401"/>
      <c r="J114" s="55" t="s">
        <v>53</v>
      </c>
      <c r="K114" s="402">
        <f>SUM(K115:K116)</f>
        <v>69.2</v>
      </c>
      <c r="L114" s="158"/>
      <c r="M114" s="158"/>
      <c r="R114" s="403"/>
      <c r="T114" s="56"/>
      <c r="U114" s="375"/>
      <c r="V114" s="69">
        <f>SUM(V120:V213)</f>
        <v>253.43199999999999</v>
      </c>
      <c r="W114" s="69">
        <f>SUM(W120:W213)</f>
        <v>0</v>
      </c>
    </row>
    <row r="115" spans="2:23" s="360" customFormat="1" ht="10.199999999999999" customHeight="1" outlineLevel="1">
      <c r="B115" s="359"/>
      <c r="E115" s="361" t="s">
        <v>675</v>
      </c>
      <c r="F115" s="362" t="s">
        <v>671</v>
      </c>
      <c r="G115" s="363"/>
      <c r="H115" s="363"/>
      <c r="I115" s="363"/>
      <c r="J115" s="50" t="s">
        <v>53</v>
      </c>
      <c r="K115" s="364">
        <f>32.5+36.7</f>
        <v>69.2</v>
      </c>
      <c r="L115" s="157"/>
      <c r="M115" s="157"/>
      <c r="R115" s="365"/>
      <c r="T115" s="51"/>
      <c r="U115" s="66"/>
      <c r="V115" s="66"/>
      <c r="W115" s="66"/>
    </row>
    <row r="116" spans="2:23" s="360" customFormat="1" ht="10.199999999999999" customHeight="1" outlineLevel="1">
      <c r="B116" s="359"/>
      <c r="E116" s="361"/>
      <c r="F116" s="362"/>
      <c r="G116" s="363"/>
      <c r="H116" s="363"/>
      <c r="I116" s="363"/>
      <c r="J116" s="50"/>
      <c r="K116" s="364"/>
      <c r="L116" s="157"/>
      <c r="M116" s="157"/>
      <c r="R116" s="365"/>
      <c r="T116" s="51"/>
      <c r="U116" s="66"/>
      <c r="V116" s="66"/>
      <c r="W116" s="66"/>
    </row>
    <row r="117" spans="2:23" s="398" customFormat="1" ht="10.199999999999999" customHeight="1" outlineLevel="1">
      <c r="B117" s="397"/>
      <c r="E117" s="399" t="s">
        <v>670</v>
      </c>
      <c r="F117" s="400" t="s">
        <v>198</v>
      </c>
      <c r="G117" s="401"/>
      <c r="H117" s="401"/>
      <c r="I117" s="401"/>
      <c r="J117" s="55" t="s">
        <v>53</v>
      </c>
      <c r="K117" s="402">
        <f>SUM(K118:K119)</f>
        <v>880.5</v>
      </c>
      <c r="L117" s="158"/>
      <c r="M117" s="158"/>
      <c r="R117" s="403"/>
      <c r="T117" s="56"/>
      <c r="U117" s="375"/>
      <c r="V117" s="69"/>
      <c r="W117" s="69">
        <f>SUM(W124:W213)</f>
        <v>0</v>
      </c>
    </row>
    <row r="118" spans="2:23" s="360" customFormat="1" ht="10.199999999999999" customHeight="1" outlineLevel="1">
      <c r="B118" s="359"/>
      <c r="E118" s="361" t="s">
        <v>676</v>
      </c>
      <c r="F118" s="362" t="s">
        <v>672</v>
      </c>
      <c r="G118" s="363"/>
      <c r="H118" s="363"/>
      <c r="I118" s="363"/>
      <c r="J118" s="50" t="s">
        <v>53</v>
      </c>
      <c r="K118" s="364">
        <f>41.5+249.8+392</f>
        <v>683.3</v>
      </c>
      <c r="L118" s="157"/>
      <c r="M118" s="157"/>
      <c r="R118" s="365"/>
      <c r="T118" s="51"/>
      <c r="U118" s="66"/>
      <c r="V118" s="66"/>
      <c r="W118" s="66"/>
    </row>
    <row r="119" spans="2:23" s="360" customFormat="1" ht="10.199999999999999" customHeight="1" outlineLevel="1">
      <c r="B119" s="359"/>
      <c r="E119" s="361"/>
      <c r="F119" s="362" t="s">
        <v>673</v>
      </c>
      <c r="G119" s="363"/>
      <c r="H119" s="363"/>
      <c r="I119" s="363"/>
      <c r="J119" s="50" t="s">
        <v>53</v>
      </c>
      <c r="K119" s="364">
        <v>197.2</v>
      </c>
      <c r="L119" s="157"/>
      <c r="M119" s="157"/>
      <c r="R119" s="365"/>
      <c r="T119" s="51"/>
      <c r="U119" s="66"/>
      <c r="V119" s="66"/>
      <c r="W119" s="66"/>
    </row>
    <row r="120" spans="2:23" s="360" customFormat="1" ht="10.199999999999999" customHeight="1" outlineLevel="1">
      <c r="B120" s="359"/>
      <c r="E120" s="361"/>
      <c r="F120" s="362"/>
      <c r="G120" s="363"/>
      <c r="H120" s="363"/>
      <c r="I120" s="363"/>
      <c r="J120" s="50"/>
      <c r="K120" s="364"/>
      <c r="L120" s="157"/>
      <c r="M120" s="157"/>
      <c r="R120" s="365"/>
      <c r="T120" s="51"/>
      <c r="U120" s="66"/>
      <c r="V120" s="66"/>
      <c r="W120" s="66"/>
    </row>
    <row r="121" spans="2:23" s="360" customFormat="1" ht="10.199999999999999" customHeight="1" outlineLevel="1">
      <c r="B121" s="359"/>
      <c r="E121" s="361" t="s">
        <v>312</v>
      </c>
      <c r="F121" s="362" t="s">
        <v>313</v>
      </c>
      <c r="G121" s="363"/>
      <c r="H121" s="363"/>
      <c r="I121" s="363"/>
      <c r="J121" s="50" t="s">
        <v>53</v>
      </c>
      <c r="K121" s="364">
        <f>1.8+49.3</f>
        <v>51.099999999999994</v>
      </c>
      <c r="L121" s="157"/>
      <c r="M121" s="157"/>
      <c r="R121" s="365"/>
      <c r="T121" s="51"/>
      <c r="U121" s="66"/>
      <c r="V121" s="66"/>
      <c r="W121" s="66"/>
    </row>
    <row r="122" spans="2:23" s="360" customFormat="1" ht="10.199999999999999" customHeight="1" outlineLevel="1">
      <c r="B122" s="359"/>
      <c r="E122" s="361" t="s">
        <v>674</v>
      </c>
      <c r="F122" s="362"/>
      <c r="G122" s="363"/>
      <c r="H122" s="363"/>
      <c r="I122" s="363"/>
      <c r="J122" s="50" t="s">
        <v>53</v>
      </c>
      <c r="K122" s="364">
        <f>59.9+44.3+26.4+109.9</f>
        <v>240.5</v>
      </c>
      <c r="L122" s="157"/>
      <c r="M122" s="157"/>
      <c r="R122" s="365"/>
      <c r="T122" s="51"/>
      <c r="U122" s="66"/>
      <c r="V122" s="66"/>
      <c r="W122" s="66"/>
    </row>
    <row r="123" spans="2:23" s="360" customFormat="1" ht="10.199999999999999" customHeight="1" outlineLevel="1">
      <c r="B123" s="359"/>
      <c r="E123" s="361"/>
      <c r="F123" s="362"/>
      <c r="G123" s="363"/>
      <c r="H123" s="363"/>
      <c r="I123" s="363"/>
      <c r="J123" s="50"/>
      <c r="K123" s="364"/>
      <c r="L123" s="157"/>
      <c r="M123" s="157"/>
      <c r="R123" s="365"/>
      <c r="T123" s="51"/>
      <c r="U123" s="66"/>
      <c r="V123" s="66"/>
      <c r="W123" s="66"/>
    </row>
    <row r="124" spans="2:23" s="275" customFormat="1" outlineLevel="1">
      <c r="B124" s="267"/>
      <c r="C124" s="268"/>
      <c r="D124" s="268"/>
      <c r="E124" s="269" t="s">
        <v>331</v>
      </c>
      <c r="F124" s="270"/>
      <c r="G124" s="270"/>
      <c r="H124" s="270"/>
      <c r="I124" s="271"/>
      <c r="J124" s="49"/>
      <c r="K124" s="272"/>
      <c r="L124" s="92"/>
      <c r="M124" s="92"/>
      <c r="N124" s="273"/>
      <c r="O124" s="273"/>
      <c r="P124" s="273"/>
      <c r="Q124" s="273"/>
      <c r="R124" s="274"/>
      <c r="T124" s="48"/>
      <c r="U124" s="69"/>
      <c r="V124" s="69"/>
      <c r="W124" s="69"/>
    </row>
    <row r="125" spans="2:23" ht="27" customHeight="1" outlineLevel="1">
      <c r="B125" s="209"/>
      <c r="C125" s="277">
        <v>1</v>
      </c>
      <c r="D125" s="277" t="s">
        <v>52</v>
      </c>
      <c r="E125" s="278">
        <v>122251104</v>
      </c>
      <c r="F125" s="279" t="s">
        <v>679</v>
      </c>
      <c r="G125" s="279"/>
      <c r="H125" s="279"/>
      <c r="I125" s="279"/>
      <c r="J125" s="38" t="s">
        <v>54</v>
      </c>
      <c r="K125" s="281">
        <f>SUM(K126:K126)</f>
        <v>132.07499999999999</v>
      </c>
      <c r="L125" s="91"/>
      <c r="M125" s="91"/>
      <c r="N125" s="280">
        <f>ROUND(L125*K125,2)</f>
        <v>0</v>
      </c>
      <c r="O125" s="280"/>
      <c r="P125" s="280"/>
      <c r="Q125" s="280"/>
      <c r="R125" s="210"/>
      <c r="T125" s="25"/>
      <c r="U125" s="141">
        <v>1.6</v>
      </c>
      <c r="V125" s="141">
        <f>U125*K125</f>
        <v>211.32</v>
      </c>
    </row>
    <row r="126" spans="2:23" s="360" customFormat="1" outlineLevel="1">
      <c r="B126" s="359"/>
      <c r="E126" s="361" t="s">
        <v>677</v>
      </c>
      <c r="F126" s="362" t="s">
        <v>678</v>
      </c>
      <c r="G126" s="363"/>
      <c r="H126" s="363"/>
      <c r="I126" s="363"/>
      <c r="J126" s="50">
        <v>0.15</v>
      </c>
      <c r="K126" s="364">
        <f>K117*J126</f>
        <v>132.07499999999999</v>
      </c>
      <c r="L126" s="157"/>
      <c r="M126" s="157"/>
      <c r="R126" s="365"/>
      <c r="T126" s="51"/>
      <c r="U126" s="22"/>
      <c r="V126" s="22"/>
      <c r="W126" s="22"/>
    </row>
    <row r="127" spans="2:23" outlineLevel="1">
      <c r="B127" s="209"/>
      <c r="C127" s="277">
        <f>C125+1</f>
        <v>2</v>
      </c>
      <c r="D127" s="277" t="s">
        <v>52</v>
      </c>
      <c r="E127" s="278">
        <v>181951112</v>
      </c>
      <c r="F127" s="279" t="s">
        <v>316</v>
      </c>
      <c r="G127" s="279"/>
      <c r="H127" s="279"/>
      <c r="I127" s="279"/>
      <c r="J127" s="38" t="s">
        <v>53</v>
      </c>
      <c r="K127" s="281">
        <f>SUM(K128:K128)</f>
        <v>949.7</v>
      </c>
      <c r="L127" s="91"/>
      <c r="M127" s="91"/>
      <c r="N127" s="280">
        <f>ROUND(L127*K127,2)</f>
        <v>0</v>
      </c>
      <c r="O127" s="280"/>
      <c r="P127" s="280"/>
      <c r="Q127" s="280"/>
      <c r="R127" s="210"/>
      <c r="T127" s="25"/>
    </row>
    <row r="128" spans="2:23" s="360" customFormat="1" outlineLevel="1">
      <c r="B128" s="359"/>
      <c r="E128" s="361" t="s">
        <v>317</v>
      </c>
      <c r="F128" s="362"/>
      <c r="G128" s="363"/>
      <c r="H128" s="363"/>
      <c r="I128" s="363"/>
      <c r="J128" s="50"/>
      <c r="K128" s="364">
        <f>K113</f>
        <v>949.7</v>
      </c>
      <c r="L128" s="157"/>
      <c r="M128" s="157"/>
      <c r="R128" s="365"/>
      <c r="T128" s="51"/>
      <c r="U128" s="22"/>
      <c r="V128" s="22"/>
      <c r="W128" s="22"/>
    </row>
    <row r="129" spans="2:35" outlineLevel="1">
      <c r="B129" s="209"/>
      <c r="C129" s="277">
        <f>C127+1</f>
        <v>3</v>
      </c>
      <c r="D129" s="277" t="s">
        <v>52</v>
      </c>
      <c r="E129" s="278">
        <v>564951313</v>
      </c>
      <c r="F129" s="279" t="s">
        <v>793</v>
      </c>
      <c r="G129" s="279"/>
      <c r="H129" s="279"/>
      <c r="I129" s="279"/>
      <c r="J129" s="38" t="s">
        <v>53</v>
      </c>
      <c r="K129" s="281">
        <f>SUM(K130:K130)</f>
        <v>569.82000000000005</v>
      </c>
      <c r="L129" s="91"/>
      <c r="M129" s="91"/>
      <c r="N129" s="280">
        <f>ROUND(L129*K129,2)</f>
        <v>0</v>
      </c>
      <c r="O129" s="280"/>
      <c r="P129" s="280"/>
      <c r="Q129" s="280"/>
      <c r="R129" s="210"/>
      <c r="T129" s="25"/>
    </row>
    <row r="130" spans="2:35" s="360" customFormat="1" outlineLevel="1">
      <c r="B130" s="359"/>
      <c r="E130" s="361" t="s">
        <v>794</v>
      </c>
      <c r="F130" s="362" t="s">
        <v>827</v>
      </c>
      <c r="G130" s="363" t="e">
        <f t="shared" ref="G130:I130" si="1">(2.3+2.75)*F130</f>
        <v>#VALUE!</v>
      </c>
      <c r="H130" s="363" t="e">
        <f t="shared" si="1"/>
        <v>#VALUE!</v>
      </c>
      <c r="I130" s="363" t="e">
        <f t="shared" si="1"/>
        <v>#VALUE!</v>
      </c>
      <c r="J130" s="53">
        <v>0.3</v>
      </c>
      <c r="K130" s="364">
        <f>K127*2*J130</f>
        <v>569.82000000000005</v>
      </c>
      <c r="L130" s="157"/>
      <c r="M130" s="157"/>
      <c r="R130" s="365"/>
      <c r="T130" s="51"/>
      <c r="U130" s="22"/>
      <c r="V130" s="22"/>
      <c r="W130" s="22"/>
    </row>
    <row r="131" spans="2:35" ht="27" customHeight="1" outlineLevel="1">
      <c r="B131" s="209"/>
      <c r="C131" s="277">
        <f>C129+1</f>
        <v>4</v>
      </c>
      <c r="D131" s="277" t="s">
        <v>52</v>
      </c>
      <c r="E131" s="278">
        <v>451597777</v>
      </c>
      <c r="F131" s="279" t="s">
        <v>321</v>
      </c>
      <c r="G131" s="279"/>
      <c r="H131" s="279"/>
      <c r="I131" s="279"/>
      <c r="J131" s="38" t="s">
        <v>53</v>
      </c>
      <c r="K131" s="281">
        <f>SUM(K133:K133)</f>
        <v>69.2</v>
      </c>
      <c r="L131" s="91"/>
      <c r="M131" s="91"/>
      <c r="N131" s="280">
        <f>ROUND(L131*K131,2)</f>
        <v>0</v>
      </c>
      <c r="O131" s="280"/>
      <c r="P131" s="280"/>
      <c r="Q131" s="280"/>
      <c r="R131" s="210"/>
      <c r="T131" s="25"/>
      <c r="U131" s="141">
        <f>1.6*0.05*-1</f>
        <v>-8.0000000000000016E-2</v>
      </c>
      <c r="V131" s="141">
        <f>K131*U131</f>
        <v>-5.5360000000000014</v>
      </c>
    </row>
    <row r="132" spans="2:35" s="360" customFormat="1" ht="10.199999999999999" customHeight="1" outlineLevel="1">
      <c r="B132" s="359"/>
      <c r="E132" s="387" t="s">
        <v>768</v>
      </c>
      <c r="F132" s="387"/>
      <c r="G132" s="387"/>
      <c r="H132" s="387"/>
      <c r="I132" s="387"/>
      <c r="J132" s="50"/>
      <c r="K132" s="364"/>
      <c r="L132" s="157"/>
      <c r="M132" s="157"/>
      <c r="R132" s="365"/>
      <c r="T132" s="51"/>
      <c r="U132" s="141"/>
      <c r="V132" s="22"/>
      <c r="W132" s="22"/>
      <c r="X132" s="22"/>
      <c r="Y132" s="22"/>
      <c r="Z132" s="22"/>
      <c r="AA132" s="22"/>
      <c r="AB132" s="22"/>
      <c r="AC132" s="22"/>
      <c r="AD132" s="366"/>
      <c r="AE132" s="141"/>
      <c r="AF132" s="141"/>
      <c r="AG132" s="141"/>
      <c r="AI132" s="141"/>
    </row>
    <row r="133" spans="2:35" s="360" customFormat="1" outlineLevel="1">
      <c r="B133" s="359"/>
      <c r="E133" s="361" t="s">
        <v>322</v>
      </c>
      <c r="F133" s="362" t="s">
        <v>347</v>
      </c>
      <c r="G133" s="363"/>
      <c r="H133" s="363"/>
      <c r="I133" s="363"/>
      <c r="J133" s="50"/>
      <c r="K133" s="364">
        <f>K114</f>
        <v>69.2</v>
      </c>
      <c r="L133" s="157"/>
      <c r="M133" s="157"/>
      <c r="R133" s="365"/>
      <c r="T133" s="51"/>
      <c r="U133" s="22"/>
      <c r="V133" s="22"/>
      <c r="W133" s="22"/>
    </row>
    <row r="134" spans="2:35" outlineLevel="1">
      <c r="B134" s="209"/>
      <c r="C134" s="277">
        <f>C131+1</f>
        <v>5</v>
      </c>
      <c r="D134" s="277" t="s">
        <v>52</v>
      </c>
      <c r="E134" s="278">
        <v>131213701</v>
      </c>
      <c r="F134" s="279" t="s">
        <v>323</v>
      </c>
      <c r="G134" s="279"/>
      <c r="H134" s="279"/>
      <c r="I134" s="279"/>
      <c r="J134" s="38" t="s">
        <v>54</v>
      </c>
      <c r="K134" s="281">
        <f>SUM(K135:K135)</f>
        <v>40</v>
      </c>
      <c r="L134" s="91"/>
      <c r="M134" s="91"/>
      <c r="N134" s="280">
        <f>ROUND(L134*K134,2)</f>
        <v>0</v>
      </c>
      <c r="O134" s="280"/>
      <c r="P134" s="280"/>
      <c r="Q134" s="280"/>
      <c r="R134" s="210"/>
      <c r="T134" s="25"/>
      <c r="U134" s="141">
        <v>1.6</v>
      </c>
      <c r="V134" s="141">
        <f>K134*U134</f>
        <v>64</v>
      </c>
    </row>
    <row r="135" spans="2:35" s="360" customFormat="1" ht="20.399999999999999" outlineLevel="1">
      <c r="B135" s="359"/>
      <c r="E135" s="361" t="s">
        <v>795</v>
      </c>
      <c r="F135" s="362" t="s">
        <v>796</v>
      </c>
      <c r="G135" s="363">
        <f t="shared" ref="G135:I135" si="2">6*3*0.3</f>
        <v>5.3999999999999995</v>
      </c>
      <c r="H135" s="363">
        <f t="shared" si="2"/>
        <v>5.3999999999999995</v>
      </c>
      <c r="I135" s="363">
        <f t="shared" si="2"/>
        <v>5.3999999999999995</v>
      </c>
      <c r="J135" s="50"/>
      <c r="K135" s="364">
        <v>40</v>
      </c>
      <c r="L135" s="157"/>
      <c r="M135" s="157"/>
      <c r="R135" s="365"/>
      <c r="T135" s="51"/>
      <c r="U135" s="22"/>
      <c r="V135" s="22"/>
      <c r="W135" s="22"/>
    </row>
    <row r="136" spans="2:35" s="354" customFormat="1" outlineLevel="1">
      <c r="B136" s="353"/>
      <c r="L136" s="156"/>
      <c r="M136" s="156"/>
      <c r="R136" s="365"/>
      <c r="S136" s="360"/>
      <c r="U136" s="375"/>
      <c r="V136" s="375"/>
      <c r="W136" s="375"/>
    </row>
    <row r="137" spans="2:35" s="275" customFormat="1" outlineLevel="1">
      <c r="B137" s="267"/>
      <c r="C137" s="268"/>
      <c r="D137" s="268"/>
      <c r="E137" s="269" t="s">
        <v>318</v>
      </c>
      <c r="F137" s="270"/>
      <c r="G137" s="270"/>
      <c r="H137" s="270"/>
      <c r="I137" s="271"/>
      <c r="J137" s="49" t="s">
        <v>53</v>
      </c>
      <c r="K137" s="272">
        <f>K114</f>
        <v>69.2</v>
      </c>
      <c r="L137" s="92"/>
      <c r="M137" s="92"/>
      <c r="N137" s="273"/>
      <c r="O137" s="273"/>
      <c r="P137" s="273"/>
      <c r="Q137" s="273"/>
      <c r="R137" s="274"/>
      <c r="T137" s="48"/>
      <c r="U137" s="69"/>
      <c r="V137" s="69"/>
      <c r="W137" s="69"/>
    </row>
    <row r="138" spans="2:35" outlineLevel="1">
      <c r="B138" s="209"/>
      <c r="C138" s="277">
        <f>C134+1</f>
        <v>6</v>
      </c>
      <c r="D138" s="277" t="s">
        <v>52</v>
      </c>
      <c r="E138" s="278">
        <v>564851011</v>
      </c>
      <c r="F138" s="279" t="s">
        <v>330</v>
      </c>
      <c r="G138" s="279"/>
      <c r="H138" s="279"/>
      <c r="I138" s="279"/>
      <c r="J138" s="38" t="s">
        <v>53</v>
      </c>
      <c r="K138" s="281">
        <f>SUM(K139:K139)</f>
        <v>69.2</v>
      </c>
      <c r="L138" s="91"/>
      <c r="M138" s="91"/>
      <c r="N138" s="280">
        <f>ROUND(L138*K138,2)</f>
        <v>0</v>
      </c>
      <c r="O138" s="280"/>
      <c r="P138" s="280"/>
      <c r="Q138" s="280"/>
      <c r="R138" s="210"/>
      <c r="T138" s="25"/>
    </row>
    <row r="139" spans="2:35" s="360" customFormat="1" ht="10.199999999999999" customHeight="1" outlineLevel="1">
      <c r="B139" s="359"/>
      <c r="E139" s="361" t="s">
        <v>117</v>
      </c>
      <c r="F139" s="362" t="s">
        <v>327</v>
      </c>
      <c r="G139" s="363">
        <f t="shared" ref="G139:I139" si="3">(0.3*2)*1+(0.4*2)*1+0.3*3.87</f>
        <v>2.5609999999999999</v>
      </c>
      <c r="H139" s="363">
        <f t="shared" si="3"/>
        <v>2.5609999999999999</v>
      </c>
      <c r="I139" s="363">
        <f t="shared" si="3"/>
        <v>2.5609999999999999</v>
      </c>
      <c r="J139" s="50"/>
      <c r="K139" s="364">
        <f>K137</f>
        <v>69.2</v>
      </c>
      <c r="L139" s="157"/>
      <c r="M139" s="157"/>
      <c r="R139" s="365"/>
      <c r="T139" s="51"/>
      <c r="U139" s="22"/>
      <c r="V139" s="22"/>
      <c r="W139" s="22"/>
    </row>
    <row r="140" spans="2:35" outlineLevel="1">
      <c r="B140" s="209"/>
      <c r="C140" s="277">
        <f>C138+1</f>
        <v>7</v>
      </c>
      <c r="D140" s="277" t="s">
        <v>52</v>
      </c>
      <c r="E140" s="278">
        <v>591411111</v>
      </c>
      <c r="F140" s="279" t="s">
        <v>689</v>
      </c>
      <c r="G140" s="279"/>
      <c r="H140" s="279"/>
      <c r="I140" s="279"/>
      <c r="J140" s="38" t="s">
        <v>53</v>
      </c>
      <c r="K140" s="281">
        <f>K137</f>
        <v>69.2</v>
      </c>
      <c r="L140" s="91"/>
      <c r="M140" s="91"/>
      <c r="N140" s="280">
        <f>ROUND(L140*K140,2)</f>
        <v>0</v>
      </c>
      <c r="O140" s="280"/>
      <c r="P140" s="280"/>
      <c r="Q140" s="280"/>
      <c r="R140" s="210"/>
      <c r="T140" s="25"/>
    </row>
    <row r="141" spans="2:35" ht="11.25" customHeight="1" outlineLevel="1">
      <c r="B141" s="209"/>
      <c r="C141" s="367">
        <f>C140+1</f>
        <v>8</v>
      </c>
      <c r="D141" s="367" t="s">
        <v>55</v>
      </c>
      <c r="E141" s="368">
        <v>58381005</v>
      </c>
      <c r="F141" s="369" t="s">
        <v>688</v>
      </c>
      <c r="G141" s="369"/>
      <c r="H141" s="369"/>
      <c r="I141" s="369"/>
      <c r="J141" s="39" t="s">
        <v>53</v>
      </c>
      <c r="K141" s="370">
        <f>SUM(K142:K142)</f>
        <v>72.660000000000011</v>
      </c>
      <c r="L141" s="96"/>
      <c r="M141" s="96"/>
      <c r="N141" s="371">
        <f t="shared" ref="N141" si="4">ROUND(L141*K141,2)</f>
        <v>0</v>
      </c>
      <c r="O141" s="280"/>
      <c r="P141" s="280"/>
      <c r="Q141" s="280"/>
      <c r="R141" s="210"/>
      <c r="T141" s="25"/>
    </row>
    <row r="142" spans="2:35" s="360" customFormat="1" outlineLevel="1">
      <c r="B142" s="359"/>
      <c r="E142" s="361" t="s">
        <v>332</v>
      </c>
      <c r="F142" s="362" t="s">
        <v>370</v>
      </c>
      <c r="G142" s="363">
        <f t="shared" ref="G142:I142" si="5">(0.3*2)*1+(0.4*2)*1+0.3*3.87</f>
        <v>2.5609999999999999</v>
      </c>
      <c r="H142" s="363">
        <f t="shared" si="5"/>
        <v>2.5609999999999999</v>
      </c>
      <c r="I142" s="363">
        <f t="shared" si="5"/>
        <v>2.5609999999999999</v>
      </c>
      <c r="J142" s="151">
        <v>0.05</v>
      </c>
      <c r="K142" s="364">
        <f>K137*(1+J142)</f>
        <v>72.660000000000011</v>
      </c>
      <c r="L142" s="157"/>
      <c r="M142" s="157"/>
      <c r="R142" s="365"/>
      <c r="T142" s="51"/>
      <c r="U142" s="22"/>
      <c r="V142" s="22"/>
      <c r="W142" s="22"/>
    </row>
    <row r="143" spans="2:35" s="275" customFormat="1" outlineLevel="1">
      <c r="B143" s="267"/>
      <c r="C143" s="268"/>
      <c r="D143" s="268"/>
      <c r="E143" s="269" t="s">
        <v>685</v>
      </c>
      <c r="F143" s="270"/>
      <c r="G143" s="270"/>
      <c r="H143" s="270"/>
      <c r="I143" s="271"/>
      <c r="J143" s="49" t="s">
        <v>53</v>
      </c>
      <c r="K143" s="272">
        <f>K117</f>
        <v>880.5</v>
      </c>
      <c r="L143" s="92"/>
      <c r="M143" s="92"/>
      <c r="N143" s="273"/>
      <c r="O143" s="273"/>
      <c r="P143" s="273"/>
      <c r="Q143" s="273"/>
      <c r="R143" s="274"/>
      <c r="T143" s="48"/>
      <c r="U143" s="69"/>
      <c r="V143" s="69"/>
      <c r="W143" s="69"/>
    </row>
    <row r="144" spans="2:35" outlineLevel="1">
      <c r="B144" s="209"/>
      <c r="C144" s="277">
        <f>C141+1</f>
        <v>9</v>
      </c>
      <c r="D144" s="277" t="s">
        <v>52</v>
      </c>
      <c r="E144" s="278">
        <v>564851011</v>
      </c>
      <c r="F144" s="279" t="s">
        <v>330</v>
      </c>
      <c r="G144" s="279"/>
      <c r="H144" s="279"/>
      <c r="I144" s="279"/>
      <c r="J144" s="38" t="s">
        <v>53</v>
      </c>
      <c r="K144" s="281">
        <f>SUM(K145:K145)</f>
        <v>1761</v>
      </c>
      <c r="L144" s="91"/>
      <c r="M144" s="91"/>
      <c r="N144" s="280">
        <f>ROUND(L144*K144,2)</f>
        <v>0</v>
      </c>
      <c r="O144" s="280"/>
      <c r="P144" s="280"/>
      <c r="Q144" s="280"/>
      <c r="R144" s="210"/>
      <c r="T144" s="25"/>
    </row>
    <row r="145" spans="2:35" s="360" customFormat="1" ht="10.199999999999999" customHeight="1" outlineLevel="1">
      <c r="B145" s="359"/>
      <c r="E145" s="361" t="s">
        <v>686</v>
      </c>
      <c r="F145" s="362" t="s">
        <v>687</v>
      </c>
      <c r="G145" s="363">
        <f t="shared" ref="G145:I145" si="6">(0.3*2)*1+(0.4*2)*1+0.3*3.87</f>
        <v>2.5609999999999999</v>
      </c>
      <c r="H145" s="363">
        <f t="shared" si="6"/>
        <v>2.5609999999999999</v>
      </c>
      <c r="I145" s="363">
        <f t="shared" si="6"/>
        <v>2.5609999999999999</v>
      </c>
      <c r="J145" s="50">
        <v>2</v>
      </c>
      <c r="K145" s="364">
        <f>K143*J145</f>
        <v>1761</v>
      </c>
      <c r="L145" s="157"/>
      <c r="M145" s="157"/>
      <c r="R145" s="365"/>
      <c r="T145" s="51"/>
      <c r="U145" s="22"/>
      <c r="V145" s="22"/>
      <c r="W145" s="22"/>
    </row>
    <row r="146" spans="2:35" outlineLevel="1">
      <c r="B146" s="209"/>
      <c r="C146" s="277">
        <f>C144+1</f>
        <v>10</v>
      </c>
      <c r="D146" s="277" t="s">
        <v>52</v>
      </c>
      <c r="E146" s="278">
        <v>591211111</v>
      </c>
      <c r="F146" s="279" t="s">
        <v>226</v>
      </c>
      <c r="G146" s="279"/>
      <c r="H146" s="279"/>
      <c r="I146" s="279"/>
      <c r="J146" s="38" t="s">
        <v>53</v>
      </c>
      <c r="K146" s="281">
        <f>K143</f>
        <v>880.5</v>
      </c>
      <c r="L146" s="91"/>
      <c r="M146" s="91"/>
      <c r="N146" s="280">
        <f>ROUND(L146*K146,2)</f>
        <v>0</v>
      </c>
      <c r="O146" s="280"/>
      <c r="P146" s="280"/>
      <c r="Q146" s="280"/>
      <c r="R146" s="210"/>
      <c r="T146" s="25"/>
    </row>
    <row r="147" spans="2:35" ht="11.25" customHeight="1" outlineLevel="1">
      <c r="B147" s="209"/>
      <c r="C147" s="367">
        <f>C146+1</f>
        <v>11</v>
      </c>
      <c r="D147" s="367" t="s">
        <v>55</v>
      </c>
      <c r="E147" s="368">
        <v>58381007</v>
      </c>
      <c r="F147" s="369" t="s">
        <v>369</v>
      </c>
      <c r="G147" s="369"/>
      <c r="H147" s="369"/>
      <c r="I147" s="369"/>
      <c r="J147" s="39" t="s">
        <v>53</v>
      </c>
      <c r="K147" s="370">
        <f>SUM(K148:K148)</f>
        <v>924.52500000000009</v>
      </c>
      <c r="L147" s="96"/>
      <c r="M147" s="96"/>
      <c r="N147" s="371">
        <f t="shared" ref="N147" si="7">ROUND(L147*K147,2)</f>
        <v>0</v>
      </c>
      <c r="O147" s="280"/>
      <c r="P147" s="280"/>
      <c r="Q147" s="280"/>
      <c r="R147" s="210"/>
      <c r="T147" s="25"/>
    </row>
    <row r="148" spans="2:35" s="360" customFormat="1" outlineLevel="1">
      <c r="B148" s="359"/>
      <c r="E148" s="361" t="s">
        <v>332</v>
      </c>
      <c r="F148" s="362" t="s">
        <v>370</v>
      </c>
      <c r="G148" s="363">
        <f t="shared" ref="G148:I148" si="8">(0.3*2)*1+(0.4*2)*1+0.3*3.87</f>
        <v>2.5609999999999999</v>
      </c>
      <c r="H148" s="363">
        <f t="shared" si="8"/>
        <v>2.5609999999999999</v>
      </c>
      <c r="I148" s="363">
        <f t="shared" si="8"/>
        <v>2.5609999999999999</v>
      </c>
      <c r="J148" s="151">
        <v>0.05</v>
      </c>
      <c r="K148" s="364">
        <f>K143*(1+J148)</f>
        <v>924.52500000000009</v>
      </c>
      <c r="L148" s="157"/>
      <c r="M148" s="157"/>
      <c r="R148" s="365"/>
      <c r="T148" s="51"/>
      <c r="U148" s="22"/>
      <c r="V148" s="22"/>
      <c r="W148" s="22"/>
    </row>
    <row r="149" spans="2:35" s="275" customFormat="1" outlineLevel="1">
      <c r="B149" s="267"/>
      <c r="C149" s="268"/>
      <c r="D149" s="268"/>
      <c r="E149" s="269" t="s">
        <v>824</v>
      </c>
      <c r="F149" s="270"/>
      <c r="G149" s="270"/>
      <c r="H149" s="270"/>
      <c r="I149" s="271"/>
      <c r="J149" s="49" t="s">
        <v>53</v>
      </c>
      <c r="K149" s="272">
        <f>K122</f>
        <v>240.5</v>
      </c>
      <c r="L149" s="92"/>
      <c r="M149" s="92"/>
      <c r="N149" s="273"/>
      <c r="O149" s="273"/>
      <c r="P149" s="273"/>
      <c r="Q149" s="273"/>
      <c r="R149" s="365"/>
      <c r="S149" s="360"/>
      <c r="T149" s="48"/>
      <c r="U149" s="69"/>
      <c r="V149" s="69"/>
      <c r="W149" s="69"/>
    </row>
    <row r="150" spans="2:35" outlineLevel="1">
      <c r="B150" s="209"/>
      <c r="C150" s="277">
        <f>C147+1</f>
        <v>12</v>
      </c>
      <c r="D150" s="277" t="s">
        <v>59</v>
      </c>
      <c r="E150" s="278" t="s">
        <v>825</v>
      </c>
      <c r="F150" s="279" t="s">
        <v>826</v>
      </c>
      <c r="G150" s="279"/>
      <c r="H150" s="279"/>
      <c r="I150" s="279"/>
      <c r="J150" s="38" t="s">
        <v>53</v>
      </c>
      <c r="K150" s="281">
        <f>SUM(K151:K151)</f>
        <v>240.5</v>
      </c>
      <c r="L150" s="91"/>
      <c r="M150" s="91"/>
      <c r="N150" s="280">
        <f>ROUND(L150*K150,2)</f>
        <v>0</v>
      </c>
      <c r="O150" s="280"/>
      <c r="P150" s="280"/>
      <c r="Q150" s="280"/>
      <c r="R150" s="210"/>
      <c r="T150" s="25"/>
    </row>
    <row r="151" spans="2:35" s="360" customFormat="1" outlineLevel="1">
      <c r="B151" s="359"/>
      <c r="E151" s="361" t="s">
        <v>117</v>
      </c>
      <c r="F151" s="362" t="s">
        <v>327</v>
      </c>
      <c r="G151" s="363">
        <f t="shared" ref="G151:I151" si="9">(0.3*2)*1+(0.4*2)*1+0.3*3.87</f>
        <v>2.5609999999999999</v>
      </c>
      <c r="H151" s="363">
        <f t="shared" si="9"/>
        <v>2.5609999999999999</v>
      </c>
      <c r="I151" s="363">
        <f t="shared" si="9"/>
        <v>2.5609999999999999</v>
      </c>
      <c r="J151" s="50"/>
      <c r="K151" s="364">
        <f>K149</f>
        <v>240.5</v>
      </c>
      <c r="L151" s="157"/>
      <c r="M151" s="157"/>
      <c r="R151" s="365"/>
      <c r="T151" s="51"/>
      <c r="U151" s="22"/>
      <c r="V151" s="22"/>
      <c r="W151" s="22"/>
    </row>
    <row r="152" spans="2:35" s="275" customFormat="1" outlineLevel="1">
      <c r="B152" s="267"/>
      <c r="C152" s="268"/>
      <c r="D152" s="268"/>
      <c r="E152" s="269" t="s">
        <v>312</v>
      </c>
      <c r="F152" s="270"/>
      <c r="G152" s="270"/>
      <c r="H152" s="270"/>
      <c r="I152" s="271"/>
      <c r="J152" s="49" t="s">
        <v>53</v>
      </c>
      <c r="K152" s="272">
        <f>K121</f>
        <v>51.099999999999994</v>
      </c>
      <c r="L152" s="92"/>
      <c r="M152" s="92"/>
      <c r="N152" s="273"/>
      <c r="O152" s="273"/>
      <c r="P152" s="273"/>
      <c r="Q152" s="273"/>
      <c r="R152" s="274"/>
      <c r="T152" s="48"/>
      <c r="U152" s="69"/>
      <c r="V152" s="69"/>
      <c r="W152" s="69"/>
    </row>
    <row r="153" spans="2:35" outlineLevel="1">
      <c r="B153" s="209"/>
      <c r="C153" s="277">
        <f>C150+1</f>
        <v>13</v>
      </c>
      <c r="D153" s="277" t="s">
        <v>52</v>
      </c>
      <c r="E153" s="278">
        <v>171203111</v>
      </c>
      <c r="F153" s="279" t="s">
        <v>342</v>
      </c>
      <c r="G153" s="279"/>
      <c r="H153" s="279"/>
      <c r="I153" s="279"/>
      <c r="J153" s="38" t="s">
        <v>54</v>
      </c>
      <c r="K153" s="281">
        <f>SUM(K155:K155)</f>
        <v>10.219999999999999</v>
      </c>
      <c r="L153" s="91"/>
      <c r="M153" s="91"/>
      <c r="N153" s="280">
        <f>ROUND(L153*K153,2)</f>
        <v>0</v>
      </c>
      <c r="O153" s="280"/>
      <c r="P153" s="280"/>
      <c r="Q153" s="280"/>
      <c r="R153" s="210"/>
      <c r="T153" s="25"/>
      <c r="U153" s="141">
        <v>-1.6</v>
      </c>
      <c r="V153" s="141">
        <f>U153*K153</f>
        <v>-16.352</v>
      </c>
    </row>
    <row r="154" spans="2:35" s="360" customFormat="1" ht="10.199999999999999" customHeight="1" outlineLevel="1">
      <c r="B154" s="359"/>
      <c r="E154" s="387" t="s">
        <v>768</v>
      </c>
      <c r="F154" s="387"/>
      <c r="G154" s="387"/>
      <c r="H154" s="387"/>
      <c r="I154" s="387"/>
      <c r="J154" s="50"/>
      <c r="K154" s="364"/>
      <c r="L154" s="157"/>
      <c r="M154" s="157"/>
      <c r="R154" s="365"/>
      <c r="T154" s="51"/>
      <c r="U154" s="141"/>
      <c r="V154" s="22"/>
      <c r="W154" s="22"/>
      <c r="X154" s="22"/>
      <c r="Y154" s="22"/>
      <c r="Z154" s="22"/>
      <c r="AA154" s="22"/>
      <c r="AB154" s="22"/>
      <c r="AC154" s="22"/>
      <c r="AD154" s="366"/>
      <c r="AE154" s="141"/>
      <c r="AF154" s="141"/>
      <c r="AG154" s="141"/>
      <c r="AI154" s="141"/>
    </row>
    <row r="155" spans="2:35" s="360" customFormat="1" outlineLevel="1">
      <c r="B155" s="359"/>
      <c r="E155" s="361" t="s">
        <v>343</v>
      </c>
      <c r="F155" s="362" t="s">
        <v>344</v>
      </c>
      <c r="G155" s="363">
        <f t="shared" ref="G155:I157" si="10">(0.3*2)*1+(0.4*2)*1+0.3*3.87</f>
        <v>2.5609999999999999</v>
      </c>
      <c r="H155" s="363">
        <f t="shared" si="10"/>
        <v>2.5609999999999999</v>
      </c>
      <c r="I155" s="363">
        <f t="shared" si="10"/>
        <v>2.5609999999999999</v>
      </c>
      <c r="J155" s="50">
        <v>0.2</v>
      </c>
      <c r="K155" s="364">
        <f>K152*J155</f>
        <v>10.219999999999999</v>
      </c>
      <c r="L155" s="157"/>
      <c r="M155" s="157"/>
      <c r="R155" s="365"/>
      <c r="T155" s="51"/>
      <c r="U155" s="22"/>
      <c r="V155" s="22"/>
      <c r="W155" s="22"/>
    </row>
    <row r="156" spans="2:35" outlineLevel="1">
      <c r="B156" s="209"/>
      <c r="C156" s="277">
        <f>C153+1</f>
        <v>14</v>
      </c>
      <c r="D156" s="277" t="s">
        <v>52</v>
      </c>
      <c r="E156" s="278">
        <v>181311103</v>
      </c>
      <c r="F156" s="279" t="s">
        <v>345</v>
      </c>
      <c r="G156" s="279"/>
      <c r="H156" s="279"/>
      <c r="I156" s="279"/>
      <c r="J156" s="38" t="s">
        <v>53</v>
      </c>
      <c r="K156" s="281">
        <f>SUM(K157:K157)</f>
        <v>51.099999999999994</v>
      </c>
      <c r="L156" s="91"/>
      <c r="M156" s="91"/>
      <c r="N156" s="280">
        <f>ROUND(L156*K156,2)</f>
        <v>0</v>
      </c>
      <c r="O156" s="280"/>
      <c r="P156" s="280"/>
      <c r="Q156" s="280"/>
      <c r="R156" s="210"/>
      <c r="T156" s="25"/>
    </row>
    <row r="157" spans="2:35" s="360" customFormat="1" outlineLevel="1">
      <c r="B157" s="359"/>
      <c r="E157" s="361" t="s">
        <v>346</v>
      </c>
      <c r="F157" s="362" t="s">
        <v>347</v>
      </c>
      <c r="G157" s="363">
        <f t="shared" si="10"/>
        <v>2.5609999999999999</v>
      </c>
      <c r="H157" s="363">
        <f t="shared" si="10"/>
        <v>2.5609999999999999</v>
      </c>
      <c r="I157" s="363">
        <f t="shared" si="10"/>
        <v>2.5609999999999999</v>
      </c>
      <c r="J157" s="50">
        <v>0.1</v>
      </c>
      <c r="K157" s="364">
        <f>K152</f>
        <v>51.099999999999994</v>
      </c>
      <c r="L157" s="157"/>
      <c r="M157" s="157"/>
      <c r="R157" s="365"/>
      <c r="T157" s="51"/>
      <c r="U157" s="22"/>
      <c r="V157" s="22"/>
      <c r="W157" s="22"/>
    </row>
    <row r="158" spans="2:35" ht="11.25" customHeight="1" outlineLevel="1">
      <c r="B158" s="209"/>
      <c r="C158" s="367">
        <f>C156+1</f>
        <v>15</v>
      </c>
      <c r="D158" s="367" t="s">
        <v>55</v>
      </c>
      <c r="E158" s="368">
        <v>10364101</v>
      </c>
      <c r="F158" s="369" t="s">
        <v>349</v>
      </c>
      <c r="G158" s="369"/>
      <c r="H158" s="369"/>
      <c r="I158" s="369"/>
      <c r="J158" s="39" t="s">
        <v>56</v>
      </c>
      <c r="K158" s="370">
        <f>SUM(K159:K159)</f>
        <v>8.1760000000000002</v>
      </c>
      <c r="L158" s="96"/>
      <c r="M158" s="96"/>
      <c r="N158" s="371">
        <f>ROUND(L158*K158,2)</f>
        <v>0</v>
      </c>
      <c r="O158" s="280"/>
      <c r="P158" s="280"/>
      <c r="Q158" s="280"/>
      <c r="R158" s="210"/>
      <c r="T158" s="25"/>
    </row>
    <row r="159" spans="2:35" s="360" customFormat="1" outlineLevel="1">
      <c r="B159" s="359"/>
      <c r="E159" s="361" t="s">
        <v>348</v>
      </c>
      <c r="F159" s="362" t="s">
        <v>350</v>
      </c>
      <c r="G159" s="363"/>
      <c r="H159" s="363"/>
      <c r="I159" s="363"/>
      <c r="J159" s="50">
        <v>1.6</v>
      </c>
      <c r="K159" s="364">
        <f>K157*J157*J159</f>
        <v>8.1760000000000002</v>
      </c>
      <c r="L159" s="157"/>
      <c r="M159" s="157"/>
      <c r="R159" s="365"/>
      <c r="T159" s="51"/>
      <c r="U159" s="22"/>
      <c r="V159" s="22"/>
      <c r="W159" s="22"/>
    </row>
    <row r="160" spans="2:35" outlineLevel="1">
      <c r="B160" s="209"/>
      <c r="C160" s="277">
        <f t="shared" ref="C160" si="11">C158+1</f>
        <v>16</v>
      </c>
      <c r="D160" s="277" t="s">
        <v>52</v>
      </c>
      <c r="E160" s="278">
        <v>181411141</v>
      </c>
      <c r="F160" s="279" t="s">
        <v>351</v>
      </c>
      <c r="G160" s="279"/>
      <c r="H160" s="279"/>
      <c r="I160" s="279"/>
      <c r="J160" s="38" t="s">
        <v>53</v>
      </c>
      <c r="K160" s="281">
        <f>K152</f>
        <v>51.099999999999994</v>
      </c>
      <c r="L160" s="91"/>
      <c r="M160" s="91"/>
      <c r="N160" s="280">
        <f>ROUND(L160*K160,2)</f>
        <v>0</v>
      </c>
      <c r="O160" s="280"/>
      <c r="P160" s="280"/>
      <c r="Q160" s="280"/>
      <c r="R160" s="210"/>
      <c r="T160" s="25"/>
    </row>
    <row r="161" spans="2:23" ht="11.25" customHeight="1" outlineLevel="1">
      <c r="B161" s="209"/>
      <c r="C161" s="367">
        <f>C160+1</f>
        <v>17</v>
      </c>
      <c r="D161" s="367" t="s">
        <v>52</v>
      </c>
      <c r="E161" s="392" t="s">
        <v>354</v>
      </c>
      <c r="F161" s="369" t="s">
        <v>355</v>
      </c>
      <c r="G161" s="369"/>
      <c r="H161" s="369"/>
      <c r="I161" s="369"/>
      <c r="J161" s="39" t="s">
        <v>98</v>
      </c>
      <c r="K161" s="370">
        <f>SUM(K162:K162)</f>
        <v>1.5329999999999997</v>
      </c>
      <c r="L161" s="96"/>
      <c r="M161" s="96"/>
      <c r="N161" s="371">
        <f>ROUND(L161*K161,2)</f>
        <v>0</v>
      </c>
      <c r="O161" s="280"/>
      <c r="P161" s="280"/>
      <c r="Q161" s="280"/>
      <c r="R161" s="210"/>
      <c r="T161" s="25"/>
    </row>
    <row r="162" spans="2:23" s="360" customFormat="1" outlineLevel="1">
      <c r="B162" s="359"/>
      <c r="E162" s="361" t="s">
        <v>352</v>
      </c>
      <c r="F162" s="362" t="s">
        <v>353</v>
      </c>
      <c r="G162" s="363" t="e">
        <f t="shared" ref="G162:I162" si="12">(2.3+2.75)*F162</f>
        <v>#VALUE!</v>
      </c>
      <c r="H162" s="363" t="e">
        <f t="shared" si="12"/>
        <v>#VALUE!</v>
      </c>
      <c r="I162" s="363" t="e">
        <f t="shared" si="12"/>
        <v>#VALUE!</v>
      </c>
      <c r="J162" s="50">
        <v>0.03</v>
      </c>
      <c r="K162" s="364">
        <f>K152*J162</f>
        <v>1.5329999999999997</v>
      </c>
      <c r="L162" s="157"/>
      <c r="M162" s="157"/>
      <c r="R162" s="365"/>
      <c r="T162" s="51"/>
      <c r="U162" s="22"/>
      <c r="V162" s="22"/>
      <c r="W162" s="22"/>
    </row>
    <row r="163" spans="2:23" outlineLevel="1">
      <c r="B163" s="209"/>
      <c r="C163" s="277">
        <f t="shared" ref="C163" si="13">C161+1</f>
        <v>18</v>
      </c>
      <c r="D163" s="277" t="s">
        <v>52</v>
      </c>
      <c r="E163" s="278">
        <v>185802113</v>
      </c>
      <c r="F163" s="279" t="s">
        <v>356</v>
      </c>
      <c r="G163" s="279"/>
      <c r="H163" s="279"/>
      <c r="I163" s="279"/>
      <c r="J163" s="38" t="s">
        <v>56</v>
      </c>
      <c r="K163" s="281">
        <f>SUM(K164)</f>
        <v>1.0219999999999999E-3</v>
      </c>
      <c r="L163" s="91"/>
      <c r="M163" s="91"/>
      <c r="N163" s="280">
        <f>ROUND(L163*K163,2)</f>
        <v>0</v>
      </c>
      <c r="O163" s="280"/>
      <c r="P163" s="280"/>
      <c r="Q163" s="280"/>
      <c r="R163" s="210"/>
      <c r="T163" s="25"/>
    </row>
    <row r="164" spans="2:23" s="360" customFormat="1" outlineLevel="1">
      <c r="B164" s="359"/>
      <c r="E164" s="361" t="s">
        <v>359</v>
      </c>
      <c r="F164" s="362" t="s">
        <v>353</v>
      </c>
      <c r="G164" s="363" t="e">
        <f t="shared" ref="G164:I164" si="14">(2.3+2.75)*F164</f>
        <v>#VALUE!</v>
      </c>
      <c r="H164" s="363" t="e">
        <f t="shared" si="14"/>
        <v>#VALUE!</v>
      </c>
      <c r="I164" s="363" t="e">
        <f t="shared" si="14"/>
        <v>#VALUE!</v>
      </c>
      <c r="J164" s="50">
        <f>0.02/1000</f>
        <v>2.0000000000000002E-5</v>
      </c>
      <c r="K164" s="364">
        <f>K152*J164</f>
        <v>1.0219999999999999E-3</v>
      </c>
      <c r="L164" s="157"/>
      <c r="M164" s="157"/>
      <c r="R164" s="365"/>
      <c r="T164" s="51"/>
      <c r="U164" s="22"/>
      <c r="V164" s="22"/>
      <c r="W164" s="22"/>
    </row>
    <row r="165" spans="2:23" ht="11.25" customHeight="1" outlineLevel="1">
      <c r="B165" s="209"/>
      <c r="C165" s="367">
        <f>C163+1</f>
        <v>19</v>
      </c>
      <c r="D165" s="367" t="s">
        <v>52</v>
      </c>
      <c r="E165" s="392" t="s">
        <v>357</v>
      </c>
      <c r="F165" s="369" t="s">
        <v>358</v>
      </c>
      <c r="G165" s="369"/>
      <c r="H165" s="369"/>
      <c r="I165" s="369"/>
      <c r="J165" s="39" t="s">
        <v>98</v>
      </c>
      <c r="K165" s="370">
        <f>SUM(K166:K166)</f>
        <v>1.0219999999999998</v>
      </c>
      <c r="L165" s="96"/>
      <c r="M165" s="96"/>
      <c r="N165" s="371">
        <f>ROUND(L165*K165,2)</f>
        <v>0</v>
      </c>
      <c r="O165" s="280"/>
      <c r="P165" s="280"/>
      <c r="Q165" s="280"/>
      <c r="R165" s="210"/>
      <c r="T165" s="25"/>
    </row>
    <row r="166" spans="2:23" s="360" customFormat="1" outlineLevel="1">
      <c r="B166" s="359"/>
      <c r="E166" s="361" t="s">
        <v>359</v>
      </c>
      <c r="F166" s="362" t="s">
        <v>353</v>
      </c>
      <c r="G166" s="363" t="e">
        <f t="shared" ref="G166:I166" si="15">(2.3+2.75)*F166</f>
        <v>#VALUE!</v>
      </c>
      <c r="H166" s="363" t="e">
        <f t="shared" si="15"/>
        <v>#VALUE!</v>
      </c>
      <c r="I166" s="363" t="e">
        <f t="shared" si="15"/>
        <v>#VALUE!</v>
      </c>
      <c r="J166" s="50">
        <v>0.02</v>
      </c>
      <c r="K166" s="364">
        <f>K156*J166</f>
        <v>1.0219999999999998</v>
      </c>
      <c r="L166" s="157"/>
      <c r="M166" s="157"/>
      <c r="R166" s="365"/>
      <c r="T166" s="51"/>
      <c r="U166" s="22"/>
      <c r="V166" s="22"/>
      <c r="W166" s="22"/>
    </row>
    <row r="167" spans="2:23" outlineLevel="1">
      <c r="B167" s="209"/>
      <c r="C167" s="277">
        <f>C165+1</f>
        <v>20</v>
      </c>
      <c r="D167" s="277" t="s">
        <v>59</v>
      </c>
      <c r="E167" s="278" t="s">
        <v>360</v>
      </c>
      <c r="F167" s="279" t="s">
        <v>361</v>
      </c>
      <c r="G167" s="279"/>
      <c r="H167" s="279"/>
      <c r="I167" s="279"/>
      <c r="J167" s="38" t="s">
        <v>53</v>
      </c>
      <c r="K167" s="281">
        <f>SUM(K168:K168)</f>
        <v>51.099999999999994</v>
      </c>
      <c r="L167" s="91"/>
      <c r="M167" s="91"/>
      <c r="N167" s="280">
        <f>ROUND(L167*K167,2)</f>
        <v>0</v>
      </c>
      <c r="O167" s="280"/>
      <c r="P167" s="280"/>
      <c r="Q167" s="280"/>
      <c r="R167" s="210"/>
      <c r="T167" s="25"/>
    </row>
    <row r="168" spans="2:23" s="360" customFormat="1" ht="20.399999999999999" outlineLevel="1">
      <c r="B168" s="359"/>
      <c r="E168" s="361" t="s">
        <v>362</v>
      </c>
      <c r="F168" s="362"/>
      <c r="G168" s="363"/>
      <c r="H168" s="363"/>
      <c r="I168" s="363"/>
      <c r="J168" s="50"/>
      <c r="K168" s="364">
        <f>K152</f>
        <v>51.099999999999994</v>
      </c>
      <c r="L168" s="157"/>
      <c r="M168" s="157"/>
      <c r="R168" s="365"/>
      <c r="T168" s="51"/>
      <c r="U168" s="22"/>
      <c r="V168" s="22"/>
      <c r="W168" s="22"/>
    </row>
    <row r="169" spans="2:23" outlineLevel="1">
      <c r="B169" s="209"/>
      <c r="C169" s="277">
        <f>C167+1</f>
        <v>21</v>
      </c>
      <c r="D169" s="277" t="s">
        <v>52</v>
      </c>
      <c r="E169" s="278">
        <v>185803111</v>
      </c>
      <c r="F169" s="279" t="s">
        <v>363</v>
      </c>
      <c r="G169" s="279"/>
      <c r="H169" s="279"/>
      <c r="I169" s="279"/>
      <c r="J169" s="38" t="s">
        <v>53</v>
      </c>
      <c r="K169" s="281">
        <f>SUM(K170:K170)</f>
        <v>51.099999999999994</v>
      </c>
      <c r="L169" s="91"/>
      <c r="M169" s="91"/>
      <c r="N169" s="280">
        <f>ROUND(L169*K169,2)</f>
        <v>0</v>
      </c>
      <c r="O169" s="280"/>
      <c r="P169" s="280"/>
      <c r="Q169" s="280"/>
      <c r="R169" s="210"/>
      <c r="T169" s="25"/>
    </row>
    <row r="170" spans="2:23" s="360" customFormat="1" outlineLevel="1">
      <c r="B170" s="359"/>
      <c r="E170" s="361" t="s">
        <v>364</v>
      </c>
      <c r="F170" s="362"/>
      <c r="G170" s="363"/>
      <c r="H170" s="363"/>
      <c r="I170" s="363"/>
      <c r="J170" s="50"/>
      <c r="K170" s="364">
        <f>K152</f>
        <v>51.099999999999994</v>
      </c>
      <c r="L170" s="157"/>
      <c r="M170" s="157"/>
      <c r="R170" s="365"/>
      <c r="T170" s="51"/>
      <c r="U170" s="22"/>
      <c r="V170" s="22"/>
      <c r="W170" s="22"/>
    </row>
    <row r="171" spans="2:23" s="275" customFormat="1" outlineLevel="1">
      <c r="B171" s="267"/>
      <c r="C171" s="268"/>
      <c r="D171" s="268"/>
      <c r="E171" s="269" t="s">
        <v>320</v>
      </c>
      <c r="F171" s="270"/>
      <c r="G171" s="270"/>
      <c r="H171" s="270"/>
      <c r="I171" s="271"/>
      <c r="J171" s="49"/>
      <c r="K171" s="272"/>
      <c r="L171" s="92"/>
      <c r="M171" s="92"/>
      <c r="N171" s="273"/>
      <c r="O171" s="273"/>
      <c r="P171" s="273"/>
      <c r="Q171" s="273"/>
      <c r="R171" s="274"/>
      <c r="T171" s="48"/>
      <c r="U171" s="69"/>
      <c r="V171" s="69"/>
      <c r="W171" s="69"/>
    </row>
    <row r="172" spans="2:23" s="360" customFormat="1" ht="10.199999999999999" customHeight="1" outlineLevel="1">
      <c r="B172" s="359"/>
      <c r="E172" s="361" t="s">
        <v>680</v>
      </c>
      <c r="F172" s="362" t="s">
        <v>683</v>
      </c>
      <c r="G172" s="363"/>
      <c r="H172" s="363"/>
      <c r="I172" s="363"/>
      <c r="J172" s="50" t="s">
        <v>58</v>
      </c>
      <c r="K172" s="364">
        <f>31.1+10.8+56.1</f>
        <v>98</v>
      </c>
      <c r="L172" s="157"/>
      <c r="M172" s="157"/>
      <c r="R172" s="365"/>
      <c r="T172" s="51"/>
      <c r="U172" s="66"/>
      <c r="V172" s="66"/>
      <c r="W172" s="66"/>
    </row>
    <row r="173" spans="2:23" s="360" customFormat="1" ht="10.199999999999999" customHeight="1" outlineLevel="1">
      <c r="B173" s="359"/>
      <c r="E173" s="361" t="s">
        <v>682</v>
      </c>
      <c r="F173" s="362" t="s">
        <v>684</v>
      </c>
      <c r="G173" s="363"/>
      <c r="H173" s="363"/>
      <c r="I173" s="363"/>
      <c r="J173" s="50" t="s">
        <v>58</v>
      </c>
      <c r="K173" s="364">
        <f>6*3+6+6.2+6.7+7.7</f>
        <v>44.6</v>
      </c>
      <c r="L173" s="157"/>
      <c r="M173" s="157"/>
      <c r="R173" s="365"/>
      <c r="T173" s="51"/>
      <c r="U173" s="66"/>
      <c r="V173" s="66"/>
      <c r="W173" s="66"/>
    </row>
    <row r="174" spans="2:23" s="360" customFormat="1" ht="10.199999999999999" customHeight="1" outlineLevel="1">
      <c r="B174" s="359"/>
      <c r="E174" s="361" t="s">
        <v>681</v>
      </c>
      <c r="F174" s="362"/>
      <c r="G174" s="363"/>
      <c r="H174" s="363"/>
      <c r="I174" s="363"/>
      <c r="J174" s="50" t="s">
        <v>58</v>
      </c>
      <c r="K174" s="364">
        <f>2.65+2.3+2.1</f>
        <v>7.0499999999999989</v>
      </c>
      <c r="L174" s="157"/>
      <c r="M174" s="157"/>
      <c r="R174" s="365"/>
      <c r="T174" s="51"/>
      <c r="U174" s="66"/>
      <c r="V174" s="66"/>
      <c r="W174" s="66"/>
    </row>
    <row r="175" spans="2:23" s="360" customFormat="1" ht="10.199999999999999" customHeight="1" outlineLevel="1">
      <c r="B175" s="359"/>
      <c r="E175" s="361"/>
      <c r="F175" s="362"/>
      <c r="G175" s="363"/>
      <c r="H175" s="363"/>
      <c r="I175" s="363"/>
      <c r="J175" s="50"/>
      <c r="K175" s="364"/>
      <c r="L175" s="157"/>
      <c r="M175" s="157"/>
      <c r="R175" s="365"/>
      <c r="T175" s="51"/>
      <c r="U175" s="66"/>
      <c r="V175" s="66"/>
      <c r="W175" s="66"/>
    </row>
    <row r="176" spans="2:23" outlineLevel="1">
      <c r="B176" s="209"/>
      <c r="C176" s="277">
        <f>C169+1</f>
        <v>22</v>
      </c>
      <c r="D176" s="277" t="s">
        <v>52</v>
      </c>
      <c r="E176" s="278">
        <v>916241213</v>
      </c>
      <c r="F176" s="279" t="s">
        <v>690</v>
      </c>
      <c r="G176" s="279"/>
      <c r="H176" s="279"/>
      <c r="I176" s="279"/>
      <c r="J176" s="38" t="s">
        <v>58</v>
      </c>
      <c r="K176" s="281">
        <f>SUM(K177:K178)</f>
        <v>142.6</v>
      </c>
      <c r="L176" s="91"/>
      <c r="M176" s="91"/>
      <c r="N176" s="280">
        <f>ROUND(L176*K176,2)</f>
        <v>0</v>
      </c>
      <c r="O176" s="280"/>
      <c r="P176" s="280"/>
      <c r="Q176" s="280"/>
      <c r="R176" s="210"/>
      <c r="T176" s="25"/>
    </row>
    <row r="177" spans="2:23" s="360" customFormat="1" outlineLevel="1">
      <c r="B177" s="359"/>
      <c r="E177" s="361" t="str">
        <f>E172</f>
        <v>žulový obrubník</v>
      </c>
      <c r="F177" s="362" t="s">
        <v>368</v>
      </c>
      <c r="G177" s="363">
        <f t="shared" ref="G177:I178" si="16">(0.3*2)*1+(0.4*2)*1+0.3*3.87</f>
        <v>2.5609999999999999</v>
      </c>
      <c r="H177" s="363">
        <f t="shared" si="16"/>
        <v>2.5609999999999999</v>
      </c>
      <c r="I177" s="363">
        <f t="shared" si="16"/>
        <v>2.5609999999999999</v>
      </c>
      <c r="J177" s="50"/>
      <c r="K177" s="364">
        <f>K172</f>
        <v>98</v>
      </c>
      <c r="L177" s="157"/>
      <c r="M177" s="157"/>
      <c r="R177" s="365"/>
      <c r="T177" s="51"/>
      <c r="U177" s="22"/>
      <c r="V177" s="22"/>
      <c r="W177" s="22"/>
    </row>
    <row r="178" spans="2:23" s="360" customFormat="1" outlineLevel="1">
      <c r="B178" s="359"/>
      <c r="E178" s="361" t="str">
        <f>E173</f>
        <v>žulový obrubník nájezd</v>
      </c>
      <c r="F178" s="362" t="s">
        <v>368</v>
      </c>
      <c r="G178" s="363">
        <f t="shared" si="16"/>
        <v>2.5609999999999999</v>
      </c>
      <c r="H178" s="363">
        <f t="shared" si="16"/>
        <v>2.5609999999999999</v>
      </c>
      <c r="I178" s="363">
        <f t="shared" si="16"/>
        <v>2.5609999999999999</v>
      </c>
      <c r="J178" s="50"/>
      <c r="K178" s="364">
        <f>K173</f>
        <v>44.6</v>
      </c>
      <c r="L178" s="157"/>
      <c r="M178" s="157"/>
      <c r="R178" s="365"/>
      <c r="T178" s="51"/>
      <c r="U178" s="22"/>
      <c r="V178" s="22"/>
      <c r="W178" s="22"/>
    </row>
    <row r="179" spans="2:23" ht="11.25" customHeight="1" outlineLevel="1">
      <c r="B179" s="209"/>
      <c r="C179" s="367">
        <f>C176+1</f>
        <v>23</v>
      </c>
      <c r="D179" s="367" t="s">
        <v>59</v>
      </c>
      <c r="E179" s="368" t="s">
        <v>691</v>
      </c>
      <c r="F179" s="369" t="s">
        <v>693</v>
      </c>
      <c r="G179" s="369"/>
      <c r="H179" s="369"/>
      <c r="I179" s="369"/>
      <c r="J179" s="39" t="s">
        <v>58</v>
      </c>
      <c r="K179" s="370">
        <f>K177</f>
        <v>98</v>
      </c>
      <c r="L179" s="96"/>
      <c r="M179" s="96"/>
      <c r="N179" s="371">
        <f t="shared" ref="N179" si="17">ROUND(L179*K179,2)</f>
        <v>0</v>
      </c>
      <c r="O179" s="280"/>
      <c r="P179" s="280"/>
      <c r="Q179" s="280"/>
      <c r="R179" s="210"/>
      <c r="T179" s="25"/>
    </row>
    <row r="180" spans="2:23" ht="11.25" customHeight="1" outlineLevel="1">
      <c r="B180" s="209"/>
      <c r="C180" s="367">
        <f>C179+1</f>
        <v>24</v>
      </c>
      <c r="D180" s="367" t="s">
        <v>59</v>
      </c>
      <c r="E180" s="368" t="s">
        <v>692</v>
      </c>
      <c r="F180" s="369" t="s">
        <v>694</v>
      </c>
      <c r="G180" s="369"/>
      <c r="H180" s="369"/>
      <c r="I180" s="369"/>
      <c r="J180" s="39" t="s">
        <v>58</v>
      </c>
      <c r="K180" s="370">
        <f>K178</f>
        <v>44.6</v>
      </c>
      <c r="L180" s="96"/>
      <c r="M180" s="96"/>
      <c r="N180" s="371">
        <f t="shared" ref="N180" si="18">ROUND(L180*K180,2)</f>
        <v>0</v>
      </c>
      <c r="O180" s="280"/>
      <c r="P180" s="280"/>
      <c r="Q180" s="280"/>
      <c r="R180" s="210"/>
      <c r="T180" s="25"/>
    </row>
    <row r="181" spans="2:23" outlineLevel="1">
      <c r="B181" s="209"/>
      <c r="C181" s="277">
        <f>C180+1</f>
        <v>25</v>
      </c>
      <c r="D181" s="277" t="s">
        <v>52</v>
      </c>
      <c r="E181" s="278">
        <v>916111113</v>
      </c>
      <c r="F181" s="279" t="s">
        <v>367</v>
      </c>
      <c r="G181" s="279"/>
      <c r="H181" s="279"/>
      <c r="I181" s="279"/>
      <c r="J181" s="38" t="s">
        <v>58</v>
      </c>
      <c r="K181" s="281">
        <f>SUM(K182:K182)</f>
        <v>7.0499999999999989</v>
      </c>
      <c r="L181" s="91"/>
      <c r="M181" s="91"/>
      <c r="N181" s="280">
        <f>ROUND(L181*K181,2)</f>
        <v>0</v>
      </c>
      <c r="O181" s="280"/>
      <c r="P181" s="280"/>
      <c r="Q181" s="280"/>
      <c r="R181" s="210"/>
      <c r="T181" s="25"/>
    </row>
    <row r="182" spans="2:23" s="360" customFormat="1" outlineLevel="1">
      <c r="B182" s="359"/>
      <c r="E182" s="361" t="str">
        <f>E174</f>
        <v>obruba kostka</v>
      </c>
      <c r="F182" s="362" t="s">
        <v>368</v>
      </c>
      <c r="G182" s="363">
        <f t="shared" ref="G182:I182" si="19">(0.3*2)*1+(0.4*2)*1+0.3*3.87</f>
        <v>2.5609999999999999</v>
      </c>
      <c r="H182" s="363">
        <f t="shared" si="19"/>
        <v>2.5609999999999999</v>
      </c>
      <c r="I182" s="363">
        <f t="shared" si="19"/>
        <v>2.5609999999999999</v>
      </c>
      <c r="J182" s="50"/>
      <c r="K182" s="364">
        <f>K174</f>
        <v>7.0499999999999989</v>
      </c>
      <c r="L182" s="157"/>
      <c r="M182" s="157"/>
      <c r="R182" s="365"/>
      <c r="T182" s="51"/>
      <c r="U182" s="22"/>
      <c r="V182" s="22"/>
      <c r="W182" s="22"/>
    </row>
    <row r="183" spans="2:23" ht="11.25" customHeight="1" outlineLevel="1">
      <c r="B183" s="209"/>
      <c r="C183" s="367">
        <f>C181+1</f>
        <v>26</v>
      </c>
      <c r="D183" s="367" t="s">
        <v>55</v>
      </c>
      <c r="E183" s="368">
        <v>58381007</v>
      </c>
      <c r="F183" s="369" t="s">
        <v>369</v>
      </c>
      <c r="G183" s="369"/>
      <c r="H183" s="369"/>
      <c r="I183" s="369"/>
      <c r="J183" s="39" t="s">
        <v>53</v>
      </c>
      <c r="K183" s="370">
        <f>SUM(K184:K184)</f>
        <v>0.59219999999999995</v>
      </c>
      <c r="L183" s="96"/>
      <c r="M183" s="96"/>
      <c r="N183" s="371">
        <f t="shared" ref="N183" si="20">ROUND(L183*K183,2)</f>
        <v>0</v>
      </c>
      <c r="O183" s="280"/>
      <c r="P183" s="280"/>
      <c r="Q183" s="280"/>
      <c r="R183" s="210"/>
      <c r="T183" s="25"/>
    </row>
    <row r="184" spans="2:23" s="360" customFormat="1" outlineLevel="1">
      <c r="B184" s="359"/>
      <c r="E184" s="361" t="s">
        <v>332</v>
      </c>
      <c r="F184" s="362" t="s">
        <v>371</v>
      </c>
      <c r="G184" s="363">
        <f t="shared" ref="G184:I184" si="21">(0.3*2)*1+(0.4*2)*1+0.3*3.87</f>
        <v>2.5609999999999999</v>
      </c>
      <c r="H184" s="363">
        <f t="shared" si="21"/>
        <v>2.5609999999999999</v>
      </c>
      <c r="I184" s="363">
        <f t="shared" si="21"/>
        <v>2.5609999999999999</v>
      </c>
      <c r="J184" s="151">
        <v>0.05</v>
      </c>
      <c r="K184" s="364">
        <f>K181*0.08*(1+J184)</f>
        <v>0.59219999999999995</v>
      </c>
      <c r="L184" s="157"/>
      <c r="M184" s="157"/>
      <c r="R184" s="365"/>
      <c r="T184" s="51"/>
      <c r="U184" s="22"/>
      <c r="V184" s="22"/>
      <c r="W184" s="22"/>
    </row>
    <row r="185" spans="2:23" outlineLevel="1">
      <c r="B185" s="209"/>
      <c r="C185" s="277">
        <f>C183+1</f>
        <v>27</v>
      </c>
      <c r="D185" s="277" t="s">
        <v>52</v>
      </c>
      <c r="E185" s="278">
        <v>184818233</v>
      </c>
      <c r="F185" s="279" t="s">
        <v>457</v>
      </c>
      <c r="G185" s="279"/>
      <c r="H185" s="279"/>
      <c r="I185" s="279"/>
      <c r="J185" s="38" t="s">
        <v>57</v>
      </c>
      <c r="K185" s="281">
        <v>1</v>
      </c>
      <c r="L185" s="91"/>
      <c r="M185" s="91"/>
      <c r="N185" s="280">
        <f>ROUND(L185*K185,2)</f>
        <v>0</v>
      </c>
      <c r="O185" s="280"/>
      <c r="P185" s="280"/>
      <c r="Q185" s="280"/>
      <c r="R185" s="210"/>
      <c r="T185" s="25"/>
    </row>
    <row r="186" spans="2:23" s="354" customFormat="1">
      <c r="B186" s="353"/>
      <c r="E186" s="358"/>
      <c r="F186" s="358"/>
      <c r="G186" s="358"/>
      <c r="H186" s="358"/>
      <c r="I186" s="358"/>
      <c r="J186" s="358"/>
      <c r="K186" s="358"/>
      <c r="L186" s="156"/>
      <c r="M186" s="156"/>
      <c r="R186" s="356"/>
      <c r="T186" s="52"/>
      <c r="U186" s="375"/>
      <c r="V186" s="375"/>
    </row>
    <row r="187" spans="2:23" s="266" customFormat="1" ht="13.2">
      <c r="B187" s="262"/>
      <c r="C187" s="263"/>
      <c r="D187" s="263" t="s">
        <v>726</v>
      </c>
      <c r="E187" s="263"/>
      <c r="F187" s="263"/>
      <c r="G187" s="263"/>
      <c r="H187" s="263"/>
      <c r="I187" s="263"/>
      <c r="J187" s="36"/>
      <c r="K187" s="263"/>
      <c r="L187" s="155"/>
      <c r="M187" s="155"/>
      <c r="N187" s="264">
        <f>SUM(N188:Q215)</f>
        <v>0</v>
      </c>
      <c r="O187" s="264"/>
      <c r="P187" s="264"/>
      <c r="Q187" s="264"/>
      <c r="R187" s="265"/>
      <c r="T187" s="37">
        <f>SUM(N187:Q215)/2</f>
        <v>0</v>
      </c>
      <c r="U187" s="141"/>
      <c r="V187" s="141"/>
    </row>
    <row r="188" spans="2:23" s="354" customFormat="1" outlineLevel="1">
      <c r="B188" s="353"/>
      <c r="E188" s="376"/>
      <c r="F188" s="376"/>
      <c r="G188" s="376"/>
      <c r="H188" s="376"/>
      <c r="I188" s="376"/>
      <c r="J188" s="376"/>
      <c r="K188" s="376"/>
      <c r="L188" s="156"/>
      <c r="M188" s="156"/>
      <c r="R188" s="356"/>
      <c r="T188" s="52"/>
      <c r="U188" s="375"/>
      <c r="V188" s="375"/>
    </row>
    <row r="189" spans="2:23" s="275" customFormat="1" outlineLevel="1">
      <c r="B189" s="267"/>
      <c r="C189" s="268"/>
      <c r="D189" s="268"/>
      <c r="E189" s="269" t="s">
        <v>720</v>
      </c>
      <c r="F189" s="270"/>
      <c r="G189" s="270"/>
      <c r="H189" s="270"/>
      <c r="I189" s="271"/>
      <c r="J189" s="49"/>
      <c r="K189" s="272"/>
      <c r="L189" s="92"/>
      <c r="M189" s="92"/>
      <c r="N189" s="273"/>
      <c r="O189" s="273"/>
      <c r="P189" s="273"/>
      <c r="Q189" s="273"/>
      <c r="R189" s="274"/>
      <c r="T189" s="48"/>
      <c r="U189" s="69"/>
      <c r="V189" s="69"/>
      <c r="W189" s="69"/>
    </row>
    <row r="190" spans="2:23" ht="27" customHeight="1" outlineLevel="1">
      <c r="B190" s="209"/>
      <c r="C190" s="277">
        <f>C185+1</f>
        <v>28</v>
      </c>
      <c r="D190" s="277" t="s">
        <v>52</v>
      </c>
      <c r="E190" s="278">
        <v>914511112</v>
      </c>
      <c r="F190" s="279" t="s">
        <v>704</v>
      </c>
      <c r="G190" s="279"/>
      <c r="H190" s="279"/>
      <c r="I190" s="279"/>
      <c r="J190" s="38" t="s">
        <v>57</v>
      </c>
      <c r="K190" s="281">
        <f>SUM(K191:K191)</f>
        <v>7</v>
      </c>
      <c r="L190" s="91"/>
      <c r="M190" s="91"/>
      <c r="N190" s="280">
        <f>ROUND(L190*K190,2)</f>
        <v>0</v>
      </c>
      <c r="O190" s="280"/>
      <c r="P190" s="280"/>
      <c r="Q190" s="280"/>
      <c r="R190" s="210"/>
      <c r="T190" s="25"/>
    </row>
    <row r="191" spans="2:23" s="360" customFormat="1" ht="10.199999999999999" customHeight="1" outlineLevel="1">
      <c r="B191" s="359"/>
      <c r="E191" s="361" t="s">
        <v>706</v>
      </c>
      <c r="F191" s="362" t="s">
        <v>705</v>
      </c>
      <c r="G191" s="363">
        <f t="shared" ref="G191:I191" si="22">(0.3*2)*1+(0.4*2)*1+0.3*3.87</f>
        <v>2.5609999999999999</v>
      </c>
      <c r="H191" s="363">
        <f t="shared" si="22"/>
        <v>2.5609999999999999</v>
      </c>
      <c r="I191" s="363">
        <f t="shared" si="22"/>
        <v>2.5609999999999999</v>
      </c>
      <c r="J191" s="50"/>
      <c r="K191" s="364">
        <v>7</v>
      </c>
      <c r="L191" s="157"/>
      <c r="M191" s="157"/>
      <c r="R191" s="365"/>
      <c r="T191" s="51"/>
      <c r="U191" s="22"/>
      <c r="V191" s="22"/>
      <c r="W191" s="22"/>
    </row>
    <row r="192" spans="2:23" ht="11.25" customHeight="1" outlineLevel="1">
      <c r="B192" s="209"/>
      <c r="C192" s="367">
        <f>C190+1</f>
        <v>29</v>
      </c>
      <c r="D192" s="367" t="s">
        <v>55</v>
      </c>
      <c r="E192" s="368">
        <v>40445235</v>
      </c>
      <c r="F192" s="369" t="s">
        <v>707</v>
      </c>
      <c r="G192" s="369"/>
      <c r="H192" s="369"/>
      <c r="I192" s="369"/>
      <c r="J192" s="39" t="s">
        <v>57</v>
      </c>
      <c r="K192" s="370">
        <f>K190</f>
        <v>7</v>
      </c>
      <c r="L192" s="96"/>
      <c r="M192" s="96"/>
      <c r="N192" s="371">
        <f t="shared" ref="N192" si="23">ROUND(L192*K192,2)</f>
        <v>0</v>
      </c>
      <c r="O192" s="280"/>
      <c r="P192" s="280"/>
      <c r="Q192" s="280"/>
      <c r="R192" s="210"/>
      <c r="T192" s="25"/>
    </row>
    <row r="193" spans="2:23" outlineLevel="1">
      <c r="B193" s="209"/>
      <c r="C193" s="277">
        <f>C192+1</f>
        <v>30</v>
      </c>
      <c r="D193" s="277" t="s">
        <v>52</v>
      </c>
      <c r="E193" s="278">
        <v>914111111</v>
      </c>
      <c r="F193" s="279" t="s">
        <v>708</v>
      </c>
      <c r="G193" s="279"/>
      <c r="H193" s="279"/>
      <c r="I193" s="279"/>
      <c r="J193" s="38" t="s">
        <v>57</v>
      </c>
      <c r="K193" s="281">
        <f>SUM(K194:K195)</f>
        <v>9</v>
      </c>
      <c r="L193" s="91"/>
      <c r="M193" s="91"/>
      <c r="N193" s="280">
        <f>ROUND(L193*K193,2)</f>
        <v>0</v>
      </c>
      <c r="O193" s="280"/>
      <c r="P193" s="280"/>
      <c r="Q193" s="280"/>
      <c r="R193" s="210"/>
      <c r="T193" s="25"/>
    </row>
    <row r="194" spans="2:23" s="360" customFormat="1" ht="10.199999999999999" customHeight="1" outlineLevel="1">
      <c r="B194" s="359"/>
      <c r="E194" s="361" t="s">
        <v>709</v>
      </c>
      <c r="F194" s="362" t="s">
        <v>711</v>
      </c>
      <c r="G194" s="363">
        <f t="shared" ref="G194:I195" si="24">(0.3*2)*1+(0.4*2)*1+0.3*3.87</f>
        <v>2.5609999999999999</v>
      </c>
      <c r="H194" s="363">
        <f t="shared" si="24"/>
        <v>2.5609999999999999</v>
      </c>
      <c r="I194" s="363">
        <f t="shared" si="24"/>
        <v>2.5609999999999999</v>
      </c>
      <c r="J194" s="50"/>
      <c r="K194" s="364">
        <v>1</v>
      </c>
      <c r="L194" s="157"/>
      <c r="M194" s="157"/>
      <c r="R194" s="365"/>
      <c r="T194" s="51"/>
      <c r="U194" s="22"/>
      <c r="V194" s="22"/>
      <c r="W194" s="22"/>
    </row>
    <row r="195" spans="2:23" s="360" customFormat="1" ht="10.199999999999999" customHeight="1" outlineLevel="1">
      <c r="B195" s="359"/>
      <c r="E195" s="361" t="s">
        <v>710</v>
      </c>
      <c r="F195" s="362" t="s">
        <v>712</v>
      </c>
      <c r="G195" s="363">
        <f t="shared" si="24"/>
        <v>2.5609999999999999</v>
      </c>
      <c r="H195" s="363">
        <f t="shared" si="24"/>
        <v>2.5609999999999999</v>
      </c>
      <c r="I195" s="363">
        <f t="shared" si="24"/>
        <v>2.5609999999999999</v>
      </c>
      <c r="J195" s="50"/>
      <c r="K195" s="364">
        <f>SUM(K196:K201)</f>
        <v>8</v>
      </c>
      <c r="L195" s="157"/>
      <c r="M195" s="157"/>
      <c r="R195" s="365"/>
      <c r="T195" s="51"/>
      <c r="U195" s="22"/>
      <c r="V195" s="22"/>
      <c r="W195" s="22"/>
    </row>
    <row r="196" spans="2:23" ht="11.25" customHeight="1" outlineLevel="1">
      <c r="B196" s="209"/>
      <c r="C196" s="367">
        <f>C193+1</f>
        <v>31</v>
      </c>
      <c r="D196" s="367" t="s">
        <v>55</v>
      </c>
      <c r="E196" s="368">
        <v>40445615</v>
      </c>
      <c r="F196" s="369" t="s">
        <v>713</v>
      </c>
      <c r="G196" s="369"/>
      <c r="H196" s="369"/>
      <c r="I196" s="369"/>
      <c r="J196" s="39" t="s">
        <v>57</v>
      </c>
      <c r="K196" s="370">
        <v>1</v>
      </c>
      <c r="L196" s="96"/>
      <c r="M196" s="96"/>
      <c r="N196" s="371">
        <f t="shared" ref="N196" si="25">ROUND(L196*K196,2)</f>
        <v>0</v>
      </c>
      <c r="O196" s="280"/>
      <c r="P196" s="280"/>
      <c r="Q196" s="280"/>
      <c r="R196" s="210"/>
      <c r="T196" s="25"/>
    </row>
    <row r="197" spans="2:23" ht="11.25" customHeight="1" outlineLevel="1">
      <c r="B197" s="209"/>
      <c r="C197" s="367">
        <f t="shared" ref="C197:C201" si="26">C196+1</f>
        <v>32</v>
      </c>
      <c r="D197" s="367" t="s">
        <v>55</v>
      </c>
      <c r="E197" s="368">
        <v>40445620</v>
      </c>
      <c r="F197" s="369" t="s">
        <v>714</v>
      </c>
      <c r="G197" s="369"/>
      <c r="H197" s="369"/>
      <c r="I197" s="369"/>
      <c r="J197" s="39" t="s">
        <v>57</v>
      </c>
      <c r="K197" s="370">
        <v>1</v>
      </c>
      <c r="L197" s="96"/>
      <c r="M197" s="96"/>
      <c r="N197" s="371">
        <f t="shared" ref="N197:N199" si="27">ROUND(L197*K197,2)</f>
        <v>0</v>
      </c>
      <c r="O197" s="280"/>
      <c r="P197" s="280"/>
      <c r="Q197" s="280"/>
      <c r="R197" s="210"/>
      <c r="T197" s="25"/>
    </row>
    <row r="198" spans="2:23" ht="11.25" customHeight="1" outlineLevel="1">
      <c r="B198" s="209"/>
      <c r="C198" s="367">
        <f t="shared" si="26"/>
        <v>33</v>
      </c>
      <c r="D198" s="367" t="s">
        <v>55</v>
      </c>
      <c r="E198" s="368">
        <v>40445621</v>
      </c>
      <c r="F198" s="369" t="s">
        <v>715</v>
      </c>
      <c r="G198" s="369"/>
      <c r="H198" s="369"/>
      <c r="I198" s="369"/>
      <c r="J198" s="39" t="s">
        <v>57</v>
      </c>
      <c r="K198" s="370">
        <v>1</v>
      </c>
      <c r="L198" s="96"/>
      <c r="M198" s="96"/>
      <c r="N198" s="371">
        <f t="shared" si="27"/>
        <v>0</v>
      </c>
      <c r="O198" s="280"/>
      <c r="P198" s="280"/>
      <c r="Q198" s="280"/>
      <c r="R198" s="210"/>
      <c r="T198" s="25"/>
    </row>
    <row r="199" spans="2:23" ht="11.25" customHeight="1" outlineLevel="1">
      <c r="B199" s="209"/>
      <c r="C199" s="367">
        <f t="shared" si="26"/>
        <v>34</v>
      </c>
      <c r="D199" s="367" t="s">
        <v>55</v>
      </c>
      <c r="E199" s="368">
        <v>40445625</v>
      </c>
      <c r="F199" s="369" t="s">
        <v>716</v>
      </c>
      <c r="G199" s="369"/>
      <c r="H199" s="369"/>
      <c r="I199" s="369"/>
      <c r="J199" s="39" t="s">
        <v>57</v>
      </c>
      <c r="K199" s="370">
        <v>3</v>
      </c>
      <c r="L199" s="96"/>
      <c r="M199" s="96"/>
      <c r="N199" s="371">
        <f t="shared" si="27"/>
        <v>0</v>
      </c>
      <c r="O199" s="280"/>
      <c r="P199" s="280"/>
      <c r="Q199" s="280"/>
      <c r="R199" s="210"/>
      <c r="T199" s="25"/>
    </row>
    <row r="200" spans="2:23" ht="11.25" customHeight="1" outlineLevel="1">
      <c r="B200" s="209"/>
      <c r="C200" s="367">
        <f t="shared" si="26"/>
        <v>35</v>
      </c>
      <c r="D200" s="367" t="s">
        <v>55</v>
      </c>
      <c r="E200" s="368">
        <v>40445640</v>
      </c>
      <c r="F200" s="369" t="s">
        <v>717</v>
      </c>
      <c r="G200" s="369"/>
      <c r="H200" s="369"/>
      <c r="I200" s="369"/>
      <c r="J200" s="39" t="s">
        <v>57</v>
      </c>
      <c r="K200" s="370">
        <v>1</v>
      </c>
      <c r="L200" s="96"/>
      <c r="M200" s="96"/>
      <c r="N200" s="371">
        <f t="shared" ref="N200:N201" si="28">ROUND(L200*K200,2)</f>
        <v>0</v>
      </c>
      <c r="O200" s="280"/>
      <c r="P200" s="280"/>
      <c r="Q200" s="280"/>
      <c r="R200" s="210"/>
      <c r="T200" s="25"/>
    </row>
    <row r="201" spans="2:23" ht="11.25" customHeight="1" outlineLevel="1">
      <c r="B201" s="209"/>
      <c r="C201" s="367">
        <f t="shared" si="26"/>
        <v>36</v>
      </c>
      <c r="D201" s="367" t="s">
        <v>55</v>
      </c>
      <c r="E201" s="368">
        <v>40445648</v>
      </c>
      <c r="F201" s="369" t="s">
        <v>718</v>
      </c>
      <c r="G201" s="369"/>
      <c r="H201" s="369"/>
      <c r="I201" s="369"/>
      <c r="J201" s="39" t="s">
        <v>57</v>
      </c>
      <c r="K201" s="370">
        <v>1</v>
      </c>
      <c r="L201" s="96"/>
      <c r="M201" s="96"/>
      <c r="N201" s="371">
        <f t="shared" si="28"/>
        <v>0</v>
      </c>
      <c r="O201" s="280"/>
      <c r="P201" s="280"/>
      <c r="Q201" s="280"/>
      <c r="R201" s="210"/>
      <c r="T201" s="25"/>
    </row>
    <row r="202" spans="2:23" outlineLevel="1">
      <c r="B202" s="209"/>
      <c r="C202" s="277">
        <f>C201+1</f>
        <v>37</v>
      </c>
      <c r="D202" s="277" t="s">
        <v>52</v>
      </c>
      <c r="E202" s="278">
        <v>915211112</v>
      </c>
      <c r="F202" s="279" t="s">
        <v>719</v>
      </c>
      <c r="G202" s="279"/>
      <c r="H202" s="279"/>
      <c r="I202" s="279"/>
      <c r="J202" s="38" t="s">
        <v>58</v>
      </c>
      <c r="K202" s="281">
        <f>SUM(K203:K204)</f>
        <v>74</v>
      </c>
      <c r="L202" s="91"/>
      <c r="M202" s="91"/>
      <c r="N202" s="280">
        <f>ROUND(L202*K202,2)</f>
        <v>0</v>
      </c>
      <c r="O202" s="280"/>
      <c r="P202" s="280"/>
      <c r="Q202" s="280"/>
      <c r="R202" s="210"/>
      <c r="T202" s="25"/>
    </row>
    <row r="203" spans="2:23" s="360" customFormat="1" outlineLevel="1">
      <c r="B203" s="359"/>
      <c r="E203" s="361" t="s">
        <v>721</v>
      </c>
      <c r="F203" s="362"/>
      <c r="G203" s="363"/>
      <c r="H203" s="363"/>
      <c r="I203" s="363"/>
      <c r="J203" s="50"/>
      <c r="K203" s="364">
        <f>4.5*8+5*4</f>
        <v>56</v>
      </c>
      <c r="L203" s="157"/>
      <c r="M203" s="157"/>
      <c r="R203" s="365"/>
      <c r="T203" s="51"/>
      <c r="U203" s="141"/>
      <c r="V203" s="141"/>
    </row>
    <row r="204" spans="2:23" s="360" customFormat="1" outlineLevel="1">
      <c r="B204" s="359"/>
      <c r="E204" s="361" t="s">
        <v>722</v>
      </c>
      <c r="F204" s="362"/>
      <c r="G204" s="363"/>
      <c r="H204" s="363"/>
      <c r="I204" s="363"/>
      <c r="J204" s="50"/>
      <c r="K204" s="364">
        <f>6*3</f>
        <v>18</v>
      </c>
      <c r="L204" s="157"/>
      <c r="M204" s="157"/>
      <c r="R204" s="365"/>
      <c r="T204" s="51"/>
      <c r="U204" s="141"/>
      <c r="V204" s="141"/>
    </row>
    <row r="205" spans="2:23" outlineLevel="1">
      <c r="B205" s="209"/>
      <c r="C205" s="277">
        <f>C202+1</f>
        <v>38</v>
      </c>
      <c r="D205" s="277" t="s">
        <v>52</v>
      </c>
      <c r="E205" s="278">
        <v>915231112</v>
      </c>
      <c r="F205" s="279" t="s">
        <v>723</v>
      </c>
      <c r="G205" s="279"/>
      <c r="H205" s="279"/>
      <c r="I205" s="279"/>
      <c r="J205" s="38" t="s">
        <v>53</v>
      </c>
      <c r="K205" s="281">
        <f>SUM(K206:K206)</f>
        <v>2.8800000000000003</v>
      </c>
      <c r="L205" s="91"/>
      <c r="M205" s="91"/>
      <c r="N205" s="280">
        <f>ROUND(L205*K205,2)</f>
        <v>0</v>
      </c>
      <c r="O205" s="280"/>
      <c r="P205" s="280"/>
      <c r="Q205" s="280"/>
      <c r="R205" s="210"/>
      <c r="T205" s="25"/>
    </row>
    <row r="206" spans="2:23" s="360" customFormat="1" outlineLevel="1">
      <c r="B206" s="359"/>
      <c r="E206" s="361" t="s">
        <v>724</v>
      </c>
      <c r="F206" s="362" t="s">
        <v>725</v>
      </c>
      <c r="G206" s="363" t="e">
        <f t="shared" ref="G206:I206" si="29">(1.45+1.4)*F206+1.82*2.2-(0.7*1.97*2)</f>
        <v>#VALUE!</v>
      </c>
      <c r="H206" s="363" t="e">
        <f t="shared" si="29"/>
        <v>#VALUE!</v>
      </c>
      <c r="I206" s="363" t="e">
        <f t="shared" si="29"/>
        <v>#VALUE!</v>
      </c>
      <c r="J206" s="50"/>
      <c r="K206" s="364">
        <f>1.8*1.6</f>
        <v>2.8800000000000003</v>
      </c>
      <c r="L206" s="157"/>
      <c r="M206" s="157"/>
      <c r="R206" s="365"/>
      <c r="T206" s="51"/>
      <c r="U206" s="141"/>
      <c r="V206" s="22"/>
      <c r="W206" s="22"/>
    </row>
    <row r="207" spans="2:23" s="354" customFormat="1" outlineLevel="1">
      <c r="B207" s="353"/>
      <c r="E207" s="376"/>
      <c r="F207" s="376"/>
      <c r="G207" s="376"/>
      <c r="H207" s="376"/>
      <c r="I207" s="376"/>
      <c r="J207" s="376"/>
      <c r="K207" s="376"/>
      <c r="L207" s="156"/>
      <c r="M207" s="156"/>
      <c r="R207" s="356"/>
      <c r="T207" s="52"/>
      <c r="U207" s="375"/>
      <c r="V207" s="375"/>
    </row>
    <row r="208" spans="2:23" s="275" customFormat="1" outlineLevel="1">
      <c r="B208" s="267"/>
      <c r="C208" s="268"/>
      <c r="D208" s="268"/>
      <c r="E208" s="269" t="s">
        <v>696</v>
      </c>
      <c r="F208" s="270"/>
      <c r="G208" s="270"/>
      <c r="H208" s="270"/>
      <c r="I208" s="271"/>
      <c r="J208" s="49"/>
      <c r="K208" s="272"/>
      <c r="L208" s="92"/>
      <c r="M208" s="92"/>
      <c r="N208" s="273"/>
      <c r="O208" s="273"/>
      <c r="P208" s="273"/>
      <c r="Q208" s="273"/>
      <c r="R208" s="274"/>
      <c r="T208" s="48"/>
      <c r="U208" s="69"/>
      <c r="V208" s="69"/>
      <c r="W208" s="69"/>
    </row>
    <row r="209" spans="2:23" outlineLevel="1">
      <c r="B209" s="209"/>
      <c r="C209" s="277">
        <f>C205+1</f>
        <v>39</v>
      </c>
      <c r="D209" s="277" t="s">
        <v>52</v>
      </c>
      <c r="E209" s="278">
        <v>912111113</v>
      </c>
      <c r="F209" s="279" t="s">
        <v>697</v>
      </c>
      <c r="G209" s="279"/>
      <c r="H209" s="279"/>
      <c r="I209" s="279"/>
      <c r="J209" s="38" t="s">
        <v>57</v>
      </c>
      <c r="K209" s="281">
        <f>SUM(K210:K210)</f>
        <v>1</v>
      </c>
      <c r="L209" s="91"/>
      <c r="M209" s="91"/>
      <c r="N209" s="280">
        <f>ROUND(L209*K209,2)</f>
        <v>0</v>
      </c>
      <c r="O209" s="280"/>
      <c r="P209" s="280"/>
      <c r="Q209" s="280"/>
      <c r="R209" s="210"/>
      <c r="T209" s="25"/>
    </row>
    <row r="210" spans="2:23" s="360" customFormat="1" outlineLevel="1">
      <c r="B210" s="359"/>
      <c r="E210" s="361" t="s">
        <v>699</v>
      </c>
      <c r="F210" s="362" t="s">
        <v>698</v>
      </c>
      <c r="G210" s="363" t="e">
        <f t="shared" ref="G210" si="30">(1.45+1.4)*F210+1.82*2.2-(0.7*1.97*2)</f>
        <v>#VALUE!</v>
      </c>
      <c r="H210" s="363" t="e">
        <f t="shared" ref="H210" si="31">(1.45+1.4)*G210+1.82*2.2-(0.7*1.97*2)</f>
        <v>#VALUE!</v>
      </c>
      <c r="I210" s="363" t="e">
        <f t="shared" ref="I210" si="32">(1.45+1.4)*H210+1.82*2.2-(0.7*1.97*2)</f>
        <v>#VALUE!</v>
      </c>
      <c r="J210" s="50"/>
      <c r="K210" s="364">
        <v>1</v>
      </c>
      <c r="L210" s="157"/>
      <c r="M210" s="157"/>
      <c r="R210" s="365"/>
      <c r="T210" s="51"/>
      <c r="U210" s="141"/>
      <c r="V210" s="22"/>
      <c r="W210" s="22"/>
    </row>
    <row r="211" spans="2:23" outlineLevel="1">
      <c r="B211" s="209"/>
      <c r="C211" s="277">
        <f t="shared" ref="C211" si="33">C209+1</f>
        <v>40</v>
      </c>
      <c r="D211" s="277" t="s">
        <v>52</v>
      </c>
      <c r="E211" s="278">
        <v>912511111</v>
      </c>
      <c r="F211" s="279" t="s">
        <v>700</v>
      </c>
      <c r="G211" s="279"/>
      <c r="H211" s="279"/>
      <c r="I211" s="279"/>
      <c r="J211" s="38" t="s">
        <v>57</v>
      </c>
      <c r="K211" s="281">
        <f>SUM(K212:K212)</f>
        <v>16</v>
      </c>
      <c r="L211" s="91"/>
      <c r="M211" s="91"/>
      <c r="N211" s="280">
        <f>ROUND(L211*K211,2)</f>
        <v>0</v>
      </c>
      <c r="O211" s="280"/>
      <c r="P211" s="280"/>
      <c r="Q211" s="280"/>
      <c r="R211" s="210"/>
      <c r="T211" s="25"/>
    </row>
    <row r="212" spans="2:23" s="360" customFormat="1" outlineLevel="1">
      <c r="B212" s="359"/>
      <c r="E212" s="361" t="s">
        <v>701</v>
      </c>
      <c r="F212" s="362" t="s">
        <v>656</v>
      </c>
      <c r="G212" s="363">
        <f t="shared" ref="G212:I212" si="34">2.1*4</f>
        <v>8.4</v>
      </c>
      <c r="H212" s="363">
        <f t="shared" si="34"/>
        <v>8.4</v>
      </c>
      <c r="I212" s="363">
        <f t="shared" si="34"/>
        <v>8.4</v>
      </c>
      <c r="J212" s="50"/>
      <c r="K212" s="364">
        <f>16</f>
        <v>16</v>
      </c>
      <c r="L212" s="157"/>
      <c r="M212" s="157"/>
      <c r="R212" s="365"/>
      <c r="T212" s="51"/>
      <c r="U212" s="141"/>
      <c r="V212" s="22"/>
      <c r="W212" s="22"/>
    </row>
    <row r="213" spans="2:23" ht="11.25" customHeight="1" outlineLevel="1">
      <c r="B213" s="209"/>
      <c r="C213" s="367">
        <f>C211+1</f>
        <v>41</v>
      </c>
      <c r="D213" s="367" t="s">
        <v>59</v>
      </c>
      <c r="E213" s="368" t="s">
        <v>702</v>
      </c>
      <c r="F213" s="369" t="s">
        <v>703</v>
      </c>
      <c r="G213" s="369"/>
      <c r="H213" s="369"/>
      <c r="I213" s="369"/>
      <c r="J213" s="39" t="s">
        <v>57</v>
      </c>
      <c r="K213" s="370">
        <f>K211</f>
        <v>16</v>
      </c>
      <c r="L213" s="96"/>
      <c r="M213" s="96"/>
      <c r="N213" s="371">
        <f t="shared" ref="N213" si="35">ROUND(L213*K213,2)</f>
        <v>0</v>
      </c>
      <c r="O213" s="280"/>
      <c r="P213" s="280"/>
      <c r="Q213" s="280"/>
      <c r="R213" s="210"/>
      <c r="T213" s="25"/>
    </row>
    <row r="214" spans="2:23" outlineLevel="1">
      <c r="B214" s="209"/>
      <c r="C214" s="277">
        <f>C213+1</f>
        <v>42</v>
      </c>
      <c r="D214" s="277" t="s">
        <v>59</v>
      </c>
      <c r="E214" s="278" t="s">
        <v>727</v>
      </c>
      <c r="F214" s="279" t="s">
        <v>728</v>
      </c>
      <c r="G214" s="279"/>
      <c r="H214" s="279"/>
      <c r="I214" s="279"/>
      <c r="J214" s="38" t="s">
        <v>58</v>
      </c>
      <c r="K214" s="281">
        <f>SUM(K215:K215)</f>
        <v>109</v>
      </c>
      <c r="L214" s="91"/>
      <c r="M214" s="91"/>
      <c r="N214" s="280">
        <f>ROUND(L214*K214,2)</f>
        <v>0</v>
      </c>
      <c r="O214" s="280"/>
      <c r="P214" s="280"/>
      <c r="Q214" s="280"/>
      <c r="R214" s="210"/>
      <c r="T214" s="25"/>
    </row>
    <row r="215" spans="2:23" s="360" customFormat="1" outlineLevel="1">
      <c r="B215" s="359"/>
      <c r="E215" s="361" t="s">
        <v>729</v>
      </c>
      <c r="F215" s="362" t="s">
        <v>730</v>
      </c>
      <c r="G215" s="363">
        <f t="shared" ref="G215:I215" si="36">12*4+61</f>
        <v>109</v>
      </c>
      <c r="H215" s="363">
        <f t="shared" si="36"/>
        <v>109</v>
      </c>
      <c r="I215" s="363">
        <f t="shared" si="36"/>
        <v>109</v>
      </c>
      <c r="J215" s="50"/>
      <c r="K215" s="364">
        <f>12*4+61</f>
        <v>109</v>
      </c>
      <c r="L215" s="157"/>
      <c r="M215" s="157"/>
      <c r="R215" s="365"/>
      <c r="T215" s="51"/>
      <c r="U215" s="141"/>
      <c r="V215" s="22"/>
      <c r="W215" s="22"/>
    </row>
    <row r="216" spans="2:23" s="354" customFormat="1">
      <c r="B216" s="353"/>
      <c r="E216" s="358"/>
      <c r="F216" s="358"/>
      <c r="G216" s="358"/>
      <c r="H216" s="358"/>
      <c r="I216" s="358"/>
      <c r="J216" s="358"/>
      <c r="K216" s="358"/>
      <c r="L216" s="156"/>
      <c r="M216" s="156"/>
      <c r="R216" s="356"/>
      <c r="T216" s="52"/>
      <c r="U216" s="375"/>
      <c r="V216" s="375"/>
    </row>
    <row r="217" spans="2:23" s="266" customFormat="1" ht="13.2">
      <c r="B217" s="262"/>
      <c r="C217" s="263"/>
      <c r="D217" s="263" t="s">
        <v>195</v>
      </c>
      <c r="E217" s="263"/>
      <c r="F217" s="263"/>
      <c r="G217" s="263"/>
      <c r="H217" s="263"/>
      <c r="I217" s="263"/>
      <c r="J217" s="36"/>
      <c r="K217" s="263"/>
      <c r="L217" s="155"/>
      <c r="M217" s="155"/>
      <c r="N217" s="264">
        <f>SUM(N218)</f>
        <v>0</v>
      </c>
      <c r="O217" s="264"/>
      <c r="P217" s="264"/>
      <c r="Q217" s="264"/>
      <c r="R217" s="265"/>
      <c r="T217" s="25">
        <f>SUM(N217:Q218)/2</f>
        <v>0</v>
      </c>
      <c r="U217" s="141"/>
      <c r="V217" s="141"/>
    </row>
    <row r="218" spans="2:23" ht="11.25" customHeight="1" outlineLevel="1">
      <c r="B218" s="209"/>
      <c r="C218" s="277">
        <f>C213+1</f>
        <v>42</v>
      </c>
      <c r="D218" s="277" t="s">
        <v>59</v>
      </c>
      <c r="E218" s="278" t="s">
        <v>192</v>
      </c>
      <c r="F218" s="279" t="s">
        <v>695</v>
      </c>
      <c r="G218" s="279"/>
      <c r="H218" s="279"/>
      <c r="I218" s="279"/>
      <c r="J218" s="38" t="s">
        <v>60</v>
      </c>
      <c r="K218" s="40">
        <f>N113+N187</f>
        <v>0</v>
      </c>
      <c r="L218" s="95"/>
      <c r="M218" s="95"/>
      <c r="N218" s="280">
        <f>ROUND(L218*K218,2)</f>
        <v>0</v>
      </c>
      <c r="O218" s="280"/>
      <c r="P218" s="280"/>
      <c r="Q218" s="280"/>
      <c r="R218" s="210"/>
      <c r="T218" s="25"/>
    </row>
    <row r="219" spans="2:23">
      <c r="B219" s="231"/>
      <c r="C219" s="232"/>
      <c r="D219" s="232"/>
      <c r="E219" s="232"/>
      <c r="F219" s="232"/>
      <c r="G219" s="232"/>
      <c r="H219" s="232"/>
      <c r="I219" s="232"/>
      <c r="J219" s="62"/>
      <c r="K219" s="232"/>
      <c r="L219" s="232"/>
      <c r="M219" s="232"/>
      <c r="N219" s="232"/>
      <c r="O219" s="232"/>
      <c r="P219" s="232"/>
      <c r="Q219" s="232"/>
      <c r="R219" s="233"/>
    </row>
  </sheetData>
  <sheetProtection algorithmName="SHA-512" hashValue="F3uuhSqDOnHIjlvrgBrLGX6KzwGnl3+3QDMoIXxcwjHLYh4RRbzaKbSq9O+HlSZXXV9gY1RpJqBVwNYILaCL8g==" saltValue="gayc/Zc8vAJVPgl/cQOIDQ==" spinCount="100000" sheet="1" objects="1" scenarios="1"/>
  <mergeCells count="260">
    <mergeCell ref="N147:Q147"/>
    <mergeCell ref="F176:I176"/>
    <mergeCell ref="L176:M176"/>
    <mergeCell ref="N176:Q176"/>
    <mergeCell ref="F202:I202"/>
    <mergeCell ref="L202:M202"/>
    <mergeCell ref="E132:I132"/>
    <mergeCell ref="E154:I154"/>
    <mergeCell ref="F115:I115"/>
    <mergeCell ref="F116:I116"/>
    <mergeCell ref="F117:I117"/>
    <mergeCell ref="F118:I118"/>
    <mergeCell ref="F121:I121"/>
    <mergeCell ref="F125:I125"/>
    <mergeCell ref="L125:M125"/>
    <mergeCell ref="F126:I126"/>
    <mergeCell ref="F119:I119"/>
    <mergeCell ref="L124:M124"/>
    <mergeCell ref="L147:M147"/>
    <mergeCell ref="L149:M149"/>
    <mergeCell ref="N149:Q149"/>
    <mergeCell ref="F157:I157"/>
    <mergeCell ref="F158:I158"/>
    <mergeCell ref="L158:M158"/>
    <mergeCell ref="N158:Q158"/>
    <mergeCell ref="L160:M160"/>
    <mergeCell ref="N160:Q160"/>
    <mergeCell ref="F153:I153"/>
    <mergeCell ref="L153:M153"/>
    <mergeCell ref="N153:Q153"/>
    <mergeCell ref="F155:I155"/>
    <mergeCell ref="O10:P10"/>
    <mergeCell ref="F12:I12"/>
    <mergeCell ref="O12:P12"/>
    <mergeCell ref="O13:P13"/>
    <mergeCell ref="O15:P15"/>
    <mergeCell ref="O16:P16"/>
    <mergeCell ref="C2:Q2"/>
    <mergeCell ref="F4:P4"/>
    <mergeCell ref="F5:P5"/>
    <mergeCell ref="O7:P7"/>
    <mergeCell ref="F9:L9"/>
    <mergeCell ref="O9:P9"/>
    <mergeCell ref="D25:E25"/>
    <mergeCell ref="G25:P25"/>
    <mergeCell ref="M28:P28"/>
    <mergeCell ref="M30:P30"/>
    <mergeCell ref="H32:J32"/>
    <mergeCell ref="M32:P32"/>
    <mergeCell ref="O18:P18"/>
    <mergeCell ref="O19:P19"/>
    <mergeCell ref="O21:P21"/>
    <mergeCell ref="E22:P22"/>
    <mergeCell ref="M78:P78"/>
    <mergeCell ref="F80:J80"/>
    <mergeCell ref="M80:Q80"/>
    <mergeCell ref="M81:Q81"/>
    <mergeCell ref="C83:G83"/>
    <mergeCell ref="N83:Q83"/>
    <mergeCell ref="H33:J33"/>
    <mergeCell ref="M33:P33"/>
    <mergeCell ref="L35:P35"/>
    <mergeCell ref="C73:Q73"/>
    <mergeCell ref="F75:P75"/>
    <mergeCell ref="F76:P76"/>
    <mergeCell ref="N87:Q87"/>
    <mergeCell ref="N88:Q88"/>
    <mergeCell ref="N85:Q85"/>
    <mergeCell ref="N86:Q86"/>
    <mergeCell ref="F100:P100"/>
    <mergeCell ref="M102:P102"/>
    <mergeCell ref="F104:J104"/>
    <mergeCell ref="M104:Q104"/>
    <mergeCell ref="M105:Q105"/>
    <mergeCell ref="F106:P106"/>
    <mergeCell ref="N89:Q89"/>
    <mergeCell ref="L91:Q91"/>
    <mergeCell ref="C97:Q97"/>
    <mergeCell ref="F99:P99"/>
    <mergeCell ref="F114:I114"/>
    <mergeCell ref="F107:P107"/>
    <mergeCell ref="F109:I109"/>
    <mergeCell ref="L109:M109"/>
    <mergeCell ref="N109:Q109"/>
    <mergeCell ref="N110:Q110"/>
    <mergeCell ref="E112:K112"/>
    <mergeCell ref="F120:I120"/>
    <mergeCell ref="F122:I122"/>
    <mergeCell ref="F123:I123"/>
    <mergeCell ref="E124:I124"/>
    <mergeCell ref="L127:M127"/>
    <mergeCell ref="N127:Q127"/>
    <mergeCell ref="F131:I131"/>
    <mergeCell ref="L131:M131"/>
    <mergeCell ref="N131:Q131"/>
    <mergeCell ref="N125:Q125"/>
    <mergeCell ref="N124:Q124"/>
    <mergeCell ref="F133:I133"/>
    <mergeCell ref="F134:I134"/>
    <mergeCell ref="L134:M134"/>
    <mergeCell ref="N134:Q134"/>
    <mergeCell ref="F129:I129"/>
    <mergeCell ref="F130:I130"/>
    <mergeCell ref="L129:M129"/>
    <mergeCell ref="N129:Q129"/>
    <mergeCell ref="F127:I127"/>
    <mergeCell ref="F128:I128"/>
    <mergeCell ref="F139:I139"/>
    <mergeCell ref="F140:I140"/>
    <mergeCell ref="F141:I141"/>
    <mergeCell ref="F142:I142"/>
    <mergeCell ref="F135:I135"/>
    <mergeCell ref="F138:I138"/>
    <mergeCell ref="E137:I137"/>
    <mergeCell ref="L137:M137"/>
    <mergeCell ref="N137:Q137"/>
    <mergeCell ref="L138:M138"/>
    <mergeCell ref="N138:Q138"/>
    <mergeCell ref="L140:M140"/>
    <mergeCell ref="N140:Q140"/>
    <mergeCell ref="L141:M141"/>
    <mergeCell ref="N141:Q141"/>
    <mergeCell ref="E152:I152"/>
    <mergeCell ref="L152:M152"/>
    <mergeCell ref="N152:Q152"/>
    <mergeCell ref="F159:I159"/>
    <mergeCell ref="F160:I160"/>
    <mergeCell ref="L161:M161"/>
    <mergeCell ref="N161:Q161"/>
    <mergeCell ref="L143:M143"/>
    <mergeCell ref="N143:Q143"/>
    <mergeCell ref="F144:I144"/>
    <mergeCell ref="F145:I145"/>
    <mergeCell ref="F146:I146"/>
    <mergeCell ref="E143:I143"/>
    <mergeCell ref="L144:M144"/>
    <mergeCell ref="N144:Q144"/>
    <mergeCell ref="L146:M146"/>
    <mergeCell ref="N146:Q146"/>
    <mergeCell ref="F147:I147"/>
    <mergeCell ref="F148:I148"/>
    <mergeCell ref="F150:I150"/>
    <mergeCell ref="L150:M150"/>
    <mergeCell ref="N150:Q150"/>
    <mergeCell ref="F151:I151"/>
    <mergeCell ref="E149:I149"/>
    <mergeCell ref="L196:M196"/>
    <mergeCell ref="N196:Q196"/>
    <mergeCell ref="L198:M198"/>
    <mergeCell ref="N198:Q198"/>
    <mergeCell ref="L192:M192"/>
    <mergeCell ref="N192:Q192"/>
    <mergeCell ref="L197:M197"/>
    <mergeCell ref="F156:I156"/>
    <mergeCell ref="L156:M156"/>
    <mergeCell ref="N156:Q156"/>
    <mergeCell ref="F178:I178"/>
    <mergeCell ref="F179:I179"/>
    <mergeCell ref="L179:M179"/>
    <mergeCell ref="N179:Q179"/>
    <mergeCell ref="F177:I177"/>
    <mergeCell ref="L189:M189"/>
    <mergeCell ref="N189:Q189"/>
    <mergeCell ref="F180:I180"/>
    <mergeCell ref="N213:Q213"/>
    <mergeCell ref="F173:I173"/>
    <mergeCell ref="F174:I174"/>
    <mergeCell ref="F175:I175"/>
    <mergeCell ref="F181:I181"/>
    <mergeCell ref="L181:M181"/>
    <mergeCell ref="N181:Q181"/>
    <mergeCell ref="F182:I182"/>
    <mergeCell ref="F190:I190"/>
    <mergeCell ref="F185:I185"/>
    <mergeCell ref="E188:K188"/>
    <mergeCell ref="L180:M180"/>
    <mergeCell ref="N180:Q180"/>
    <mergeCell ref="E189:I189"/>
    <mergeCell ref="L190:M190"/>
    <mergeCell ref="N190:Q190"/>
    <mergeCell ref="L193:M193"/>
    <mergeCell ref="N193:Q193"/>
    <mergeCell ref="E207:K207"/>
    <mergeCell ref="F192:I192"/>
    <mergeCell ref="F198:I198"/>
    <mergeCell ref="F199:I199"/>
    <mergeCell ref="L211:M211"/>
    <mergeCell ref="N211:Q211"/>
    <mergeCell ref="N111:Q111"/>
    <mergeCell ref="N113:Q113"/>
    <mergeCell ref="F183:I183"/>
    <mergeCell ref="L183:M183"/>
    <mergeCell ref="N183:Q183"/>
    <mergeCell ref="F184:I184"/>
    <mergeCell ref="F197:I197"/>
    <mergeCell ref="L185:M185"/>
    <mergeCell ref="N185:Q185"/>
    <mergeCell ref="N187:Q187"/>
    <mergeCell ref="L171:M171"/>
    <mergeCell ref="N171:Q171"/>
    <mergeCell ref="F168:I168"/>
    <mergeCell ref="F169:I169"/>
    <mergeCell ref="F170:I170"/>
    <mergeCell ref="L169:M169"/>
    <mergeCell ref="N169:Q169"/>
    <mergeCell ref="F162:I162"/>
    <mergeCell ref="F163:I163"/>
    <mergeCell ref="L163:M163"/>
    <mergeCell ref="N163:Q163"/>
    <mergeCell ref="L165:M165"/>
    <mergeCell ref="N165:Q165"/>
    <mergeCell ref="L167:M167"/>
    <mergeCell ref="E171:I171"/>
    <mergeCell ref="F172:I172"/>
    <mergeCell ref="F164:I164"/>
    <mergeCell ref="F165:I165"/>
    <mergeCell ref="F166:I166"/>
    <mergeCell ref="F167:I167"/>
    <mergeCell ref="F161:I161"/>
    <mergeCell ref="N202:Q202"/>
    <mergeCell ref="F203:I203"/>
    <mergeCell ref="N197:Q197"/>
    <mergeCell ref="F194:I194"/>
    <mergeCell ref="F195:I195"/>
    <mergeCell ref="F200:I200"/>
    <mergeCell ref="L200:M200"/>
    <mergeCell ref="N200:Q200"/>
    <mergeCell ref="F201:I201"/>
    <mergeCell ref="N167:Q167"/>
    <mergeCell ref="L199:M199"/>
    <mergeCell ref="N199:Q199"/>
    <mergeCell ref="F191:I191"/>
    <mergeCell ref="L201:M201"/>
    <mergeCell ref="N201:Q201"/>
    <mergeCell ref="F193:I193"/>
    <mergeCell ref="F196:I196"/>
    <mergeCell ref="F204:I204"/>
    <mergeCell ref="F205:I205"/>
    <mergeCell ref="L205:M205"/>
    <mergeCell ref="N205:Q205"/>
    <mergeCell ref="F206:I206"/>
    <mergeCell ref="N217:Q217"/>
    <mergeCell ref="L218:M218"/>
    <mergeCell ref="N218:Q218"/>
    <mergeCell ref="F218:I218"/>
    <mergeCell ref="F214:I214"/>
    <mergeCell ref="F215:I215"/>
    <mergeCell ref="E208:I208"/>
    <mergeCell ref="L208:M208"/>
    <mergeCell ref="N208:Q208"/>
    <mergeCell ref="N214:Q214"/>
    <mergeCell ref="F209:I209"/>
    <mergeCell ref="L209:M209"/>
    <mergeCell ref="N209:Q209"/>
    <mergeCell ref="L214:M214"/>
    <mergeCell ref="F210:I210"/>
    <mergeCell ref="F211:I211"/>
    <mergeCell ref="F212:I212"/>
    <mergeCell ref="F213:I213"/>
    <mergeCell ref="L213:M21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B3F95-A4C7-41EA-8299-55085C20B214}">
  <sheetPr>
    <pageSetUpPr fitToPage="1"/>
  </sheetPr>
  <dimension ref="B1:AI261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6" width="11.42578125" style="141" hidden="1" customWidth="1" outlineLevel="1"/>
    <col min="27" max="27" width="11.42578125" style="142" customWidth="1" collapsed="1"/>
    <col min="28" max="30" width="11.42578125" style="142" customWidth="1"/>
    <col min="31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302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SO.03 dětské hřiště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6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6">
      <c r="B82" s="209"/>
      <c r="J82" s="26"/>
      <c r="R82" s="210"/>
    </row>
    <row r="83" spans="2:26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K114+K186</f>
        <v>673.23400000000004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6">
      <c r="B84" s="209"/>
      <c r="J84" s="26"/>
      <c r="R84" s="210"/>
    </row>
    <row r="85" spans="2:26" ht="15.6">
      <c r="B85" s="209"/>
      <c r="C85" s="237" t="s">
        <v>44</v>
      </c>
      <c r="J85" s="26"/>
      <c r="K85" s="42">
        <f t="shared" ref="K85:K90" si="0">N85/$I$83</f>
        <v>0</v>
      </c>
      <c r="N85" s="179">
        <f>N86</f>
        <v>0</v>
      </c>
      <c r="O85" s="238"/>
      <c r="P85" s="238"/>
      <c r="Q85" s="238"/>
      <c r="R85" s="210"/>
      <c r="T85" s="31">
        <f>SUM(N85:Q90)/3</f>
        <v>0</v>
      </c>
    </row>
    <row r="86" spans="2:26" s="348" customFormat="1" ht="15">
      <c r="B86" s="347"/>
      <c r="D86" s="349" t="str">
        <f>D112</f>
        <v>Stavební práce a dodávky</v>
      </c>
      <c r="J86" s="32"/>
      <c r="K86" s="43">
        <f t="shared" si="0"/>
        <v>0</v>
      </c>
      <c r="N86" s="350">
        <f>SUM(N87:Q90)</f>
        <v>0</v>
      </c>
      <c r="O86" s="351"/>
      <c r="P86" s="351"/>
      <c r="Q86" s="351"/>
      <c r="R86" s="352"/>
      <c r="T86" s="31">
        <f>SUM(N86:Q90)/2</f>
        <v>0</v>
      </c>
      <c r="V86" s="383"/>
      <c r="W86" s="383"/>
      <c r="X86" s="383"/>
      <c r="Y86" s="383"/>
      <c r="Z86" s="383"/>
    </row>
    <row r="87" spans="2:26" s="246" customFormat="1" ht="13.2">
      <c r="B87" s="245"/>
      <c r="D87" s="247" t="str">
        <f>D114</f>
        <v xml:space="preserve">    1 - Plocha dětského hřiště</v>
      </c>
      <c r="J87" s="33"/>
      <c r="K87" s="44">
        <f t="shared" si="0"/>
        <v>0</v>
      </c>
      <c r="N87" s="248">
        <f>N114</f>
        <v>0</v>
      </c>
      <c r="O87" s="249"/>
      <c r="P87" s="249"/>
      <c r="Q87" s="249"/>
      <c r="R87" s="250"/>
      <c r="T87" s="23"/>
      <c r="V87" s="192"/>
      <c r="W87" s="192"/>
      <c r="X87" s="192"/>
      <c r="Y87" s="192"/>
      <c r="Z87" s="192"/>
    </row>
    <row r="88" spans="2:26" s="246" customFormat="1" ht="13.2">
      <c r="B88" s="245"/>
      <c r="D88" s="247" t="str">
        <f>D186</f>
        <v xml:space="preserve">    2 - Plocha dvora ZUŠ</v>
      </c>
      <c r="J88" s="33"/>
      <c r="K88" s="44">
        <f t="shared" si="0"/>
        <v>0</v>
      </c>
      <c r="N88" s="248">
        <f>N186</f>
        <v>0</v>
      </c>
      <c r="O88" s="249"/>
      <c r="P88" s="249"/>
      <c r="Q88" s="249"/>
      <c r="R88" s="250"/>
      <c r="T88" s="23"/>
      <c r="V88" s="192"/>
      <c r="W88" s="192"/>
      <c r="X88" s="192"/>
      <c r="Y88" s="192"/>
      <c r="Z88" s="192"/>
    </row>
    <row r="89" spans="2:26" s="246" customFormat="1" ht="13.2">
      <c r="B89" s="245"/>
      <c r="D89" s="247" t="str">
        <f>D230</f>
        <v xml:space="preserve">    3 - Ostatní společné práce a dodávky</v>
      </c>
      <c r="J89" s="33"/>
      <c r="K89" s="44">
        <f t="shared" si="0"/>
        <v>0</v>
      </c>
      <c r="N89" s="248">
        <f>N230</f>
        <v>0</v>
      </c>
      <c r="O89" s="249"/>
      <c r="P89" s="249"/>
      <c r="Q89" s="249"/>
      <c r="R89" s="250"/>
      <c r="T89" s="23"/>
      <c r="V89" s="192"/>
      <c r="W89" s="192"/>
      <c r="X89" s="192"/>
      <c r="Y89" s="192"/>
      <c r="Z89" s="192"/>
    </row>
    <row r="90" spans="2:26" s="246" customFormat="1" ht="13.2">
      <c r="B90" s="245"/>
      <c r="D90" s="247" t="str">
        <f>D259</f>
        <v xml:space="preserve">    998 - Přesuny hmot</v>
      </c>
      <c r="J90" s="33"/>
      <c r="K90" s="44">
        <f t="shared" si="0"/>
        <v>0</v>
      </c>
      <c r="N90" s="248">
        <f>N259</f>
        <v>0</v>
      </c>
      <c r="O90" s="249"/>
      <c r="P90" s="249"/>
      <c r="Q90" s="249"/>
      <c r="R90" s="250"/>
      <c r="V90" s="192"/>
      <c r="W90" s="192"/>
      <c r="X90" s="192"/>
      <c r="Y90" s="192"/>
      <c r="Z90" s="192"/>
    </row>
    <row r="91" spans="2:26">
      <c r="B91" s="209"/>
      <c r="J91" s="26"/>
      <c r="R91" s="210"/>
    </row>
    <row r="92" spans="2:26" ht="15.6">
      <c r="B92" s="209"/>
      <c r="C92" s="202" t="s">
        <v>64</v>
      </c>
      <c r="D92" s="203"/>
      <c r="E92" s="203"/>
      <c r="F92" s="203"/>
      <c r="G92" s="203"/>
      <c r="H92" s="203"/>
      <c r="I92" s="203"/>
      <c r="J92" s="30"/>
      <c r="K92" s="45">
        <f>L92/$I$83</f>
        <v>0</v>
      </c>
      <c r="L92" s="204">
        <f>ROUND(N85,2)</f>
        <v>0</v>
      </c>
      <c r="M92" s="204"/>
      <c r="N92" s="204"/>
      <c r="O92" s="204"/>
      <c r="P92" s="204"/>
      <c r="Q92" s="204"/>
      <c r="R92" s="210"/>
    </row>
    <row r="93" spans="2:26">
      <c r="B93" s="231"/>
      <c r="C93" s="232"/>
      <c r="D93" s="232"/>
      <c r="E93" s="232"/>
      <c r="F93" s="232"/>
      <c r="G93" s="232"/>
      <c r="H93" s="232"/>
      <c r="I93" s="232"/>
      <c r="J93" s="62"/>
      <c r="K93" s="232"/>
      <c r="L93" s="232"/>
      <c r="M93" s="232"/>
      <c r="N93" s="232"/>
      <c r="O93" s="232"/>
      <c r="P93" s="232"/>
      <c r="Q93" s="232"/>
      <c r="R93" s="233"/>
    </row>
    <row r="97" spans="2:26">
      <c r="B97" s="206"/>
      <c r="C97" s="207"/>
      <c r="D97" s="207"/>
      <c r="E97" s="207"/>
      <c r="F97" s="207"/>
      <c r="G97" s="207"/>
      <c r="H97" s="207"/>
      <c r="I97" s="207"/>
      <c r="J97" s="61"/>
      <c r="K97" s="207"/>
      <c r="L97" s="207"/>
      <c r="M97" s="207"/>
      <c r="N97" s="207"/>
      <c r="O97" s="207"/>
      <c r="P97" s="207"/>
      <c r="Q97" s="207"/>
      <c r="R97" s="208"/>
    </row>
    <row r="98" spans="2:26" ht="21">
      <c r="B98" s="209"/>
      <c r="C98" s="146" t="s">
        <v>45</v>
      </c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210"/>
    </row>
    <row r="99" spans="2:26" ht="2.25" customHeight="1">
      <c r="B99" s="209"/>
      <c r="J99" s="26"/>
      <c r="R99" s="210"/>
    </row>
    <row r="100" spans="2:26" ht="11.4">
      <c r="B100" s="209"/>
      <c r="C100" s="140" t="s">
        <v>3</v>
      </c>
      <c r="F100" s="211" t="str">
        <f>F4</f>
        <v>Revitalizace veřejného prostoru v proluce mezi ZUŠ a domem čp. 23 vč. přilehlých prostor ul. Radniční</v>
      </c>
      <c r="G100" s="212"/>
      <c r="H100" s="212"/>
      <c r="I100" s="212"/>
      <c r="J100" s="212"/>
      <c r="K100" s="212"/>
      <c r="L100" s="212"/>
      <c r="M100" s="212"/>
      <c r="N100" s="212"/>
      <c r="O100" s="212"/>
      <c r="P100" s="212"/>
      <c r="R100" s="210"/>
    </row>
    <row r="101" spans="2:26" ht="15.6">
      <c r="B101" s="209"/>
      <c r="C101" s="135" t="s">
        <v>39</v>
      </c>
      <c r="F101" s="109" t="str">
        <f>F5</f>
        <v>SO.03 dětské hřiště</v>
      </c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R101" s="210"/>
    </row>
    <row r="102" spans="2:26">
      <c r="B102" s="209"/>
      <c r="J102" s="26"/>
      <c r="R102" s="210"/>
    </row>
    <row r="103" spans="2:26" ht="11.4">
      <c r="B103" s="209"/>
      <c r="C103" s="140" t="s">
        <v>6</v>
      </c>
      <c r="F103" s="145" t="str">
        <f>F7</f>
        <v>Radniční ul. Bílina
p.č. 107, 120/1, 122, 125/1, 125/2, 125/3, 126, k.ú. Bílina [604208]</v>
      </c>
      <c r="J103" s="26"/>
      <c r="K103" s="140" t="s">
        <v>7</v>
      </c>
      <c r="M103" s="166">
        <f>IF(O7="","",O7)</f>
        <v>0</v>
      </c>
      <c r="N103" s="166"/>
      <c r="O103" s="166"/>
      <c r="P103" s="166"/>
      <c r="R103" s="210"/>
    </row>
    <row r="104" spans="2:26">
      <c r="B104" s="209"/>
      <c r="J104" s="26"/>
      <c r="R104" s="210"/>
    </row>
    <row r="105" spans="2:26" ht="48.75" customHeight="1">
      <c r="B105" s="209"/>
      <c r="C105" s="140" t="s">
        <v>8</v>
      </c>
      <c r="F105" s="127" t="str">
        <f>F80</f>
        <v>město Bílina
Břežanská 50/4, 418 31 Bílina</v>
      </c>
      <c r="G105" s="127"/>
      <c r="H105" s="127"/>
      <c r="I105" s="127"/>
      <c r="J105" s="127"/>
      <c r="K105" s="140" t="s">
        <v>13</v>
      </c>
      <c r="M105" s="136" t="str">
        <f>E16</f>
        <v xml:space="preserve">Ing. arch. MgA. Bořek Peška </v>
      </c>
      <c r="N105" s="136"/>
      <c r="O105" s="136"/>
      <c r="P105" s="136"/>
      <c r="Q105" s="136"/>
      <c r="R105" s="210"/>
    </row>
    <row r="106" spans="2:26" ht="11.4">
      <c r="B106" s="209"/>
      <c r="C106" s="140" t="s">
        <v>11</v>
      </c>
      <c r="F106" s="145">
        <f>F81</f>
        <v>0</v>
      </c>
      <c r="J106" s="26"/>
      <c r="K106" s="140" t="s">
        <v>14</v>
      </c>
      <c r="M106" s="136" t="str">
        <f>E19</f>
        <v>Jakub Kulhavý</v>
      </c>
      <c r="N106" s="136"/>
      <c r="O106" s="136"/>
      <c r="P106" s="136"/>
      <c r="Q106" s="136"/>
      <c r="R106" s="210"/>
    </row>
    <row r="107" spans="2:26" ht="11.4">
      <c r="B107" s="209"/>
      <c r="C107" s="140"/>
      <c r="F107" s="211"/>
      <c r="G107" s="212"/>
      <c r="H107" s="212"/>
      <c r="I107" s="212"/>
      <c r="J107" s="212"/>
      <c r="K107" s="212"/>
      <c r="L107" s="212"/>
      <c r="M107" s="212"/>
      <c r="N107" s="212"/>
      <c r="O107" s="212"/>
      <c r="P107" s="212"/>
      <c r="R107" s="210"/>
    </row>
    <row r="108" spans="2:26" ht="28.5" customHeight="1">
      <c r="B108" s="209"/>
      <c r="C108" s="140" t="s">
        <v>67</v>
      </c>
      <c r="F108" s="139" t="s">
        <v>103</v>
      </c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R108" s="210"/>
    </row>
    <row r="109" spans="2:26" ht="3.75" customHeight="1">
      <c r="B109" s="209"/>
      <c r="J109" s="26"/>
      <c r="R109" s="210"/>
    </row>
    <row r="110" spans="2:26" s="258" customFormat="1" ht="22.8">
      <c r="B110" s="251"/>
      <c r="C110" s="252" t="s">
        <v>46</v>
      </c>
      <c r="D110" s="253" t="s">
        <v>47</v>
      </c>
      <c r="E110" s="253" t="s">
        <v>34</v>
      </c>
      <c r="F110" s="254" t="s">
        <v>48</v>
      </c>
      <c r="G110" s="254"/>
      <c r="H110" s="254"/>
      <c r="I110" s="254"/>
      <c r="J110" s="34" t="s">
        <v>49</v>
      </c>
      <c r="K110" s="253" t="s">
        <v>50</v>
      </c>
      <c r="L110" s="255" t="s">
        <v>51</v>
      </c>
      <c r="M110" s="255"/>
      <c r="N110" s="254" t="s">
        <v>43</v>
      </c>
      <c r="O110" s="254"/>
      <c r="P110" s="254"/>
      <c r="Q110" s="256"/>
      <c r="R110" s="257"/>
      <c r="T110" s="24"/>
      <c r="U110" s="259"/>
      <c r="V110" s="259"/>
      <c r="W110" s="259"/>
      <c r="X110" s="259"/>
      <c r="Y110" s="259"/>
      <c r="Z110" s="259"/>
    </row>
    <row r="111" spans="2:26" ht="15.6">
      <c r="B111" s="209"/>
      <c r="C111" s="176" t="s">
        <v>40</v>
      </c>
      <c r="J111" s="26"/>
      <c r="N111" s="260">
        <f>N112</f>
        <v>0</v>
      </c>
      <c r="O111" s="261"/>
      <c r="P111" s="261"/>
      <c r="Q111" s="261"/>
      <c r="R111" s="210"/>
      <c r="T111" s="22">
        <f>T112</f>
        <v>0</v>
      </c>
    </row>
    <row r="112" spans="2:26" s="266" customFormat="1" ht="15">
      <c r="B112" s="262"/>
      <c r="D112" s="349" t="s">
        <v>191</v>
      </c>
      <c r="E112" s="349"/>
      <c r="F112" s="349"/>
      <c r="G112" s="349"/>
      <c r="H112" s="349"/>
      <c r="I112" s="349"/>
      <c r="J112" s="35"/>
      <c r="K112" s="349"/>
      <c r="L112" s="349"/>
      <c r="M112" s="349"/>
      <c r="N112" s="350">
        <f>N114+N186+N230+N259</f>
        <v>0</v>
      </c>
      <c r="O112" s="350"/>
      <c r="P112" s="350"/>
      <c r="Q112" s="350"/>
      <c r="R112" s="265"/>
      <c r="T112" s="25">
        <f>SUM(N112:Q261)/3</f>
        <v>0</v>
      </c>
      <c r="U112" s="384"/>
      <c r="V112" s="384"/>
      <c r="W112" s="384"/>
      <c r="X112" s="384"/>
      <c r="Y112" s="384"/>
      <c r="Z112" s="141"/>
    </row>
    <row r="113" spans="2:26" s="354" customFormat="1">
      <c r="B113" s="353"/>
      <c r="E113" s="355" t="s">
        <v>407</v>
      </c>
      <c r="F113" s="355"/>
      <c r="G113" s="355"/>
      <c r="H113" s="355"/>
      <c r="I113" s="355"/>
      <c r="J113" s="355"/>
      <c r="K113" s="355"/>
      <c r="R113" s="356"/>
      <c r="T113" s="52"/>
      <c r="U113" s="67"/>
      <c r="V113" s="69"/>
      <c r="W113" s="69"/>
      <c r="X113" s="69"/>
      <c r="Y113" s="70"/>
      <c r="Z113" s="375"/>
    </row>
    <row r="114" spans="2:26" s="266" customFormat="1" ht="13.2">
      <c r="B114" s="262"/>
      <c r="C114" s="263"/>
      <c r="D114" s="263" t="s">
        <v>307</v>
      </c>
      <c r="E114" s="263"/>
      <c r="F114" s="263"/>
      <c r="G114" s="263"/>
      <c r="H114" s="263"/>
      <c r="I114" s="263"/>
      <c r="J114" s="36"/>
      <c r="K114" s="357">
        <f>SUM(K115:K119)</f>
        <v>607.38400000000001</v>
      </c>
      <c r="L114" s="155"/>
      <c r="M114" s="155"/>
      <c r="N114" s="264">
        <f>SUM(N115:Q185)</f>
        <v>0</v>
      </c>
      <c r="O114" s="264"/>
      <c r="P114" s="264"/>
      <c r="Q114" s="264"/>
      <c r="R114" s="265"/>
      <c r="T114" s="37">
        <f>SUM(N114:Q185)/2</f>
        <v>0</v>
      </c>
      <c r="V114" s="396" t="s">
        <v>118</v>
      </c>
      <c r="W114" s="396" t="s">
        <v>107</v>
      </c>
      <c r="X114" s="396" t="s">
        <v>108</v>
      </c>
      <c r="Y114" s="396" t="s">
        <v>109</v>
      </c>
      <c r="Z114" s="141"/>
    </row>
    <row r="115" spans="2:26" s="360" customFormat="1" ht="10.199999999999999" customHeight="1" outlineLevel="1">
      <c r="B115" s="359"/>
      <c r="E115" s="361" t="s">
        <v>309</v>
      </c>
      <c r="F115" s="362" t="s">
        <v>325</v>
      </c>
      <c r="G115" s="363"/>
      <c r="H115" s="363"/>
      <c r="I115" s="363"/>
      <c r="J115" s="50" t="s">
        <v>53</v>
      </c>
      <c r="K115" s="364">
        <v>426.3</v>
      </c>
      <c r="L115" s="157"/>
      <c r="M115" s="157"/>
      <c r="R115" s="365"/>
      <c r="T115" s="51"/>
      <c r="V115" s="66">
        <f>SUM(V117:V266)</f>
        <v>-203.00672000000003</v>
      </c>
      <c r="W115" s="66">
        <f>SUM(W117:W266)</f>
        <v>0</v>
      </c>
      <c r="X115" s="66">
        <f>SUM(X117:X266)</f>
        <v>0</v>
      </c>
      <c r="Y115" s="66">
        <f>SUM(Y117:Y266)</f>
        <v>0</v>
      </c>
      <c r="Z115" s="141"/>
    </row>
    <row r="116" spans="2:26" s="360" customFormat="1" ht="10.199999999999999" customHeight="1" outlineLevel="1">
      <c r="B116" s="359"/>
      <c r="E116" s="406" t="s">
        <v>310</v>
      </c>
      <c r="F116" s="407" t="s">
        <v>315</v>
      </c>
      <c r="G116" s="408"/>
      <c r="H116" s="408"/>
      <c r="I116" s="408"/>
      <c r="J116" s="50" t="s">
        <v>53</v>
      </c>
      <c r="K116" s="409">
        <v>15.7</v>
      </c>
      <c r="L116" s="157"/>
      <c r="M116" s="157"/>
      <c r="R116" s="365"/>
      <c r="T116" s="51"/>
      <c r="U116" s="66"/>
      <c r="V116" s="66"/>
      <c r="W116" s="66"/>
      <c r="X116" s="66"/>
      <c r="Y116" s="22"/>
      <c r="Z116" s="141"/>
    </row>
    <row r="117" spans="2:26" s="360" customFormat="1" ht="10.199999999999999" customHeight="1" outlineLevel="1">
      <c r="B117" s="359"/>
      <c r="E117" s="406" t="s">
        <v>311</v>
      </c>
      <c r="F117" s="407" t="s">
        <v>314</v>
      </c>
      <c r="G117" s="408"/>
      <c r="H117" s="408"/>
      <c r="I117" s="408"/>
      <c r="J117" s="50" t="s">
        <v>53</v>
      </c>
      <c r="K117" s="409">
        <f>2.04*0.7*3</f>
        <v>4.2839999999999998</v>
      </c>
      <c r="L117" s="157"/>
      <c r="M117" s="157"/>
      <c r="R117" s="365"/>
      <c r="T117" s="51"/>
      <c r="U117" s="66"/>
      <c r="V117" s="66"/>
      <c r="W117" s="66"/>
      <c r="X117" s="66"/>
      <c r="Y117" s="22"/>
      <c r="Z117" s="141"/>
    </row>
    <row r="118" spans="2:26" s="360" customFormat="1" ht="20.399999999999999" outlineLevel="1">
      <c r="B118" s="359"/>
      <c r="E118" s="406" t="s">
        <v>831</v>
      </c>
      <c r="F118" s="407" t="s">
        <v>830</v>
      </c>
      <c r="G118" s="408"/>
      <c r="H118" s="408"/>
      <c r="I118" s="408"/>
      <c r="J118" s="50" t="s">
        <v>53</v>
      </c>
      <c r="K118" s="409">
        <v>10</v>
      </c>
      <c r="L118" s="157"/>
      <c r="M118" s="157"/>
      <c r="R118" s="365"/>
      <c r="T118" s="51"/>
      <c r="U118" s="66"/>
      <c r="V118" s="66"/>
      <c r="W118" s="66"/>
      <c r="X118" s="66"/>
      <c r="Y118" s="22"/>
      <c r="Z118" s="141"/>
    </row>
    <row r="119" spans="2:26" s="360" customFormat="1" ht="20.399999999999999" outlineLevel="1">
      <c r="B119" s="359"/>
      <c r="E119" s="406" t="s">
        <v>765</v>
      </c>
      <c r="F119" s="407" t="s">
        <v>766</v>
      </c>
      <c r="G119" s="408"/>
      <c r="H119" s="408"/>
      <c r="I119" s="408"/>
      <c r="J119" s="50" t="s">
        <v>53</v>
      </c>
      <c r="K119" s="409">
        <f>12.9+96.3+8.1+33.8</f>
        <v>151.1</v>
      </c>
      <c r="L119" s="157"/>
      <c r="M119" s="157"/>
      <c r="R119" s="365"/>
      <c r="T119" s="51"/>
      <c r="U119" s="66"/>
      <c r="V119" s="66"/>
      <c r="W119" s="66"/>
      <c r="X119" s="66"/>
      <c r="Y119" s="22"/>
      <c r="Z119" s="141"/>
    </row>
    <row r="120" spans="2:26" s="360" customFormat="1" ht="10.199999999999999" customHeight="1" outlineLevel="1">
      <c r="B120" s="359"/>
      <c r="E120" s="406"/>
      <c r="F120" s="407"/>
      <c r="G120" s="408"/>
      <c r="H120" s="408"/>
      <c r="I120" s="408"/>
      <c r="J120" s="50"/>
      <c r="K120" s="409"/>
      <c r="L120" s="157"/>
      <c r="M120" s="157"/>
      <c r="R120" s="365"/>
      <c r="T120" s="51"/>
      <c r="U120" s="66"/>
      <c r="V120" s="66"/>
      <c r="W120" s="66"/>
      <c r="X120" s="66"/>
      <c r="Y120" s="22"/>
      <c r="Z120" s="141"/>
    </row>
    <row r="121" spans="2:26" s="275" customFormat="1" outlineLevel="1">
      <c r="B121" s="267"/>
      <c r="C121" s="268"/>
      <c r="D121" s="268"/>
      <c r="E121" s="269" t="s">
        <v>331</v>
      </c>
      <c r="F121" s="270"/>
      <c r="G121" s="270"/>
      <c r="H121" s="270"/>
      <c r="I121" s="271"/>
      <c r="J121" s="49"/>
      <c r="K121" s="272"/>
      <c r="L121" s="92"/>
      <c r="M121" s="92"/>
      <c r="N121" s="273"/>
      <c r="O121" s="273"/>
      <c r="P121" s="273"/>
      <c r="Q121" s="273"/>
      <c r="R121" s="274"/>
      <c r="T121" s="48"/>
      <c r="U121" s="67"/>
      <c r="V121" s="69"/>
      <c r="W121" s="69"/>
      <c r="X121" s="69"/>
      <c r="Y121" s="70">
        <f>SUM(Y234:Y415)</f>
        <v>0</v>
      </c>
      <c r="Z121" s="375"/>
    </row>
    <row r="122" spans="2:26" outlineLevel="1">
      <c r="B122" s="209"/>
      <c r="C122" s="277">
        <v>1</v>
      </c>
      <c r="D122" s="277" t="s">
        <v>52</v>
      </c>
      <c r="E122" s="278">
        <v>181951112</v>
      </c>
      <c r="F122" s="279" t="s">
        <v>316</v>
      </c>
      <c r="G122" s="279"/>
      <c r="H122" s="279"/>
      <c r="I122" s="279"/>
      <c r="J122" s="38" t="s">
        <v>53</v>
      </c>
      <c r="K122" s="281">
        <f>SUM(K123:K123)</f>
        <v>607.38400000000001</v>
      </c>
      <c r="L122" s="91"/>
      <c r="M122" s="91"/>
      <c r="N122" s="280">
        <f>ROUND(L122*K122,2)</f>
        <v>0</v>
      </c>
      <c r="O122" s="280"/>
      <c r="P122" s="280"/>
      <c r="Q122" s="280"/>
      <c r="R122" s="210"/>
      <c r="T122" s="25"/>
    </row>
    <row r="123" spans="2:26" s="360" customFormat="1" outlineLevel="1">
      <c r="B123" s="359"/>
      <c r="E123" s="361" t="s">
        <v>317</v>
      </c>
      <c r="F123" s="362"/>
      <c r="G123" s="363"/>
      <c r="H123" s="363"/>
      <c r="I123" s="363"/>
      <c r="J123" s="50"/>
      <c r="K123" s="364">
        <f>K114</f>
        <v>607.38400000000001</v>
      </c>
      <c r="L123" s="157"/>
      <c r="M123" s="157"/>
      <c r="R123" s="365"/>
      <c r="T123" s="51"/>
      <c r="U123" s="22"/>
      <c r="V123" s="22"/>
      <c r="W123" s="22"/>
      <c r="X123" s="22"/>
      <c r="Y123" s="22"/>
      <c r="Z123" s="141"/>
    </row>
    <row r="124" spans="2:26" ht="10.199999999999999" customHeight="1" outlineLevel="1">
      <c r="B124" s="209"/>
      <c r="C124" s="277">
        <f>C122+1</f>
        <v>2</v>
      </c>
      <c r="D124" s="277" t="s">
        <v>52</v>
      </c>
      <c r="E124" s="278">
        <v>564951313</v>
      </c>
      <c r="F124" s="279" t="s">
        <v>793</v>
      </c>
      <c r="G124" s="279"/>
      <c r="H124" s="279"/>
      <c r="I124" s="279"/>
      <c r="J124" s="38" t="s">
        <v>54</v>
      </c>
      <c r="K124" s="281">
        <f>SUM(K125:K125)</f>
        <v>364.43040000000002</v>
      </c>
      <c r="L124" s="91"/>
      <c r="M124" s="91"/>
      <c r="N124" s="280">
        <f>ROUND(L124*K124,2)</f>
        <v>0</v>
      </c>
      <c r="O124" s="280"/>
      <c r="P124" s="280"/>
      <c r="Q124" s="280"/>
      <c r="R124" s="210"/>
      <c r="T124" s="25"/>
    </row>
    <row r="125" spans="2:26" s="360" customFormat="1" ht="10.199999999999999" customHeight="1" outlineLevel="1">
      <c r="B125" s="359"/>
      <c r="E125" s="361" t="s">
        <v>794</v>
      </c>
      <c r="F125" s="362" t="s">
        <v>827</v>
      </c>
      <c r="G125" s="363" t="e">
        <f t="shared" ref="G125:I125" si="1">(2.3+2.75)*F125</f>
        <v>#VALUE!</v>
      </c>
      <c r="H125" s="363" t="e">
        <f t="shared" si="1"/>
        <v>#VALUE!</v>
      </c>
      <c r="I125" s="363" t="e">
        <f t="shared" si="1"/>
        <v>#VALUE!</v>
      </c>
      <c r="J125" s="53">
        <v>0.3</v>
      </c>
      <c r="K125" s="364">
        <f>K122*2*J125</f>
        <v>364.43040000000002</v>
      </c>
      <c r="L125" s="157"/>
      <c r="M125" s="157"/>
      <c r="R125" s="365"/>
      <c r="T125" s="51"/>
      <c r="U125" s="22"/>
      <c r="V125" s="22"/>
      <c r="W125" s="22"/>
      <c r="X125" s="22"/>
      <c r="Y125" s="22"/>
      <c r="Z125" s="141"/>
    </row>
    <row r="126" spans="2:26" ht="27" customHeight="1" outlineLevel="1">
      <c r="B126" s="209"/>
      <c r="C126" s="277">
        <f>C124+1</f>
        <v>3</v>
      </c>
      <c r="D126" s="277" t="s">
        <v>52</v>
      </c>
      <c r="E126" s="278">
        <v>451597777</v>
      </c>
      <c r="F126" s="279" t="s">
        <v>321</v>
      </c>
      <c r="G126" s="279"/>
      <c r="H126" s="279"/>
      <c r="I126" s="279"/>
      <c r="J126" s="38" t="s">
        <v>53</v>
      </c>
      <c r="K126" s="410">
        <f>SUM(K127:K127)</f>
        <v>4.2839999999999998</v>
      </c>
      <c r="L126" s="91"/>
      <c r="M126" s="91"/>
      <c r="N126" s="280">
        <f>ROUND(L126*K126,2)</f>
        <v>0</v>
      </c>
      <c r="O126" s="280"/>
      <c r="P126" s="280"/>
      <c r="Q126" s="280"/>
      <c r="R126" s="210"/>
      <c r="T126" s="25"/>
      <c r="U126" s="141">
        <f>1.6*0.05*-1</f>
        <v>-8.0000000000000016E-2</v>
      </c>
      <c r="V126" s="141">
        <f>K126*U126</f>
        <v>-0.34272000000000002</v>
      </c>
    </row>
    <row r="127" spans="2:26" s="360" customFormat="1" outlineLevel="1">
      <c r="B127" s="359"/>
      <c r="E127" s="361" t="s">
        <v>322</v>
      </c>
      <c r="F127" s="362" t="s">
        <v>347</v>
      </c>
      <c r="G127" s="363"/>
      <c r="H127" s="363"/>
      <c r="I127" s="363"/>
      <c r="J127" s="50"/>
      <c r="K127" s="409">
        <f>K117</f>
        <v>4.2839999999999998</v>
      </c>
      <c r="L127" s="157"/>
      <c r="M127" s="157"/>
      <c r="R127" s="365"/>
      <c r="T127" s="51"/>
      <c r="U127" s="22"/>
      <c r="V127" s="22"/>
      <c r="W127" s="22"/>
      <c r="X127" s="22"/>
      <c r="Y127" s="22"/>
      <c r="Z127" s="141"/>
    </row>
    <row r="128" spans="2:26" outlineLevel="1">
      <c r="B128" s="209"/>
      <c r="C128" s="277">
        <f>C126+1</f>
        <v>4</v>
      </c>
      <c r="D128" s="277" t="s">
        <v>52</v>
      </c>
      <c r="E128" s="278">
        <v>131213701</v>
      </c>
      <c r="F128" s="279" t="s">
        <v>323</v>
      </c>
      <c r="G128" s="279"/>
      <c r="H128" s="279"/>
      <c r="I128" s="279"/>
      <c r="J128" s="38" t="s">
        <v>54</v>
      </c>
      <c r="K128" s="410">
        <f>SUM(K129:K129)</f>
        <v>8.75</v>
      </c>
      <c r="L128" s="91"/>
      <c r="M128" s="91"/>
      <c r="N128" s="280">
        <f>ROUND(L128*K128,2)</f>
        <v>0</v>
      </c>
      <c r="O128" s="280"/>
      <c r="P128" s="280"/>
      <c r="Q128" s="280"/>
      <c r="R128" s="210"/>
      <c r="T128" s="25"/>
      <c r="U128" s="141">
        <v>1.6</v>
      </c>
      <c r="V128" s="141">
        <f>K128*U128</f>
        <v>14</v>
      </c>
    </row>
    <row r="129" spans="2:26" s="360" customFormat="1" outlineLevel="1">
      <c r="B129" s="359"/>
      <c r="E129" s="361" t="s">
        <v>329</v>
      </c>
      <c r="F129" s="362" t="s">
        <v>845</v>
      </c>
      <c r="G129" s="363">
        <f t="shared" ref="G129:I129" si="2">6*3*0.3</f>
        <v>5.3999999999999995</v>
      </c>
      <c r="H129" s="363">
        <f t="shared" si="2"/>
        <v>5.3999999999999995</v>
      </c>
      <c r="I129" s="363">
        <f t="shared" si="2"/>
        <v>5.3999999999999995</v>
      </c>
      <c r="J129" s="50"/>
      <c r="K129" s="409">
        <f>5*3.5*0.5</f>
        <v>8.75</v>
      </c>
      <c r="L129" s="157"/>
      <c r="M129" s="157"/>
      <c r="R129" s="365"/>
      <c r="T129" s="51"/>
      <c r="U129" s="22"/>
      <c r="V129" s="22"/>
      <c r="W129" s="22"/>
      <c r="X129" s="22"/>
      <c r="Y129" s="22"/>
      <c r="Z129" s="141"/>
    </row>
    <row r="130" spans="2:26" s="354" customFormat="1" outlineLevel="1">
      <c r="B130" s="353"/>
      <c r="K130" s="411"/>
      <c r="L130" s="156"/>
      <c r="M130" s="156"/>
      <c r="R130" s="365"/>
      <c r="S130" s="360"/>
      <c r="V130" s="375"/>
      <c r="W130" s="375"/>
      <c r="X130" s="375"/>
      <c r="Y130" s="375"/>
      <c r="Z130" s="375"/>
    </row>
    <row r="131" spans="2:26" s="275" customFormat="1" outlineLevel="1">
      <c r="B131" s="267"/>
      <c r="C131" s="268"/>
      <c r="D131" s="268"/>
      <c r="E131" s="269" t="s">
        <v>318</v>
      </c>
      <c r="F131" s="270"/>
      <c r="G131" s="270"/>
      <c r="H131" s="270"/>
      <c r="I131" s="271"/>
      <c r="J131" s="49" t="s">
        <v>53</v>
      </c>
      <c r="K131" s="272">
        <f>K117</f>
        <v>4.2839999999999998</v>
      </c>
      <c r="L131" s="92"/>
      <c r="M131" s="92"/>
      <c r="N131" s="273"/>
      <c r="O131" s="273"/>
      <c r="P131" s="273"/>
      <c r="Q131" s="273"/>
      <c r="R131" s="274"/>
      <c r="T131" s="48"/>
      <c r="U131" s="67"/>
      <c r="V131" s="69"/>
      <c r="W131" s="69"/>
      <c r="X131" s="69"/>
      <c r="Y131" s="70">
        <f>SUM(Y234:Y415)</f>
        <v>0</v>
      </c>
      <c r="Z131" s="375"/>
    </row>
    <row r="132" spans="2:26" outlineLevel="1">
      <c r="B132" s="209"/>
      <c r="C132" s="277">
        <f>C128+1</f>
        <v>5</v>
      </c>
      <c r="D132" s="277" t="s">
        <v>52</v>
      </c>
      <c r="E132" s="278">
        <v>564851011</v>
      </c>
      <c r="F132" s="279" t="s">
        <v>330</v>
      </c>
      <c r="G132" s="279"/>
      <c r="H132" s="279"/>
      <c r="I132" s="279"/>
      <c r="J132" s="38" t="s">
        <v>53</v>
      </c>
      <c r="K132" s="281">
        <f>SUM(K133:K133)</f>
        <v>4.2839999999999998</v>
      </c>
      <c r="L132" s="91"/>
      <c r="M132" s="91"/>
      <c r="N132" s="280">
        <f>ROUND(L132*K132,2)</f>
        <v>0</v>
      </c>
      <c r="O132" s="280"/>
      <c r="P132" s="280"/>
      <c r="Q132" s="280"/>
      <c r="R132" s="210"/>
      <c r="T132" s="25"/>
    </row>
    <row r="133" spans="2:26" s="360" customFormat="1" ht="10.199999999999999" customHeight="1" outlineLevel="1">
      <c r="B133" s="359"/>
      <c r="E133" s="361" t="s">
        <v>117</v>
      </c>
      <c r="F133" s="362" t="s">
        <v>327</v>
      </c>
      <c r="G133" s="363">
        <f t="shared" ref="G133:I133" si="3">(0.3*2)*1+(0.4*2)*1+0.3*3.87</f>
        <v>2.5609999999999999</v>
      </c>
      <c r="H133" s="363">
        <f t="shared" si="3"/>
        <v>2.5609999999999999</v>
      </c>
      <c r="I133" s="363">
        <f t="shared" si="3"/>
        <v>2.5609999999999999</v>
      </c>
      <c r="J133" s="50"/>
      <c r="K133" s="364">
        <f>K131</f>
        <v>4.2839999999999998</v>
      </c>
      <c r="L133" s="157"/>
      <c r="M133" s="157"/>
      <c r="R133" s="365"/>
      <c r="T133" s="51"/>
      <c r="U133" s="22"/>
      <c r="V133" s="22"/>
      <c r="W133" s="22"/>
      <c r="X133" s="22"/>
      <c r="Y133" s="22"/>
      <c r="Z133" s="141"/>
    </row>
    <row r="134" spans="2:26" outlineLevel="1">
      <c r="B134" s="209"/>
      <c r="C134" s="277">
        <f>C132+1</f>
        <v>6</v>
      </c>
      <c r="D134" s="277" t="s">
        <v>52</v>
      </c>
      <c r="E134" s="278">
        <v>591211111</v>
      </c>
      <c r="F134" s="279" t="s">
        <v>226</v>
      </c>
      <c r="G134" s="279"/>
      <c r="H134" s="279"/>
      <c r="I134" s="279"/>
      <c r="J134" s="38" t="s">
        <v>53</v>
      </c>
      <c r="K134" s="281">
        <f>K131</f>
        <v>4.2839999999999998</v>
      </c>
      <c r="L134" s="91"/>
      <c r="M134" s="91"/>
      <c r="N134" s="280">
        <f>ROUND(L134*K134,2)</f>
        <v>0</v>
      </c>
      <c r="O134" s="280"/>
      <c r="P134" s="280"/>
      <c r="Q134" s="280"/>
      <c r="R134" s="210"/>
      <c r="T134" s="25"/>
    </row>
    <row r="135" spans="2:26" ht="11.25" customHeight="1" outlineLevel="1">
      <c r="B135" s="209"/>
      <c r="C135" s="367">
        <f>C134+1</f>
        <v>7</v>
      </c>
      <c r="D135" s="367" t="s">
        <v>55</v>
      </c>
      <c r="E135" s="368">
        <v>58381007</v>
      </c>
      <c r="F135" s="369" t="s">
        <v>369</v>
      </c>
      <c r="G135" s="369"/>
      <c r="H135" s="369"/>
      <c r="I135" s="369"/>
      <c r="J135" s="39" t="s">
        <v>53</v>
      </c>
      <c r="K135" s="370">
        <f>SUM(K136:K136)</f>
        <v>4.4981999999999998</v>
      </c>
      <c r="L135" s="96"/>
      <c r="M135" s="96"/>
      <c r="N135" s="371">
        <f t="shared" ref="N135" si="4">ROUND(L135*K135,2)</f>
        <v>0</v>
      </c>
      <c r="O135" s="280"/>
      <c r="P135" s="280"/>
      <c r="Q135" s="280"/>
      <c r="R135" s="210"/>
      <c r="T135" s="25"/>
    </row>
    <row r="136" spans="2:26" s="360" customFormat="1" outlineLevel="1">
      <c r="B136" s="359"/>
      <c r="E136" s="361" t="s">
        <v>332</v>
      </c>
      <c r="F136" s="362" t="s">
        <v>370</v>
      </c>
      <c r="G136" s="363">
        <f t="shared" ref="G136:I136" si="5">(0.3*2)*1+(0.4*2)*1+0.3*3.87</f>
        <v>2.5609999999999999</v>
      </c>
      <c r="H136" s="363">
        <f t="shared" si="5"/>
        <v>2.5609999999999999</v>
      </c>
      <c r="I136" s="363">
        <f t="shared" si="5"/>
        <v>2.5609999999999999</v>
      </c>
      <c r="J136" s="151">
        <v>0.05</v>
      </c>
      <c r="K136" s="364">
        <f>K131*(1+J136)</f>
        <v>4.4981999999999998</v>
      </c>
      <c r="L136" s="157"/>
      <c r="M136" s="157"/>
      <c r="R136" s="365"/>
      <c r="T136" s="51"/>
      <c r="U136" s="22"/>
      <c r="V136" s="22"/>
      <c r="W136" s="22"/>
      <c r="X136" s="22"/>
      <c r="Y136" s="22"/>
      <c r="Z136" s="141"/>
    </row>
    <row r="137" spans="2:26" s="275" customFormat="1" outlineLevel="1">
      <c r="B137" s="267"/>
      <c r="C137" s="268"/>
      <c r="D137" s="268"/>
      <c r="E137" s="269" t="s">
        <v>319</v>
      </c>
      <c r="F137" s="270"/>
      <c r="G137" s="270"/>
      <c r="H137" s="270"/>
      <c r="I137" s="271"/>
      <c r="J137" s="49" t="s">
        <v>53</v>
      </c>
      <c r="K137" s="272">
        <f>K116</f>
        <v>15.7</v>
      </c>
      <c r="L137" s="92"/>
      <c r="M137" s="92"/>
      <c r="N137" s="273"/>
      <c r="O137" s="273"/>
      <c r="P137" s="273"/>
      <c r="Q137" s="273"/>
      <c r="R137" s="274"/>
      <c r="T137" s="48"/>
      <c r="U137" s="67"/>
      <c r="V137" s="69"/>
      <c r="W137" s="69"/>
      <c r="X137" s="69"/>
      <c r="Y137" s="70">
        <f>SUM(Y252:Y430)</f>
        <v>0</v>
      </c>
      <c r="Z137" s="375"/>
    </row>
    <row r="138" spans="2:26" outlineLevel="1">
      <c r="B138" s="209"/>
      <c r="C138" s="277">
        <f>C135+1</f>
        <v>8</v>
      </c>
      <c r="D138" s="277" t="s">
        <v>52</v>
      </c>
      <c r="E138" s="278">
        <v>564861011</v>
      </c>
      <c r="F138" s="279" t="s">
        <v>333</v>
      </c>
      <c r="G138" s="279"/>
      <c r="H138" s="279"/>
      <c r="I138" s="279"/>
      <c r="J138" s="38" t="s">
        <v>53</v>
      </c>
      <c r="K138" s="281">
        <f>SUM(K139:K139)</f>
        <v>15.7</v>
      </c>
      <c r="L138" s="91"/>
      <c r="M138" s="91"/>
      <c r="N138" s="280">
        <f>ROUND(L138*K138,2)</f>
        <v>0</v>
      </c>
      <c r="O138" s="280"/>
      <c r="P138" s="280"/>
      <c r="Q138" s="280"/>
      <c r="R138" s="210"/>
      <c r="T138" s="25"/>
    </row>
    <row r="139" spans="2:26" s="360" customFormat="1" ht="10.199999999999999" customHeight="1" outlineLevel="1">
      <c r="B139" s="359"/>
      <c r="E139" s="361" t="s">
        <v>117</v>
      </c>
      <c r="F139" s="362" t="s">
        <v>327</v>
      </c>
      <c r="G139" s="363">
        <f t="shared" ref="G139:I139" si="6">(0.3*2)*1+(0.4*2)*1+0.3*3.87</f>
        <v>2.5609999999999999</v>
      </c>
      <c r="H139" s="363">
        <f t="shared" si="6"/>
        <v>2.5609999999999999</v>
      </c>
      <c r="I139" s="363">
        <f t="shared" si="6"/>
        <v>2.5609999999999999</v>
      </c>
      <c r="J139" s="50"/>
      <c r="K139" s="364">
        <f>K137</f>
        <v>15.7</v>
      </c>
      <c r="L139" s="157"/>
      <c r="M139" s="157"/>
      <c r="R139" s="365"/>
      <c r="T139" s="51"/>
      <c r="U139" s="22"/>
      <c r="V139" s="22"/>
      <c r="W139" s="22"/>
      <c r="X139" s="22"/>
      <c r="Y139" s="22"/>
      <c r="Z139" s="141"/>
    </row>
    <row r="140" spans="2:26" outlineLevel="1">
      <c r="B140" s="209"/>
      <c r="C140" s="277">
        <f>C138+1</f>
        <v>9</v>
      </c>
      <c r="D140" s="277" t="s">
        <v>52</v>
      </c>
      <c r="E140" s="278">
        <v>564211012</v>
      </c>
      <c r="F140" s="279" t="s">
        <v>334</v>
      </c>
      <c r="G140" s="279"/>
      <c r="H140" s="279"/>
      <c r="I140" s="279"/>
      <c r="J140" s="38" t="s">
        <v>53</v>
      </c>
      <c r="K140" s="281">
        <f>SUM(K141:K141)</f>
        <v>15.7</v>
      </c>
      <c r="L140" s="91"/>
      <c r="M140" s="91"/>
      <c r="N140" s="280">
        <f>ROUND(L140*K140,2)</f>
        <v>0</v>
      </c>
      <c r="O140" s="280"/>
      <c r="P140" s="280"/>
      <c r="Q140" s="280"/>
      <c r="R140" s="210"/>
      <c r="T140" s="25"/>
    </row>
    <row r="141" spans="2:26" s="360" customFormat="1" outlineLevel="1">
      <c r="B141" s="359"/>
      <c r="E141" s="361" t="s">
        <v>335</v>
      </c>
      <c r="F141" s="362"/>
      <c r="G141" s="363"/>
      <c r="H141" s="363"/>
      <c r="I141" s="363"/>
      <c r="J141" s="50"/>
      <c r="K141" s="364">
        <f>K137</f>
        <v>15.7</v>
      </c>
      <c r="L141" s="157"/>
      <c r="M141" s="157"/>
      <c r="R141" s="365"/>
      <c r="T141" s="51"/>
      <c r="U141" s="22"/>
      <c r="V141" s="22"/>
      <c r="W141" s="22"/>
      <c r="X141" s="22"/>
      <c r="Y141" s="22"/>
      <c r="Z141" s="141"/>
    </row>
    <row r="142" spans="2:26" outlineLevel="1">
      <c r="B142" s="209"/>
      <c r="C142" s="277">
        <f>C140+1</f>
        <v>10</v>
      </c>
      <c r="D142" s="277" t="s">
        <v>52</v>
      </c>
      <c r="E142" s="278">
        <v>564201011</v>
      </c>
      <c r="F142" s="279" t="s">
        <v>337</v>
      </c>
      <c r="G142" s="279"/>
      <c r="H142" s="279"/>
      <c r="I142" s="279"/>
      <c r="J142" s="38" t="s">
        <v>53</v>
      </c>
      <c r="K142" s="281">
        <f>SUM(K143:K143)</f>
        <v>15.7</v>
      </c>
      <c r="L142" s="91"/>
      <c r="M142" s="91"/>
      <c r="N142" s="280">
        <f>ROUND(L142*K142,2)</f>
        <v>0</v>
      </c>
      <c r="O142" s="280"/>
      <c r="P142" s="280"/>
      <c r="Q142" s="280"/>
      <c r="R142" s="210"/>
      <c r="T142" s="25"/>
    </row>
    <row r="143" spans="2:26" s="360" customFormat="1" outlineLevel="1">
      <c r="B143" s="359"/>
      <c r="E143" s="361" t="s">
        <v>336</v>
      </c>
      <c r="F143" s="362"/>
      <c r="G143" s="363"/>
      <c r="H143" s="363"/>
      <c r="I143" s="363"/>
      <c r="J143" s="50"/>
      <c r="K143" s="364">
        <f>K137</f>
        <v>15.7</v>
      </c>
      <c r="L143" s="157"/>
      <c r="M143" s="157"/>
      <c r="R143" s="365"/>
      <c r="T143" s="51"/>
      <c r="U143" s="22"/>
      <c r="V143" s="22"/>
      <c r="W143" s="22"/>
      <c r="X143" s="22"/>
      <c r="Y143" s="22"/>
      <c r="Z143" s="141"/>
    </row>
    <row r="144" spans="2:26" ht="11.25" customHeight="1" outlineLevel="1">
      <c r="B144" s="209"/>
      <c r="C144" s="367">
        <f t="shared" ref="C144" si="7">C142+1</f>
        <v>11</v>
      </c>
      <c r="D144" s="367" t="s">
        <v>59</v>
      </c>
      <c r="E144" s="368" t="s">
        <v>338</v>
      </c>
      <c r="F144" s="369" t="s">
        <v>339</v>
      </c>
      <c r="G144" s="369"/>
      <c r="H144" s="369"/>
      <c r="I144" s="369"/>
      <c r="J144" s="39" t="s">
        <v>56</v>
      </c>
      <c r="K144" s="370">
        <f>SUM(K145)</f>
        <v>1.3658999999999997</v>
      </c>
      <c r="L144" s="96"/>
      <c r="M144" s="96"/>
      <c r="N144" s="371">
        <f t="shared" ref="N144:N146" si="8">ROUND(L144*K144,2)</f>
        <v>0</v>
      </c>
      <c r="O144" s="280"/>
      <c r="P144" s="280"/>
      <c r="Q144" s="280"/>
      <c r="R144" s="210"/>
      <c r="T144" s="25"/>
    </row>
    <row r="145" spans="2:26" s="360" customFormat="1" outlineLevel="1">
      <c r="B145" s="359"/>
      <c r="E145" s="361" t="s">
        <v>335</v>
      </c>
      <c r="F145" s="362"/>
      <c r="G145" s="363"/>
      <c r="H145" s="363"/>
      <c r="I145" s="363"/>
      <c r="J145" s="50">
        <v>0.06</v>
      </c>
      <c r="K145" s="364">
        <f>K137*1.45*J145</f>
        <v>1.3658999999999997</v>
      </c>
      <c r="L145" s="157"/>
      <c r="M145" s="157"/>
      <c r="R145" s="365"/>
      <c r="T145" s="51"/>
      <c r="U145" s="22"/>
      <c r="V145" s="22"/>
      <c r="W145" s="22"/>
      <c r="X145" s="22"/>
      <c r="Y145" s="22"/>
      <c r="Z145" s="141"/>
    </row>
    <row r="146" spans="2:26" ht="11.25" customHeight="1" outlineLevel="1">
      <c r="B146" s="209"/>
      <c r="C146" s="367">
        <f>C144+1</f>
        <v>12</v>
      </c>
      <c r="D146" s="367" t="s">
        <v>59</v>
      </c>
      <c r="E146" s="368" t="s">
        <v>341</v>
      </c>
      <c r="F146" s="369" t="s">
        <v>340</v>
      </c>
      <c r="G146" s="369"/>
      <c r="H146" s="369"/>
      <c r="I146" s="369"/>
      <c r="J146" s="39" t="s">
        <v>56</v>
      </c>
      <c r="K146" s="370">
        <f>SUM(K147)</f>
        <v>0.91059999999999985</v>
      </c>
      <c r="L146" s="96"/>
      <c r="M146" s="96"/>
      <c r="N146" s="371">
        <f t="shared" si="8"/>
        <v>0</v>
      </c>
      <c r="O146" s="280"/>
      <c r="P146" s="280"/>
      <c r="Q146" s="280"/>
      <c r="R146" s="210"/>
      <c r="T146" s="25"/>
    </row>
    <row r="147" spans="2:26" s="360" customFormat="1" outlineLevel="1">
      <c r="B147" s="359"/>
      <c r="E147" s="361" t="s">
        <v>336</v>
      </c>
      <c r="F147" s="362"/>
      <c r="G147" s="363"/>
      <c r="H147" s="363"/>
      <c r="I147" s="363"/>
      <c r="J147" s="50">
        <v>0.04</v>
      </c>
      <c r="K147" s="364">
        <f>K137*1.45*J147</f>
        <v>0.91059999999999985</v>
      </c>
      <c r="L147" s="157"/>
      <c r="M147" s="157"/>
      <c r="R147" s="365"/>
      <c r="T147" s="51"/>
      <c r="U147" s="22"/>
      <c r="V147" s="22"/>
      <c r="W147" s="22"/>
      <c r="X147" s="22"/>
      <c r="Y147" s="22"/>
      <c r="Z147" s="141"/>
    </row>
    <row r="148" spans="2:26" s="275" customFormat="1" outlineLevel="1">
      <c r="B148" s="267"/>
      <c r="C148" s="268"/>
      <c r="D148" s="268"/>
      <c r="E148" s="269" t="s">
        <v>324</v>
      </c>
      <c r="F148" s="270"/>
      <c r="G148" s="270"/>
      <c r="H148" s="270"/>
      <c r="I148" s="271"/>
      <c r="J148" s="49" t="s">
        <v>53</v>
      </c>
      <c r="K148" s="272">
        <f>K115</f>
        <v>426.3</v>
      </c>
      <c r="L148" s="92"/>
      <c r="M148" s="92"/>
      <c r="N148" s="273"/>
      <c r="O148" s="273"/>
      <c r="P148" s="273"/>
      <c r="Q148" s="273"/>
      <c r="R148" s="365"/>
      <c r="S148" s="360"/>
      <c r="T148" s="48"/>
      <c r="U148" s="67"/>
      <c r="V148" s="69"/>
      <c r="W148" s="69"/>
      <c r="X148" s="69"/>
      <c r="Y148" s="70">
        <f>SUM(Y252:Y430)</f>
        <v>0</v>
      </c>
      <c r="Z148" s="375"/>
    </row>
    <row r="149" spans="2:26" outlineLevel="1">
      <c r="B149" s="209"/>
      <c r="C149" s="277">
        <f>C146+1</f>
        <v>13</v>
      </c>
      <c r="D149" s="277" t="s">
        <v>52</v>
      </c>
      <c r="E149" s="278">
        <v>919726123</v>
      </c>
      <c r="F149" s="279" t="s">
        <v>326</v>
      </c>
      <c r="G149" s="279"/>
      <c r="H149" s="279"/>
      <c r="I149" s="279"/>
      <c r="J149" s="38" t="s">
        <v>53</v>
      </c>
      <c r="K149" s="281">
        <f>SUM(K150:K150)</f>
        <v>426.3</v>
      </c>
      <c r="L149" s="91"/>
      <c r="M149" s="91"/>
      <c r="N149" s="280">
        <f>ROUND(L149*K149,2)</f>
        <v>0</v>
      </c>
      <c r="O149" s="280"/>
      <c r="P149" s="280"/>
      <c r="Q149" s="280"/>
      <c r="R149" s="210"/>
      <c r="T149" s="25"/>
    </row>
    <row r="150" spans="2:26" s="360" customFormat="1" outlineLevel="1">
      <c r="B150" s="359"/>
      <c r="E150" s="361" t="s">
        <v>117</v>
      </c>
      <c r="F150" s="362" t="s">
        <v>327</v>
      </c>
      <c r="G150" s="363">
        <f t="shared" ref="G150:I150" si="9">(0.3*2)*1+(0.4*2)*1+0.3*3.87</f>
        <v>2.5609999999999999</v>
      </c>
      <c r="H150" s="363">
        <f t="shared" si="9"/>
        <v>2.5609999999999999</v>
      </c>
      <c r="I150" s="363">
        <f t="shared" si="9"/>
        <v>2.5609999999999999</v>
      </c>
      <c r="J150" s="50"/>
      <c r="K150" s="364">
        <f>K148</f>
        <v>426.3</v>
      </c>
      <c r="L150" s="157"/>
      <c r="M150" s="157"/>
      <c r="R150" s="365"/>
      <c r="T150" s="51"/>
      <c r="U150" s="22"/>
      <c r="V150" s="22"/>
      <c r="W150" s="22"/>
      <c r="X150" s="22"/>
      <c r="Y150" s="22"/>
      <c r="Z150" s="141"/>
    </row>
    <row r="151" spans="2:26" outlineLevel="1">
      <c r="B151" s="209"/>
      <c r="C151" s="277">
        <f>C149+1</f>
        <v>14</v>
      </c>
      <c r="D151" s="277" t="s">
        <v>52</v>
      </c>
      <c r="E151" s="278">
        <v>936009112</v>
      </c>
      <c r="F151" s="279" t="s">
        <v>328</v>
      </c>
      <c r="G151" s="279"/>
      <c r="H151" s="279"/>
      <c r="I151" s="279"/>
      <c r="J151" s="38" t="s">
        <v>53</v>
      </c>
      <c r="K151" s="281">
        <f>K148</f>
        <v>426.3</v>
      </c>
      <c r="L151" s="91"/>
      <c r="M151" s="91"/>
      <c r="N151" s="280">
        <f>ROUND(L151*K151,2)</f>
        <v>0</v>
      </c>
      <c r="O151" s="280"/>
      <c r="P151" s="280"/>
      <c r="Q151" s="280"/>
      <c r="R151" s="210"/>
      <c r="T151" s="25"/>
    </row>
    <row r="152" spans="2:26" s="275" customFormat="1" outlineLevel="1">
      <c r="B152" s="267"/>
      <c r="C152" s="268"/>
      <c r="D152" s="268"/>
      <c r="E152" s="269" t="s">
        <v>837</v>
      </c>
      <c r="F152" s="270"/>
      <c r="G152" s="270"/>
      <c r="H152" s="270"/>
      <c r="I152" s="271"/>
      <c r="J152" s="49" t="s">
        <v>53</v>
      </c>
      <c r="K152" s="272">
        <v>10</v>
      </c>
      <c r="L152" s="92"/>
      <c r="M152" s="92"/>
      <c r="N152" s="273"/>
      <c r="O152" s="273"/>
      <c r="P152" s="273"/>
      <c r="Q152" s="273"/>
      <c r="R152" s="274"/>
      <c r="T152" s="48"/>
      <c r="U152" s="67"/>
      <c r="V152" s="69"/>
      <c r="W152" s="69"/>
      <c r="X152" s="69"/>
      <c r="Y152" s="70">
        <f>SUM(Y255:Y436)</f>
        <v>0</v>
      </c>
      <c r="Z152" s="375"/>
    </row>
    <row r="153" spans="2:26" outlineLevel="1">
      <c r="B153" s="209"/>
      <c r="C153" s="412">
        <f>C151+1</f>
        <v>15</v>
      </c>
      <c r="D153" s="412" t="s">
        <v>52</v>
      </c>
      <c r="E153" s="413">
        <v>564861011</v>
      </c>
      <c r="F153" s="414" t="s">
        <v>333</v>
      </c>
      <c r="G153" s="414"/>
      <c r="H153" s="414"/>
      <c r="I153" s="414"/>
      <c r="J153" s="38" t="s">
        <v>53</v>
      </c>
      <c r="K153" s="410">
        <f>SUM(K154:K154)</f>
        <v>10</v>
      </c>
      <c r="L153" s="91"/>
      <c r="M153" s="91"/>
      <c r="N153" s="280">
        <f>ROUND(L153*K153,2)</f>
        <v>0</v>
      </c>
      <c r="O153" s="280"/>
      <c r="P153" s="280"/>
      <c r="Q153" s="280"/>
      <c r="R153" s="210"/>
      <c r="T153" s="25"/>
    </row>
    <row r="154" spans="2:26" s="360" customFormat="1" ht="10.199999999999999" customHeight="1" outlineLevel="1">
      <c r="B154" s="359"/>
      <c r="C154" s="415"/>
      <c r="D154" s="415"/>
      <c r="E154" s="406" t="s">
        <v>117</v>
      </c>
      <c r="F154" s="407" t="s">
        <v>327</v>
      </c>
      <c r="G154" s="408">
        <f t="shared" ref="G154:I156" si="10">(0.3*2)*1+(0.4*2)*1+0.3*3.87</f>
        <v>2.5609999999999999</v>
      </c>
      <c r="H154" s="408">
        <f t="shared" si="10"/>
        <v>2.5609999999999999</v>
      </c>
      <c r="I154" s="408">
        <f t="shared" si="10"/>
        <v>2.5609999999999999</v>
      </c>
      <c r="J154" s="50"/>
      <c r="K154" s="409">
        <f>K152</f>
        <v>10</v>
      </c>
      <c r="L154" s="157"/>
      <c r="M154" s="157"/>
      <c r="R154" s="365"/>
      <c r="T154" s="51"/>
      <c r="U154" s="22"/>
      <c r="V154" s="22"/>
      <c r="W154" s="22"/>
      <c r="X154" s="22"/>
      <c r="Y154" s="22"/>
      <c r="Z154" s="141"/>
    </row>
    <row r="155" spans="2:26" outlineLevel="1">
      <c r="B155" s="209"/>
      <c r="C155" s="412">
        <f>C153+1</f>
        <v>16</v>
      </c>
      <c r="D155" s="412" t="s">
        <v>52</v>
      </c>
      <c r="E155" s="413">
        <v>564211011</v>
      </c>
      <c r="F155" s="414" t="s">
        <v>839</v>
      </c>
      <c r="G155" s="414"/>
      <c r="H155" s="414"/>
      <c r="I155" s="414"/>
      <c r="J155" s="38" t="s">
        <v>53</v>
      </c>
      <c r="K155" s="410">
        <f>SUM(K156:K156)</f>
        <v>10</v>
      </c>
      <c r="L155" s="91"/>
      <c r="M155" s="91"/>
      <c r="N155" s="280">
        <f>ROUND(L155*K155,2)</f>
        <v>0</v>
      </c>
      <c r="O155" s="280"/>
      <c r="P155" s="280"/>
      <c r="Q155" s="280"/>
      <c r="R155" s="210"/>
      <c r="T155" s="25"/>
    </row>
    <row r="156" spans="2:26" s="360" customFormat="1" ht="10.199999999999999" customHeight="1" outlineLevel="1">
      <c r="B156" s="359"/>
      <c r="C156" s="415"/>
      <c r="D156" s="415"/>
      <c r="E156" s="406" t="s">
        <v>117</v>
      </c>
      <c r="F156" s="407" t="s">
        <v>327</v>
      </c>
      <c r="G156" s="408">
        <f t="shared" si="10"/>
        <v>2.5609999999999999</v>
      </c>
      <c r="H156" s="408">
        <f t="shared" si="10"/>
        <v>2.5609999999999999</v>
      </c>
      <c r="I156" s="408">
        <f t="shared" si="10"/>
        <v>2.5609999999999999</v>
      </c>
      <c r="J156" s="50"/>
      <c r="K156" s="409">
        <f>K154</f>
        <v>10</v>
      </c>
      <c r="L156" s="157"/>
      <c r="M156" s="157"/>
      <c r="R156" s="365"/>
      <c r="T156" s="51"/>
      <c r="U156" s="22"/>
      <c r="V156" s="22"/>
      <c r="W156" s="22"/>
      <c r="X156" s="22"/>
      <c r="Y156" s="22"/>
      <c r="Z156" s="141"/>
    </row>
    <row r="157" spans="2:26" ht="27" customHeight="1" outlineLevel="1">
      <c r="B157" s="209"/>
      <c r="C157" s="412">
        <f>C155+1</f>
        <v>17</v>
      </c>
      <c r="D157" s="412" t="s">
        <v>52</v>
      </c>
      <c r="E157" s="413">
        <v>593532111</v>
      </c>
      <c r="F157" s="414" t="s">
        <v>838</v>
      </c>
      <c r="G157" s="414"/>
      <c r="H157" s="414"/>
      <c r="I157" s="414"/>
      <c r="J157" s="38" t="s">
        <v>53</v>
      </c>
      <c r="K157" s="410">
        <f>K152</f>
        <v>10</v>
      </c>
      <c r="L157" s="91"/>
      <c r="M157" s="91"/>
      <c r="N157" s="280">
        <f>ROUND(L157*K157,2)</f>
        <v>0</v>
      </c>
      <c r="O157" s="280"/>
      <c r="P157" s="280"/>
      <c r="Q157" s="280"/>
      <c r="R157" s="210"/>
      <c r="T157" s="25"/>
    </row>
    <row r="158" spans="2:26" ht="11.25" customHeight="1" outlineLevel="1">
      <c r="B158" s="209"/>
      <c r="C158" s="416">
        <f>C157+1</f>
        <v>18</v>
      </c>
      <c r="D158" s="416" t="s">
        <v>55</v>
      </c>
      <c r="E158" s="417">
        <v>56245141</v>
      </c>
      <c r="F158" s="418" t="s">
        <v>842</v>
      </c>
      <c r="G158" s="418"/>
      <c r="H158" s="418"/>
      <c r="I158" s="418"/>
      <c r="J158" s="39" t="s">
        <v>53</v>
      </c>
      <c r="K158" s="419">
        <f>SUM(K159:K159)</f>
        <v>10.5</v>
      </c>
      <c r="L158" s="96"/>
      <c r="M158" s="96"/>
      <c r="N158" s="371">
        <f t="shared" ref="N158" si="11">ROUND(L158*K158,2)</f>
        <v>0</v>
      </c>
      <c r="O158" s="280"/>
      <c r="P158" s="280"/>
      <c r="Q158" s="280"/>
      <c r="R158" s="210"/>
      <c r="T158" s="25"/>
    </row>
    <row r="159" spans="2:26" s="360" customFormat="1" ht="20.399999999999999" outlineLevel="1">
      <c r="B159" s="359"/>
      <c r="C159" s="415"/>
      <c r="D159" s="415"/>
      <c r="E159" s="406" t="s">
        <v>843</v>
      </c>
      <c r="F159" s="407" t="s">
        <v>370</v>
      </c>
      <c r="G159" s="408">
        <f t="shared" ref="G159:I159" si="12">(0.3*2)*1+(0.4*2)*1+0.3*3.87</f>
        <v>2.5609999999999999</v>
      </c>
      <c r="H159" s="408">
        <f t="shared" si="12"/>
        <v>2.5609999999999999</v>
      </c>
      <c r="I159" s="408">
        <f t="shared" si="12"/>
        <v>2.5609999999999999</v>
      </c>
      <c r="J159" s="151">
        <v>0.05</v>
      </c>
      <c r="K159" s="409">
        <f>K152*(1+J159)</f>
        <v>10.5</v>
      </c>
      <c r="L159" s="157"/>
      <c r="M159" s="157"/>
      <c r="R159" s="365"/>
      <c r="T159" s="51"/>
      <c r="U159" s="22"/>
      <c r="V159" s="22"/>
      <c r="W159" s="22"/>
      <c r="X159" s="22"/>
      <c r="Y159" s="22"/>
      <c r="Z159" s="141"/>
    </row>
    <row r="160" spans="2:26" outlineLevel="1">
      <c r="B160" s="209"/>
      <c r="C160" s="412">
        <f t="shared" ref="C160" si="13">C158+1</f>
        <v>19</v>
      </c>
      <c r="D160" s="412" t="s">
        <v>52</v>
      </c>
      <c r="E160" s="413" t="s">
        <v>840</v>
      </c>
      <c r="F160" s="414" t="s">
        <v>841</v>
      </c>
      <c r="G160" s="414"/>
      <c r="H160" s="414"/>
      <c r="I160" s="414"/>
      <c r="J160" s="38" t="s">
        <v>53</v>
      </c>
      <c r="K160" s="410">
        <f t="shared" ref="K160" si="14">K157</f>
        <v>10</v>
      </c>
      <c r="L160" s="91"/>
      <c r="M160" s="91"/>
      <c r="N160" s="280">
        <f t="shared" ref="N160" si="15">ROUND(L160*K160,2)</f>
        <v>0</v>
      </c>
      <c r="O160" s="280"/>
      <c r="P160" s="280"/>
      <c r="Q160" s="280"/>
      <c r="R160" s="210"/>
      <c r="T160" s="25"/>
    </row>
    <row r="161" spans="2:35" s="275" customFormat="1" outlineLevel="1">
      <c r="B161" s="267"/>
      <c r="C161" s="268"/>
      <c r="D161" s="268"/>
      <c r="E161" s="269" t="s">
        <v>312</v>
      </c>
      <c r="F161" s="270"/>
      <c r="G161" s="270"/>
      <c r="H161" s="270"/>
      <c r="I161" s="271"/>
      <c r="J161" s="49" t="s">
        <v>53</v>
      </c>
      <c r="K161" s="272">
        <f>K119</f>
        <v>151.1</v>
      </c>
      <c r="L161" s="92"/>
      <c r="M161" s="92"/>
      <c r="N161" s="273"/>
      <c r="O161" s="273"/>
      <c r="P161" s="273"/>
      <c r="Q161" s="273"/>
      <c r="R161" s="274"/>
      <c r="T161" s="48"/>
      <c r="U161" s="67"/>
      <c r="V161" s="69"/>
      <c r="W161" s="69"/>
      <c r="X161" s="69"/>
      <c r="Y161" s="70">
        <f>SUM(Y254:Y445)</f>
        <v>0</v>
      </c>
      <c r="Z161" s="375"/>
    </row>
    <row r="162" spans="2:35" outlineLevel="1">
      <c r="B162" s="209"/>
      <c r="C162" s="412">
        <f>C160+1</f>
        <v>20</v>
      </c>
      <c r="D162" s="412" t="s">
        <v>52</v>
      </c>
      <c r="E162" s="413">
        <v>171203111</v>
      </c>
      <c r="F162" s="414" t="s">
        <v>342</v>
      </c>
      <c r="G162" s="414"/>
      <c r="H162" s="414"/>
      <c r="I162" s="414"/>
      <c r="J162" s="38" t="s">
        <v>54</v>
      </c>
      <c r="K162" s="410">
        <f>SUM(K164:K164)</f>
        <v>30.22</v>
      </c>
      <c r="L162" s="91"/>
      <c r="M162" s="91"/>
      <c r="N162" s="280">
        <f>ROUND(L162*K162,2)</f>
        <v>0</v>
      </c>
      <c r="O162" s="280"/>
      <c r="P162" s="280"/>
      <c r="Q162" s="280"/>
      <c r="R162" s="210"/>
      <c r="T162" s="25"/>
      <c r="U162" s="141">
        <v>-1.6</v>
      </c>
      <c r="V162" s="141">
        <f>U162*K162</f>
        <v>-48.352000000000004</v>
      </c>
    </row>
    <row r="163" spans="2:35" s="360" customFormat="1" ht="10.199999999999999" customHeight="1" outlineLevel="1">
      <c r="B163" s="359"/>
      <c r="C163" s="415"/>
      <c r="D163" s="415"/>
      <c r="E163" s="420" t="s">
        <v>768</v>
      </c>
      <c r="F163" s="420"/>
      <c r="G163" s="420"/>
      <c r="H163" s="420"/>
      <c r="I163" s="420"/>
      <c r="J163" s="50"/>
      <c r="K163" s="409"/>
      <c r="L163" s="157"/>
      <c r="M163" s="157"/>
      <c r="R163" s="365"/>
      <c r="T163" s="51"/>
      <c r="U163" s="141"/>
      <c r="V163" s="22"/>
      <c r="W163" s="22"/>
      <c r="X163" s="22"/>
      <c r="Y163" s="22"/>
      <c r="Z163" s="22"/>
      <c r="AA163" s="22"/>
      <c r="AB163" s="22"/>
      <c r="AC163" s="22"/>
      <c r="AD163" s="366"/>
      <c r="AE163" s="141"/>
      <c r="AF163" s="141"/>
      <c r="AG163" s="141"/>
      <c r="AI163" s="141"/>
    </row>
    <row r="164" spans="2:35" s="360" customFormat="1" outlineLevel="1">
      <c r="B164" s="359"/>
      <c r="C164" s="415"/>
      <c r="D164" s="415"/>
      <c r="E164" s="406" t="s">
        <v>343</v>
      </c>
      <c r="F164" s="407" t="s">
        <v>344</v>
      </c>
      <c r="G164" s="408">
        <f t="shared" ref="G164:I164" si="16">(0.3*2)*1+(0.4*2)*1+0.3*3.87</f>
        <v>2.5609999999999999</v>
      </c>
      <c r="H164" s="408">
        <f t="shared" si="16"/>
        <v>2.5609999999999999</v>
      </c>
      <c r="I164" s="408">
        <f t="shared" si="16"/>
        <v>2.5609999999999999</v>
      </c>
      <c r="J164" s="50">
        <v>0.2</v>
      </c>
      <c r="K164" s="409">
        <f>K161*J164</f>
        <v>30.22</v>
      </c>
      <c r="L164" s="157"/>
      <c r="M164" s="157"/>
      <c r="R164" s="365"/>
      <c r="T164" s="51"/>
      <c r="U164" s="22"/>
      <c r="V164" s="22"/>
      <c r="W164" s="22"/>
      <c r="X164" s="22"/>
      <c r="Y164" s="22"/>
      <c r="Z164" s="141"/>
    </row>
    <row r="165" spans="2:35" outlineLevel="1">
      <c r="B165" s="209"/>
      <c r="C165" s="412">
        <f>C162+1</f>
        <v>21</v>
      </c>
      <c r="D165" s="412" t="s">
        <v>52</v>
      </c>
      <c r="E165" s="413">
        <v>171151103</v>
      </c>
      <c r="F165" s="414" t="s">
        <v>833</v>
      </c>
      <c r="G165" s="414"/>
      <c r="H165" s="414"/>
      <c r="I165" s="414"/>
      <c r="J165" s="38" t="s">
        <v>54</v>
      </c>
      <c r="K165" s="410">
        <f>SUM(K167:K167)</f>
        <v>56.84</v>
      </c>
      <c r="L165" s="91"/>
      <c r="M165" s="91"/>
      <c r="N165" s="280">
        <f>ROUND(L165*K165,2)</f>
        <v>0</v>
      </c>
      <c r="O165" s="280"/>
      <c r="P165" s="280"/>
      <c r="Q165" s="280"/>
      <c r="R165" s="210"/>
      <c r="T165" s="25"/>
      <c r="U165" s="141">
        <v>-1.6</v>
      </c>
      <c r="V165" s="141">
        <f>U165*K165</f>
        <v>-90.944000000000017</v>
      </c>
    </row>
    <row r="166" spans="2:35" s="360" customFormat="1" ht="10.199999999999999" customHeight="1" outlineLevel="1">
      <c r="B166" s="359"/>
      <c r="C166" s="415"/>
      <c r="D166" s="415"/>
      <c r="E166" s="420" t="s">
        <v>768</v>
      </c>
      <c r="F166" s="420"/>
      <c r="G166" s="420"/>
      <c r="H166" s="420"/>
      <c r="I166" s="420"/>
      <c r="J166" s="50"/>
      <c r="K166" s="409"/>
      <c r="L166" s="157"/>
      <c r="M166" s="157"/>
      <c r="R166" s="365"/>
      <c r="T166" s="51"/>
      <c r="U166" s="141"/>
      <c r="V166" s="22"/>
      <c r="W166" s="22"/>
      <c r="X166" s="22"/>
      <c r="Y166" s="22"/>
      <c r="Z166" s="22"/>
      <c r="AA166" s="22"/>
      <c r="AB166" s="22"/>
      <c r="AC166" s="22"/>
      <c r="AD166" s="366"/>
      <c r="AE166" s="141"/>
      <c r="AF166" s="141"/>
      <c r="AG166" s="141"/>
      <c r="AI166" s="141"/>
    </row>
    <row r="167" spans="2:35" s="360" customFormat="1" ht="30.6" outlineLevel="1">
      <c r="B167" s="359"/>
      <c r="C167" s="415"/>
      <c r="D167" s="415"/>
      <c r="E167" s="406" t="s">
        <v>832</v>
      </c>
      <c r="F167" s="407" t="s">
        <v>853</v>
      </c>
      <c r="G167" s="408">
        <f t="shared" ref="G167:I167" si="17">(0.3*2)*1+(0.4*2)*1+0.3*3.87</f>
        <v>2.5609999999999999</v>
      </c>
      <c r="H167" s="408">
        <f t="shared" si="17"/>
        <v>2.5609999999999999</v>
      </c>
      <c r="I167" s="408">
        <f t="shared" si="17"/>
        <v>2.5609999999999999</v>
      </c>
      <c r="J167" s="50"/>
      <c r="K167" s="409">
        <f>K115/3*0.4</f>
        <v>56.84</v>
      </c>
      <c r="L167" s="157"/>
      <c r="M167" s="157"/>
      <c r="R167" s="365"/>
      <c r="T167" s="51"/>
      <c r="U167" s="22"/>
      <c r="V167" s="22"/>
      <c r="W167" s="22"/>
      <c r="X167" s="22"/>
      <c r="Y167" s="22"/>
      <c r="Z167" s="141"/>
    </row>
    <row r="168" spans="2:35" outlineLevel="1">
      <c r="B168" s="209"/>
      <c r="C168" s="412">
        <f>C165+1</f>
        <v>22</v>
      </c>
      <c r="D168" s="412" t="s">
        <v>52</v>
      </c>
      <c r="E168" s="413">
        <v>171151101</v>
      </c>
      <c r="F168" s="414" t="s">
        <v>834</v>
      </c>
      <c r="G168" s="414"/>
      <c r="H168" s="414"/>
      <c r="I168" s="414"/>
      <c r="J168" s="38" t="s">
        <v>53</v>
      </c>
      <c r="K168" s="410">
        <f>SUM(K169:K169)</f>
        <v>45.5</v>
      </c>
      <c r="L168" s="91"/>
      <c r="M168" s="91"/>
      <c r="N168" s="280">
        <f>ROUND(L168*K168,2)</f>
        <v>0</v>
      </c>
      <c r="O168" s="280"/>
      <c r="P168" s="280"/>
      <c r="Q168" s="280"/>
      <c r="R168" s="210"/>
      <c r="T168" s="25"/>
      <c r="U168" s="141">
        <v>-1.6</v>
      </c>
      <c r="V168" s="141">
        <f>U168*K168</f>
        <v>-72.8</v>
      </c>
    </row>
    <row r="169" spans="2:35" s="360" customFormat="1" outlineLevel="1">
      <c r="B169" s="359"/>
      <c r="C169" s="415"/>
      <c r="D169" s="415"/>
      <c r="E169" s="406" t="s">
        <v>835</v>
      </c>
      <c r="F169" s="407" t="s">
        <v>836</v>
      </c>
      <c r="G169" s="408">
        <f t="shared" ref="G169:I169" si="18">(0.3*2)*1+(0.4*2)*1+0.3*3.87</f>
        <v>2.5609999999999999</v>
      </c>
      <c r="H169" s="408">
        <f t="shared" si="18"/>
        <v>2.5609999999999999</v>
      </c>
      <c r="I169" s="408">
        <f t="shared" si="18"/>
        <v>2.5609999999999999</v>
      </c>
      <c r="J169" s="50"/>
      <c r="K169" s="409">
        <f>45.5</f>
        <v>45.5</v>
      </c>
      <c r="L169" s="157"/>
      <c r="M169" s="157"/>
      <c r="R169" s="365"/>
      <c r="T169" s="51"/>
      <c r="U169" s="22"/>
      <c r="V169" s="22"/>
      <c r="W169" s="22"/>
      <c r="X169" s="22"/>
      <c r="Y169" s="22"/>
      <c r="Z169" s="141"/>
    </row>
    <row r="170" spans="2:35" s="275" customFormat="1" outlineLevel="1">
      <c r="B170" s="267"/>
      <c r="C170" s="268"/>
      <c r="D170" s="268"/>
      <c r="E170" s="269" t="s">
        <v>320</v>
      </c>
      <c r="F170" s="270"/>
      <c r="G170" s="270"/>
      <c r="H170" s="270"/>
      <c r="I170" s="271"/>
      <c r="J170" s="49"/>
      <c r="K170" s="272"/>
      <c r="L170" s="92"/>
      <c r="M170" s="92"/>
      <c r="N170" s="273"/>
      <c r="O170" s="273"/>
      <c r="P170" s="273"/>
      <c r="Q170" s="273"/>
      <c r="R170" s="274"/>
      <c r="T170" s="48"/>
      <c r="U170" s="67"/>
      <c r="V170" s="69"/>
      <c r="W170" s="69"/>
      <c r="X170" s="69"/>
      <c r="Y170" s="70">
        <f>SUM(Y258:Y460)</f>
        <v>0</v>
      </c>
      <c r="Z170" s="375"/>
    </row>
    <row r="171" spans="2:35" s="360" customFormat="1" ht="10.199999999999999" customHeight="1" outlineLevel="1">
      <c r="B171" s="359"/>
      <c r="E171" s="361" t="s">
        <v>681</v>
      </c>
      <c r="F171" s="362"/>
      <c r="G171" s="363"/>
      <c r="H171" s="363"/>
      <c r="I171" s="363"/>
      <c r="J171" s="50" t="s">
        <v>58</v>
      </c>
      <c r="K171" s="364">
        <f>32.2+43.6+(0.7*2+2.05)*3</f>
        <v>86.15</v>
      </c>
      <c r="L171" s="157"/>
      <c r="M171" s="157"/>
      <c r="R171" s="365"/>
      <c r="T171" s="51"/>
      <c r="U171" s="66"/>
      <c r="V171" s="66"/>
      <c r="W171" s="66"/>
      <c r="X171" s="66"/>
      <c r="Y171" s="22"/>
      <c r="Z171" s="141"/>
    </row>
    <row r="172" spans="2:35" s="360" customFormat="1" ht="10.199999999999999" customHeight="1" outlineLevel="1">
      <c r="B172" s="359"/>
      <c r="E172" s="361" t="s">
        <v>365</v>
      </c>
      <c r="F172" s="362"/>
      <c r="G172" s="363"/>
      <c r="H172" s="363"/>
      <c r="I172" s="363"/>
      <c r="J172" s="50" t="s">
        <v>54</v>
      </c>
      <c r="K172" s="364">
        <f>6*3*0.3</f>
        <v>5.3999999999999995</v>
      </c>
      <c r="L172" s="157"/>
      <c r="M172" s="157"/>
      <c r="R172" s="365"/>
      <c r="T172" s="51"/>
      <c r="U172" s="66"/>
      <c r="V172" s="66"/>
      <c r="W172" s="66"/>
      <c r="X172" s="66"/>
      <c r="Y172" s="22"/>
      <c r="Z172" s="141"/>
    </row>
    <row r="173" spans="2:35" s="360" customFormat="1" ht="10.199999999999999" customHeight="1" outlineLevel="1">
      <c r="B173" s="359"/>
      <c r="E173" s="361"/>
      <c r="F173" s="362"/>
      <c r="G173" s="363"/>
      <c r="H173" s="363"/>
      <c r="I173" s="363"/>
      <c r="J173" s="50" t="s">
        <v>53</v>
      </c>
      <c r="K173" s="364">
        <f>6*3*2+(6+3)*2*0.3</f>
        <v>41.4</v>
      </c>
      <c r="L173" s="157"/>
      <c r="M173" s="157"/>
      <c r="R173" s="365"/>
      <c r="T173" s="51"/>
      <c r="U173" s="66"/>
      <c r="V173" s="66"/>
      <c r="W173" s="66"/>
      <c r="X173" s="66"/>
      <c r="Y173" s="22"/>
      <c r="Z173" s="141"/>
    </row>
    <row r="174" spans="2:35" s="360" customFormat="1" ht="10.199999999999999" customHeight="1" outlineLevel="1">
      <c r="B174" s="359"/>
      <c r="E174" s="361"/>
      <c r="F174" s="362"/>
      <c r="G174" s="363"/>
      <c r="H174" s="363"/>
      <c r="I174" s="363"/>
      <c r="J174" s="50"/>
      <c r="K174" s="364"/>
      <c r="L174" s="157"/>
      <c r="M174" s="157"/>
      <c r="R174" s="365"/>
      <c r="T174" s="51"/>
      <c r="U174" s="66"/>
      <c r="V174" s="66"/>
      <c r="W174" s="66"/>
      <c r="X174" s="66"/>
      <c r="Y174" s="22"/>
      <c r="Z174" s="141"/>
    </row>
    <row r="175" spans="2:35" outlineLevel="1">
      <c r="B175" s="209"/>
      <c r="C175" s="277">
        <f>C168+1</f>
        <v>23</v>
      </c>
      <c r="D175" s="277" t="s">
        <v>52</v>
      </c>
      <c r="E175" s="278">
        <v>916111113</v>
      </c>
      <c r="F175" s="279" t="s">
        <v>367</v>
      </c>
      <c r="G175" s="279"/>
      <c r="H175" s="279"/>
      <c r="I175" s="279"/>
      <c r="J175" s="38" t="s">
        <v>58</v>
      </c>
      <c r="K175" s="281">
        <f>SUM(K176:K176)</f>
        <v>86.15</v>
      </c>
      <c r="L175" s="91"/>
      <c r="M175" s="91"/>
      <c r="N175" s="280">
        <f>ROUND(L175*K175,2)</f>
        <v>0</v>
      </c>
      <c r="O175" s="280"/>
      <c r="P175" s="280"/>
      <c r="Q175" s="280"/>
      <c r="R175" s="210"/>
      <c r="T175" s="25"/>
    </row>
    <row r="176" spans="2:35" s="360" customFormat="1" outlineLevel="1">
      <c r="B176" s="359"/>
      <c r="E176" s="361" t="str">
        <f>E171</f>
        <v>obruba kostka</v>
      </c>
      <c r="F176" s="362" t="s">
        <v>368</v>
      </c>
      <c r="G176" s="363">
        <f t="shared" ref="G176:I182" si="19">(0.3*2)*1+(0.4*2)*1+0.3*3.87</f>
        <v>2.5609999999999999</v>
      </c>
      <c r="H176" s="363">
        <f t="shared" si="19"/>
        <v>2.5609999999999999</v>
      </c>
      <c r="I176" s="363">
        <f t="shared" si="19"/>
        <v>2.5609999999999999</v>
      </c>
      <c r="J176" s="50"/>
      <c r="K176" s="364">
        <f>K171</f>
        <v>86.15</v>
      </c>
      <c r="L176" s="157"/>
      <c r="M176" s="157"/>
      <c r="R176" s="365"/>
      <c r="T176" s="51"/>
      <c r="U176" s="22"/>
      <c r="V176" s="22"/>
      <c r="W176" s="22"/>
      <c r="X176" s="22"/>
      <c r="Y176" s="22"/>
      <c r="Z176" s="141"/>
    </row>
    <row r="177" spans="2:26" ht="11.25" customHeight="1" outlineLevel="1">
      <c r="B177" s="209"/>
      <c r="C177" s="367">
        <f>C175+1</f>
        <v>24</v>
      </c>
      <c r="D177" s="367" t="s">
        <v>55</v>
      </c>
      <c r="E177" s="368">
        <v>58381007</v>
      </c>
      <c r="F177" s="369" t="s">
        <v>369</v>
      </c>
      <c r="G177" s="369"/>
      <c r="H177" s="369"/>
      <c r="I177" s="369"/>
      <c r="J177" s="39" t="s">
        <v>53</v>
      </c>
      <c r="K177" s="370">
        <f>SUM(K178:K178)</f>
        <v>7.236600000000001</v>
      </c>
      <c r="L177" s="96"/>
      <c r="M177" s="96"/>
      <c r="N177" s="371">
        <f t="shared" ref="N177" si="20">ROUND(L177*K177,2)</f>
        <v>0</v>
      </c>
      <c r="O177" s="280"/>
      <c r="P177" s="280"/>
      <c r="Q177" s="280"/>
      <c r="R177" s="210"/>
      <c r="T177" s="25"/>
    </row>
    <row r="178" spans="2:26" s="360" customFormat="1" outlineLevel="1">
      <c r="B178" s="359"/>
      <c r="E178" s="361" t="s">
        <v>332</v>
      </c>
      <c r="F178" s="362" t="s">
        <v>371</v>
      </c>
      <c r="G178" s="363">
        <f t="shared" ref="G178:I178" si="21">(0.3*2)*1+(0.4*2)*1+0.3*3.87</f>
        <v>2.5609999999999999</v>
      </c>
      <c r="H178" s="363">
        <f t="shared" si="21"/>
        <v>2.5609999999999999</v>
      </c>
      <c r="I178" s="363">
        <f t="shared" si="21"/>
        <v>2.5609999999999999</v>
      </c>
      <c r="J178" s="151">
        <v>0.05</v>
      </c>
      <c r="K178" s="364">
        <f>K175*0.08*(1+J178)</f>
        <v>7.236600000000001</v>
      </c>
      <c r="L178" s="157"/>
      <c r="M178" s="157"/>
      <c r="R178" s="365"/>
      <c r="T178" s="51"/>
      <c r="U178" s="22"/>
      <c r="V178" s="22"/>
      <c r="W178" s="22"/>
      <c r="X178" s="22"/>
      <c r="Y178" s="22"/>
      <c r="Z178" s="141"/>
    </row>
    <row r="179" spans="2:26" ht="27" customHeight="1" outlineLevel="1">
      <c r="B179" s="209"/>
      <c r="C179" s="277">
        <f>C175+1</f>
        <v>24</v>
      </c>
      <c r="D179" s="277" t="s">
        <v>52</v>
      </c>
      <c r="E179" s="278">
        <v>211531111</v>
      </c>
      <c r="F179" s="279" t="s">
        <v>372</v>
      </c>
      <c r="G179" s="279"/>
      <c r="H179" s="279"/>
      <c r="I179" s="279"/>
      <c r="J179" s="38" t="s">
        <v>54</v>
      </c>
      <c r="K179" s="281">
        <f>SUM(K180:K180)</f>
        <v>5.3999999999999995</v>
      </c>
      <c r="L179" s="91"/>
      <c r="M179" s="91"/>
      <c r="N179" s="280">
        <f>ROUND(L179*K179,2)</f>
        <v>0</v>
      </c>
      <c r="O179" s="280"/>
      <c r="P179" s="280"/>
      <c r="Q179" s="280"/>
      <c r="R179" s="210"/>
      <c r="T179" s="25"/>
    </row>
    <row r="180" spans="2:26" s="360" customFormat="1" outlineLevel="1">
      <c r="B180" s="359"/>
      <c r="E180" s="361" t="s">
        <v>373</v>
      </c>
      <c r="F180" s="362" t="s">
        <v>368</v>
      </c>
      <c r="G180" s="363">
        <f t="shared" si="19"/>
        <v>2.5609999999999999</v>
      </c>
      <c r="H180" s="363">
        <f t="shared" si="19"/>
        <v>2.5609999999999999</v>
      </c>
      <c r="I180" s="363">
        <f t="shared" si="19"/>
        <v>2.5609999999999999</v>
      </c>
      <c r="J180" s="50"/>
      <c r="K180" s="364">
        <f>K172</f>
        <v>5.3999999999999995</v>
      </c>
      <c r="L180" s="157"/>
      <c r="M180" s="157"/>
      <c r="R180" s="365"/>
      <c r="T180" s="51"/>
      <c r="U180" s="22"/>
      <c r="V180" s="22"/>
      <c r="W180" s="22"/>
      <c r="X180" s="22"/>
      <c r="Y180" s="22"/>
      <c r="Z180" s="141"/>
    </row>
    <row r="181" spans="2:26" ht="27" customHeight="1" outlineLevel="1">
      <c r="B181" s="209"/>
      <c r="C181" s="277">
        <f>C179+1</f>
        <v>25</v>
      </c>
      <c r="D181" s="277" t="s">
        <v>52</v>
      </c>
      <c r="E181" s="278">
        <v>211971122</v>
      </c>
      <c r="F181" s="279" t="s">
        <v>374</v>
      </c>
      <c r="G181" s="279"/>
      <c r="H181" s="279"/>
      <c r="I181" s="279"/>
      <c r="J181" s="38" t="s">
        <v>53</v>
      </c>
      <c r="K181" s="281">
        <f>SUM(K182:K182)</f>
        <v>41.4</v>
      </c>
      <c r="L181" s="91"/>
      <c r="M181" s="91"/>
      <c r="N181" s="280">
        <f>ROUND(L181*K181,2)</f>
        <v>0</v>
      </c>
      <c r="O181" s="280"/>
      <c r="P181" s="280"/>
      <c r="Q181" s="280"/>
      <c r="R181" s="210"/>
      <c r="T181" s="25"/>
    </row>
    <row r="182" spans="2:26" s="360" customFormat="1" ht="10.199999999999999" customHeight="1" outlineLevel="1">
      <c r="B182" s="359"/>
      <c r="E182" s="361" t="s">
        <v>375</v>
      </c>
      <c r="F182" s="362" t="s">
        <v>368</v>
      </c>
      <c r="G182" s="363">
        <f t="shared" si="19"/>
        <v>2.5609999999999999</v>
      </c>
      <c r="H182" s="363">
        <f t="shared" si="19"/>
        <v>2.5609999999999999</v>
      </c>
      <c r="I182" s="363">
        <f t="shared" si="19"/>
        <v>2.5609999999999999</v>
      </c>
      <c r="J182" s="50"/>
      <c r="K182" s="364">
        <f>K173</f>
        <v>41.4</v>
      </c>
      <c r="L182" s="157"/>
      <c r="M182" s="157"/>
      <c r="R182" s="365"/>
      <c r="T182" s="51"/>
      <c r="U182" s="22"/>
      <c r="V182" s="22"/>
      <c r="W182" s="22"/>
      <c r="X182" s="22"/>
      <c r="Y182" s="22"/>
      <c r="Z182" s="141"/>
    </row>
    <row r="183" spans="2:26" ht="11.25" customHeight="1" outlineLevel="1">
      <c r="B183" s="209"/>
      <c r="C183" s="367">
        <f>C181+1</f>
        <v>26</v>
      </c>
      <c r="D183" s="367" t="s">
        <v>55</v>
      </c>
      <c r="E183" s="368">
        <v>69311081</v>
      </c>
      <c r="F183" s="369" t="s">
        <v>378</v>
      </c>
      <c r="G183" s="369"/>
      <c r="H183" s="369"/>
      <c r="I183" s="369"/>
      <c r="J183" s="39" t="s">
        <v>53</v>
      </c>
      <c r="K183" s="370">
        <f>SUM(K184:K184)</f>
        <v>49.68</v>
      </c>
      <c r="L183" s="96"/>
      <c r="M183" s="96"/>
      <c r="N183" s="371">
        <f t="shared" ref="N183" si="22">ROUND(L183*K183,2)</f>
        <v>0</v>
      </c>
      <c r="O183" s="280"/>
      <c r="P183" s="280"/>
      <c r="Q183" s="280"/>
      <c r="R183" s="210"/>
      <c r="T183" s="25"/>
    </row>
    <row r="184" spans="2:26" s="360" customFormat="1" outlineLevel="1">
      <c r="B184" s="359"/>
      <c r="E184" s="361" t="s">
        <v>376</v>
      </c>
      <c r="F184" s="362" t="s">
        <v>377</v>
      </c>
      <c r="G184" s="363">
        <f t="shared" ref="G184:I184" si="23">(0.3*2)*1+(0.4*2)*1+0.3*3.87</f>
        <v>2.5609999999999999</v>
      </c>
      <c r="H184" s="363">
        <f t="shared" si="23"/>
        <v>2.5609999999999999</v>
      </c>
      <c r="I184" s="363">
        <f t="shared" si="23"/>
        <v>2.5609999999999999</v>
      </c>
      <c r="J184" s="151">
        <v>0.2</v>
      </c>
      <c r="K184" s="364">
        <f>K181*(1+J184)</f>
        <v>49.68</v>
      </c>
      <c r="L184" s="157"/>
      <c r="M184" s="157"/>
      <c r="R184" s="365"/>
      <c r="T184" s="51"/>
      <c r="U184" s="22"/>
      <c r="V184" s="22"/>
      <c r="W184" s="22"/>
      <c r="X184" s="22"/>
      <c r="Y184" s="22"/>
      <c r="Z184" s="141"/>
    </row>
    <row r="185" spans="2:26" s="354" customFormat="1">
      <c r="B185" s="353"/>
      <c r="E185" s="358"/>
      <c r="F185" s="358"/>
      <c r="G185" s="358"/>
      <c r="H185" s="358"/>
      <c r="I185" s="358"/>
      <c r="J185" s="358"/>
      <c r="K185" s="358"/>
      <c r="L185" s="156"/>
      <c r="M185" s="156"/>
      <c r="R185" s="356"/>
      <c r="T185" s="52"/>
      <c r="U185" s="68"/>
      <c r="V185" s="70"/>
      <c r="W185" s="70"/>
      <c r="X185" s="70"/>
      <c r="Y185" s="70"/>
      <c r="Z185" s="375"/>
    </row>
    <row r="186" spans="2:26" s="266" customFormat="1" ht="13.2">
      <c r="B186" s="262"/>
      <c r="C186" s="263"/>
      <c r="D186" s="263" t="s">
        <v>308</v>
      </c>
      <c r="E186" s="263"/>
      <c r="F186" s="263"/>
      <c r="G186" s="263"/>
      <c r="H186" s="263"/>
      <c r="I186" s="263"/>
      <c r="J186" s="36"/>
      <c r="K186" s="357">
        <f>K187+K190</f>
        <v>65.849999999999994</v>
      </c>
      <c r="L186" s="155"/>
      <c r="M186" s="155"/>
      <c r="N186" s="264">
        <f>SUM(N187:Q229)</f>
        <v>0</v>
      </c>
      <c r="O186" s="264"/>
      <c r="P186" s="264"/>
      <c r="Q186" s="264"/>
      <c r="R186" s="265"/>
      <c r="T186" s="37">
        <f>SUM(N186:Q228)/2</f>
        <v>0</v>
      </c>
      <c r="U186" s="384"/>
      <c r="V186" s="384"/>
      <c r="W186" s="384"/>
      <c r="X186" s="384"/>
      <c r="Y186" s="384"/>
      <c r="Z186" s="141"/>
    </row>
    <row r="187" spans="2:26" s="360" customFormat="1" ht="10.199999999999999" customHeight="1" outlineLevel="1">
      <c r="B187" s="359"/>
      <c r="E187" s="361" t="s">
        <v>107</v>
      </c>
      <c r="F187" s="362" t="s">
        <v>379</v>
      </c>
      <c r="G187" s="363"/>
      <c r="H187" s="363"/>
      <c r="I187" s="363"/>
      <c r="J187" s="50" t="s">
        <v>53</v>
      </c>
      <c r="K187" s="364">
        <v>57.1</v>
      </c>
      <c r="L187" s="157"/>
      <c r="M187" s="157"/>
      <c r="R187" s="365"/>
      <c r="T187" s="51"/>
      <c r="U187" s="66"/>
      <c r="V187" s="66"/>
      <c r="W187" s="66"/>
      <c r="X187" s="66"/>
      <c r="Y187" s="22"/>
      <c r="Z187" s="141"/>
    </row>
    <row r="188" spans="2:26" s="360" customFormat="1" ht="10.199999999999999" customHeight="1" outlineLevel="1">
      <c r="B188" s="359"/>
      <c r="E188" s="361" t="s">
        <v>380</v>
      </c>
      <c r="F188" s="362"/>
      <c r="G188" s="363"/>
      <c r="H188" s="363"/>
      <c r="I188" s="363"/>
      <c r="J188" s="50" t="s">
        <v>58</v>
      </c>
      <c r="K188" s="364">
        <f>2.2+3.8+1.8+1.9</f>
        <v>9.6999999999999993</v>
      </c>
      <c r="L188" s="157"/>
      <c r="M188" s="157"/>
      <c r="R188" s="365"/>
      <c r="T188" s="51"/>
      <c r="U188" s="66"/>
      <c r="V188" s="66"/>
      <c r="W188" s="66"/>
      <c r="X188" s="66"/>
      <c r="Y188" s="22"/>
      <c r="Z188" s="141"/>
    </row>
    <row r="189" spans="2:26" s="360" customFormat="1" ht="10.199999999999999" customHeight="1" outlineLevel="1">
      <c r="B189" s="359"/>
      <c r="E189" s="361" t="s">
        <v>387</v>
      </c>
      <c r="F189" s="362" t="s">
        <v>388</v>
      </c>
      <c r="G189" s="363"/>
      <c r="H189" s="363"/>
      <c r="I189" s="363"/>
      <c r="J189" s="50" t="s">
        <v>58</v>
      </c>
      <c r="K189" s="364">
        <v>33.1</v>
      </c>
      <c r="L189" s="157"/>
      <c r="M189" s="157"/>
      <c r="R189" s="365"/>
      <c r="T189" s="51"/>
      <c r="U189" s="66"/>
      <c r="V189" s="66"/>
      <c r="W189" s="66"/>
      <c r="X189" s="66"/>
      <c r="Y189" s="22"/>
      <c r="Z189" s="141"/>
    </row>
    <row r="190" spans="2:26" s="360" customFormat="1" ht="10.199999999999999" customHeight="1" outlineLevel="1">
      <c r="B190" s="359"/>
      <c r="E190" s="361" t="s">
        <v>365</v>
      </c>
      <c r="F190" s="362" t="s">
        <v>847</v>
      </c>
      <c r="G190" s="363"/>
      <c r="H190" s="363"/>
      <c r="I190" s="363"/>
      <c r="J190" s="50" t="s">
        <v>54</v>
      </c>
      <c r="K190" s="364">
        <f>5*3.5*0.5</f>
        <v>8.75</v>
      </c>
      <c r="L190" s="157"/>
      <c r="M190" s="157"/>
      <c r="R190" s="365"/>
      <c r="T190" s="51"/>
      <c r="U190" s="66"/>
      <c r="V190" s="66"/>
      <c r="W190" s="66"/>
      <c r="X190" s="66"/>
      <c r="Y190" s="22"/>
      <c r="Z190" s="141"/>
    </row>
    <row r="191" spans="2:26" s="360" customFormat="1" ht="10.199999999999999" customHeight="1" outlineLevel="1">
      <c r="B191" s="359"/>
      <c r="E191" s="361" t="s">
        <v>365</v>
      </c>
      <c r="F191" s="362" t="s">
        <v>402</v>
      </c>
      <c r="G191" s="363"/>
      <c r="H191" s="363"/>
      <c r="I191" s="363"/>
      <c r="J191" s="50" t="s">
        <v>53</v>
      </c>
      <c r="K191" s="364">
        <f>(5*3.5*2+(5+3.5)*2*0.5)*1.2</f>
        <v>52.199999999999996</v>
      </c>
      <c r="L191" s="157"/>
      <c r="M191" s="157"/>
      <c r="R191" s="365"/>
      <c r="T191" s="51"/>
      <c r="U191" s="66"/>
      <c r="V191" s="66"/>
      <c r="W191" s="66"/>
      <c r="X191" s="66"/>
      <c r="Y191" s="22"/>
      <c r="Z191" s="141"/>
    </row>
    <row r="192" spans="2:26" s="360" customFormat="1" ht="10.199999999999999" customHeight="1" outlineLevel="1">
      <c r="B192" s="359"/>
      <c r="E192" s="361"/>
      <c r="F192" s="362"/>
      <c r="G192" s="363"/>
      <c r="H192" s="363"/>
      <c r="I192" s="363"/>
      <c r="J192" s="50"/>
      <c r="K192" s="364"/>
      <c r="L192" s="157"/>
      <c r="M192" s="157"/>
      <c r="R192" s="365"/>
      <c r="T192" s="51"/>
      <c r="U192" s="66"/>
      <c r="V192" s="66"/>
      <c r="W192" s="66"/>
      <c r="X192" s="66"/>
      <c r="Y192" s="22"/>
      <c r="Z192" s="141"/>
    </row>
    <row r="193" spans="2:35" s="275" customFormat="1" ht="10.199999999999999" customHeight="1" outlineLevel="1">
      <c r="B193" s="267"/>
      <c r="C193" s="268"/>
      <c r="D193" s="268"/>
      <c r="E193" s="269" t="s">
        <v>331</v>
      </c>
      <c r="F193" s="270"/>
      <c r="G193" s="270"/>
      <c r="H193" s="270"/>
      <c r="I193" s="271"/>
      <c r="J193" s="49"/>
      <c r="K193" s="272"/>
      <c r="L193" s="92"/>
      <c r="M193" s="92"/>
      <c r="N193" s="273"/>
      <c r="O193" s="273"/>
      <c r="P193" s="273"/>
      <c r="Q193" s="273"/>
      <c r="R193" s="274"/>
      <c r="T193" s="48"/>
      <c r="U193" s="67"/>
      <c r="V193" s="69"/>
      <c r="W193" s="69"/>
      <c r="X193" s="69"/>
      <c r="Y193" s="70">
        <f>SUM(Y258:Y520)</f>
        <v>0</v>
      </c>
      <c r="Z193" s="375"/>
    </row>
    <row r="194" spans="2:35" outlineLevel="1">
      <c r="B194" s="209"/>
      <c r="C194" s="277">
        <f>C183+1</f>
        <v>27</v>
      </c>
      <c r="D194" s="277" t="s">
        <v>52</v>
      </c>
      <c r="E194" s="278">
        <v>181951112</v>
      </c>
      <c r="F194" s="279" t="s">
        <v>316</v>
      </c>
      <c r="G194" s="279"/>
      <c r="H194" s="279"/>
      <c r="I194" s="279"/>
      <c r="J194" s="38" t="s">
        <v>53</v>
      </c>
      <c r="K194" s="281">
        <f>SUM(K195:K195)</f>
        <v>65.849999999999994</v>
      </c>
      <c r="L194" s="91"/>
      <c r="M194" s="91"/>
      <c r="N194" s="280">
        <f>ROUND(L194*K194,2)</f>
        <v>0</v>
      </c>
      <c r="O194" s="280"/>
      <c r="P194" s="280"/>
      <c r="Q194" s="280"/>
      <c r="R194" s="210"/>
      <c r="T194" s="25"/>
    </row>
    <row r="195" spans="2:35" s="360" customFormat="1" outlineLevel="1">
      <c r="B195" s="359"/>
      <c r="C195" s="360" t="s">
        <v>12</v>
      </c>
      <c r="E195" s="361" t="s">
        <v>317</v>
      </c>
      <c r="F195" s="362"/>
      <c r="G195" s="363"/>
      <c r="H195" s="363"/>
      <c r="I195" s="363"/>
      <c r="J195" s="50"/>
      <c r="K195" s="364">
        <f>K186</f>
        <v>65.849999999999994</v>
      </c>
      <c r="L195" s="157"/>
      <c r="M195" s="157"/>
      <c r="R195" s="365"/>
      <c r="T195" s="51"/>
      <c r="U195" s="22"/>
      <c r="V195" s="22"/>
      <c r="W195" s="22"/>
      <c r="X195" s="22"/>
      <c r="Y195" s="22"/>
      <c r="Z195" s="141"/>
    </row>
    <row r="196" spans="2:35" ht="10.199999999999999" customHeight="1" outlineLevel="1">
      <c r="B196" s="209"/>
      <c r="C196" s="277">
        <f>C194+1</f>
        <v>28</v>
      </c>
      <c r="D196" s="277" t="s">
        <v>52</v>
      </c>
      <c r="E196" s="278">
        <v>564951313</v>
      </c>
      <c r="F196" s="279" t="s">
        <v>793</v>
      </c>
      <c r="G196" s="279"/>
      <c r="H196" s="279"/>
      <c r="I196" s="279"/>
      <c r="J196" s="38" t="s">
        <v>54</v>
      </c>
      <c r="K196" s="281">
        <f>SUM(K197:K197)</f>
        <v>39.51</v>
      </c>
      <c r="L196" s="91"/>
      <c r="M196" s="91"/>
      <c r="N196" s="280">
        <f>ROUND(L196*K196,2)</f>
        <v>0</v>
      </c>
      <c r="O196" s="280"/>
      <c r="P196" s="280"/>
      <c r="Q196" s="280"/>
      <c r="R196" s="210"/>
      <c r="T196" s="25"/>
    </row>
    <row r="197" spans="2:35" s="360" customFormat="1" ht="20.399999999999999" customHeight="1" outlineLevel="1">
      <c r="B197" s="359"/>
      <c r="E197" s="361" t="s">
        <v>794</v>
      </c>
      <c r="F197" s="362" t="s">
        <v>827</v>
      </c>
      <c r="G197" s="363" t="e">
        <f t="shared" ref="G197" si="24">(2.3+2.75)*F197</f>
        <v>#VALUE!</v>
      </c>
      <c r="H197" s="363" t="e">
        <f t="shared" ref="H197" si="25">(2.3+2.75)*G197</f>
        <v>#VALUE!</v>
      </c>
      <c r="I197" s="363" t="e">
        <f t="shared" ref="I197" si="26">(2.3+2.75)*H197</f>
        <v>#VALUE!</v>
      </c>
      <c r="J197" s="53">
        <v>0.3</v>
      </c>
      <c r="K197" s="364">
        <f>K194*2*J197</f>
        <v>39.51</v>
      </c>
      <c r="L197" s="157"/>
      <c r="M197" s="157"/>
      <c r="R197" s="365"/>
      <c r="T197" s="51"/>
      <c r="U197" s="22"/>
      <c r="V197" s="22"/>
      <c r="W197" s="22"/>
      <c r="X197" s="22"/>
      <c r="Y197" s="22"/>
      <c r="Z197" s="141"/>
    </row>
    <row r="198" spans="2:35" ht="27" customHeight="1" outlineLevel="1">
      <c r="B198" s="209"/>
      <c r="C198" s="277">
        <f>C196+1</f>
        <v>29</v>
      </c>
      <c r="D198" s="277" t="s">
        <v>52</v>
      </c>
      <c r="E198" s="278">
        <v>451597777</v>
      </c>
      <c r="F198" s="279" t="s">
        <v>321</v>
      </c>
      <c r="G198" s="279"/>
      <c r="H198" s="279"/>
      <c r="I198" s="279"/>
      <c r="J198" s="38" t="s">
        <v>53</v>
      </c>
      <c r="K198" s="281">
        <f>SUM(K200:K200)</f>
        <v>57.1</v>
      </c>
      <c r="L198" s="91"/>
      <c r="M198" s="91"/>
      <c r="N198" s="280">
        <f>ROUND(L198*K198,2)</f>
        <v>0</v>
      </c>
      <c r="O198" s="280"/>
      <c r="P198" s="280"/>
      <c r="Q198" s="280"/>
      <c r="R198" s="210"/>
      <c r="T198" s="25"/>
      <c r="U198" s="141">
        <f>1.6*0.05*-1</f>
        <v>-8.0000000000000016E-2</v>
      </c>
      <c r="V198" s="141">
        <f>K198*U198</f>
        <v>-4.5680000000000014</v>
      </c>
    </row>
    <row r="199" spans="2:35" s="360" customFormat="1" ht="10.199999999999999" customHeight="1" outlineLevel="1">
      <c r="B199" s="359"/>
      <c r="E199" s="387" t="s">
        <v>768</v>
      </c>
      <c r="F199" s="387"/>
      <c r="G199" s="387"/>
      <c r="H199" s="387"/>
      <c r="I199" s="387"/>
      <c r="J199" s="50"/>
      <c r="K199" s="364"/>
      <c r="L199" s="157"/>
      <c r="M199" s="157"/>
      <c r="R199" s="365"/>
      <c r="T199" s="51"/>
      <c r="U199" s="141"/>
      <c r="V199" s="22"/>
      <c r="W199" s="22"/>
      <c r="X199" s="22"/>
      <c r="Y199" s="22"/>
      <c r="Z199" s="22"/>
      <c r="AA199" s="22"/>
      <c r="AB199" s="22"/>
      <c r="AC199" s="22"/>
      <c r="AD199" s="366"/>
      <c r="AE199" s="141"/>
      <c r="AF199" s="141"/>
      <c r="AG199" s="141"/>
      <c r="AI199" s="141"/>
    </row>
    <row r="200" spans="2:35" s="360" customFormat="1" ht="10.199999999999999" customHeight="1" outlineLevel="1">
      <c r="B200" s="359"/>
      <c r="E200" s="361" t="s">
        <v>381</v>
      </c>
      <c r="F200" s="362" t="s">
        <v>347</v>
      </c>
      <c r="G200" s="363"/>
      <c r="H200" s="363"/>
      <c r="I200" s="363"/>
      <c r="J200" s="50"/>
      <c r="K200" s="364">
        <f>K187</f>
        <v>57.1</v>
      </c>
      <c r="L200" s="157"/>
      <c r="M200" s="157"/>
      <c r="R200" s="365"/>
      <c r="T200" s="51"/>
      <c r="U200" s="22"/>
      <c r="V200" s="22"/>
      <c r="W200" s="22"/>
      <c r="X200" s="22"/>
      <c r="Y200" s="22"/>
      <c r="Z200" s="141"/>
    </row>
    <row r="201" spans="2:35" s="354" customFormat="1" outlineLevel="1">
      <c r="B201" s="353"/>
      <c r="E201" s="358"/>
      <c r="F201" s="358"/>
      <c r="G201" s="358"/>
      <c r="H201" s="358"/>
      <c r="I201" s="358"/>
      <c r="J201" s="358"/>
      <c r="K201" s="358"/>
      <c r="L201" s="156"/>
      <c r="M201" s="156"/>
      <c r="R201" s="356"/>
      <c r="T201" s="52"/>
      <c r="U201" s="67"/>
      <c r="V201" s="69"/>
      <c r="W201" s="69"/>
      <c r="X201" s="69"/>
      <c r="Y201" s="70"/>
      <c r="Z201" s="375"/>
    </row>
    <row r="202" spans="2:35" s="275" customFormat="1" outlineLevel="1">
      <c r="B202" s="267"/>
      <c r="C202" s="268"/>
      <c r="D202" s="268"/>
      <c r="E202" s="269" t="s">
        <v>382</v>
      </c>
      <c r="F202" s="270"/>
      <c r="G202" s="270"/>
      <c r="H202" s="270"/>
      <c r="I202" s="271"/>
      <c r="J202" s="49" t="s">
        <v>53</v>
      </c>
      <c r="K202" s="272">
        <f>K187</f>
        <v>57.1</v>
      </c>
      <c r="L202" s="92"/>
      <c r="M202" s="92"/>
      <c r="N202" s="273"/>
      <c r="O202" s="273"/>
      <c r="P202" s="273"/>
      <c r="Q202" s="273"/>
      <c r="R202" s="274"/>
      <c r="T202" s="48"/>
      <c r="U202" s="67"/>
      <c r="V202" s="69"/>
      <c r="W202" s="69"/>
      <c r="X202" s="69"/>
      <c r="Y202" s="70">
        <f>SUM(Y258:Y535)</f>
        <v>0</v>
      </c>
      <c r="Z202" s="375"/>
    </row>
    <row r="203" spans="2:35" ht="10.199999999999999" customHeight="1" outlineLevel="1">
      <c r="B203" s="209"/>
      <c r="C203" s="277">
        <f>C198+1</f>
        <v>30</v>
      </c>
      <c r="D203" s="277" t="s">
        <v>52</v>
      </c>
      <c r="E203" s="278">
        <v>564851011</v>
      </c>
      <c r="F203" s="279" t="s">
        <v>330</v>
      </c>
      <c r="G203" s="279"/>
      <c r="H203" s="279"/>
      <c r="I203" s="279"/>
      <c r="J203" s="38" t="s">
        <v>53</v>
      </c>
      <c r="K203" s="281">
        <f>SUM(K204:K204)</f>
        <v>57.1</v>
      </c>
      <c r="L203" s="91"/>
      <c r="M203" s="91"/>
      <c r="N203" s="280">
        <f>ROUND(L203*K203,2)</f>
        <v>0</v>
      </c>
      <c r="O203" s="280"/>
      <c r="P203" s="280"/>
      <c r="Q203" s="280"/>
      <c r="R203" s="210"/>
      <c r="T203" s="25"/>
    </row>
    <row r="204" spans="2:35" s="360" customFormat="1" ht="10.199999999999999" customHeight="1" outlineLevel="1">
      <c r="B204" s="359"/>
      <c r="E204" s="361" t="s">
        <v>117</v>
      </c>
      <c r="F204" s="362" t="s">
        <v>327</v>
      </c>
      <c r="G204" s="363">
        <f t="shared" ref="G204:I204" si="27">(0.3*2)*1+(0.4*2)*1+0.3*3.87</f>
        <v>2.5609999999999999</v>
      </c>
      <c r="H204" s="363">
        <f t="shared" si="27"/>
        <v>2.5609999999999999</v>
      </c>
      <c r="I204" s="363">
        <f t="shared" si="27"/>
        <v>2.5609999999999999</v>
      </c>
      <c r="J204" s="50"/>
      <c r="K204" s="364">
        <f>K202</f>
        <v>57.1</v>
      </c>
      <c r="L204" s="157"/>
      <c r="M204" s="157"/>
      <c r="R204" s="365"/>
      <c r="T204" s="51"/>
      <c r="U204" s="22"/>
      <c r="V204" s="22"/>
      <c r="W204" s="22"/>
      <c r="X204" s="22"/>
      <c r="Y204" s="22"/>
      <c r="Z204" s="141"/>
    </row>
    <row r="205" spans="2:35" outlineLevel="1">
      <c r="B205" s="209"/>
      <c r="C205" s="277">
        <f>C203+1</f>
        <v>31</v>
      </c>
      <c r="D205" s="277" t="s">
        <v>52</v>
      </c>
      <c r="E205" s="278">
        <v>564801012</v>
      </c>
      <c r="F205" s="279" t="s">
        <v>383</v>
      </c>
      <c r="G205" s="279"/>
      <c r="H205" s="279"/>
      <c r="I205" s="279"/>
      <c r="J205" s="38" t="s">
        <v>53</v>
      </c>
      <c r="K205" s="281">
        <f>K202</f>
        <v>57.1</v>
      </c>
      <c r="L205" s="91"/>
      <c r="M205" s="91"/>
      <c r="N205" s="280">
        <f>ROUND(L205*K205,2)</f>
        <v>0</v>
      </c>
      <c r="O205" s="280"/>
      <c r="P205" s="280"/>
      <c r="Q205" s="280"/>
      <c r="R205" s="210"/>
      <c r="T205" s="25"/>
    </row>
    <row r="206" spans="2:35" ht="27" customHeight="1" outlineLevel="1">
      <c r="B206" s="209"/>
      <c r="C206" s="277">
        <f>C205+1</f>
        <v>32</v>
      </c>
      <c r="D206" s="277" t="s">
        <v>52</v>
      </c>
      <c r="E206" s="278">
        <v>631311225</v>
      </c>
      <c r="F206" s="279" t="s">
        <v>385</v>
      </c>
      <c r="G206" s="279"/>
      <c r="H206" s="279"/>
      <c r="I206" s="279"/>
      <c r="J206" s="38" t="s">
        <v>54</v>
      </c>
      <c r="K206" s="281">
        <f>SUM(K207:K207)</f>
        <v>5.7100000000000009</v>
      </c>
      <c r="L206" s="91"/>
      <c r="M206" s="91"/>
      <c r="N206" s="280">
        <f>ROUND(L206*K206,2)</f>
        <v>0</v>
      </c>
      <c r="O206" s="280"/>
      <c r="P206" s="280"/>
      <c r="Q206" s="280"/>
      <c r="R206" s="210"/>
      <c r="T206" s="25"/>
    </row>
    <row r="207" spans="2:35" s="360" customFormat="1" outlineLevel="1">
      <c r="B207" s="359"/>
      <c r="E207" s="361" t="s">
        <v>384</v>
      </c>
      <c r="F207" s="362" t="s">
        <v>344</v>
      </c>
      <c r="G207" s="363">
        <f t="shared" ref="G207:I207" si="28">(0.3*2)*1+(0.4*2)*1+0.3*3.87</f>
        <v>2.5609999999999999</v>
      </c>
      <c r="H207" s="363">
        <f t="shared" si="28"/>
        <v>2.5609999999999999</v>
      </c>
      <c r="I207" s="363">
        <f t="shared" si="28"/>
        <v>2.5609999999999999</v>
      </c>
      <c r="J207" s="50">
        <v>0.1</v>
      </c>
      <c r="K207" s="364">
        <f>K202*J207</f>
        <v>5.7100000000000009</v>
      </c>
      <c r="L207" s="157"/>
      <c r="M207" s="157"/>
      <c r="R207" s="365"/>
      <c r="T207" s="51"/>
      <c r="U207" s="22"/>
      <c r="V207" s="22"/>
      <c r="W207" s="22"/>
      <c r="X207" s="22"/>
      <c r="Y207" s="22"/>
      <c r="Z207" s="141"/>
    </row>
    <row r="208" spans="2:35" outlineLevel="1">
      <c r="B208" s="209"/>
      <c r="C208" s="277">
        <f t="shared" ref="C208" si="29">C206+1</f>
        <v>33</v>
      </c>
      <c r="D208" s="277" t="s">
        <v>52</v>
      </c>
      <c r="E208" s="278">
        <v>631319022</v>
      </c>
      <c r="F208" s="279" t="s">
        <v>386</v>
      </c>
      <c r="G208" s="279"/>
      <c r="H208" s="279"/>
      <c r="I208" s="279"/>
      <c r="J208" s="38" t="s">
        <v>54</v>
      </c>
      <c r="K208" s="281">
        <f>K206</f>
        <v>5.7100000000000009</v>
      </c>
      <c r="L208" s="91"/>
      <c r="M208" s="91"/>
      <c r="N208" s="280">
        <f>ROUND(L208*K208,2)</f>
        <v>0</v>
      </c>
      <c r="O208" s="280"/>
      <c r="P208" s="280"/>
      <c r="Q208" s="280"/>
      <c r="R208" s="210"/>
      <c r="T208" s="25"/>
    </row>
    <row r="209" spans="2:26" outlineLevel="1">
      <c r="B209" s="209"/>
      <c r="C209" s="277">
        <f>C208+1</f>
        <v>34</v>
      </c>
      <c r="D209" s="277" t="s">
        <v>52</v>
      </c>
      <c r="E209" s="278">
        <v>631362021</v>
      </c>
      <c r="F209" s="279" t="s">
        <v>194</v>
      </c>
      <c r="G209" s="279"/>
      <c r="H209" s="279"/>
      <c r="I209" s="279"/>
      <c r="J209" s="38" t="s">
        <v>56</v>
      </c>
      <c r="K209" s="281">
        <f>SUM(K210:K210)</f>
        <v>0.21412500000000001</v>
      </c>
      <c r="L209" s="91"/>
      <c r="M209" s="91"/>
      <c r="N209" s="280">
        <f>ROUND(L209*K209,2)</f>
        <v>0</v>
      </c>
      <c r="O209" s="280"/>
      <c r="P209" s="280"/>
      <c r="Q209" s="280"/>
      <c r="R209" s="210"/>
      <c r="T209" s="25"/>
    </row>
    <row r="210" spans="2:26" s="360" customFormat="1" outlineLevel="1">
      <c r="B210" s="359"/>
      <c r="E210" s="361" t="s">
        <v>389</v>
      </c>
      <c r="F210" s="362" t="s">
        <v>390</v>
      </c>
      <c r="G210" s="363" t="e">
        <f t="shared" ref="G210" si="30">(2.3+2.75)*F210</f>
        <v>#VALUE!</v>
      </c>
      <c r="H210" s="363" t="e">
        <f t="shared" ref="H210" si="31">(2.3+2.75)*G210</f>
        <v>#VALUE!</v>
      </c>
      <c r="I210" s="363" t="e">
        <f t="shared" ref="I210" si="32">(2.3+2.75)*H210</f>
        <v>#VALUE!</v>
      </c>
      <c r="J210" s="50">
        <f>3/1000*1.25</f>
        <v>3.7499999999999999E-3</v>
      </c>
      <c r="K210" s="364">
        <f>K202*J210</f>
        <v>0.21412500000000001</v>
      </c>
      <c r="L210" s="157"/>
      <c r="M210" s="157"/>
      <c r="R210" s="365"/>
      <c r="T210" s="51"/>
      <c r="U210" s="22"/>
      <c r="V210" s="22"/>
      <c r="W210" s="22"/>
      <c r="X210" s="22"/>
      <c r="Y210" s="22"/>
      <c r="Z210" s="141"/>
    </row>
    <row r="211" spans="2:26" outlineLevel="1">
      <c r="B211" s="209"/>
      <c r="C211" s="277">
        <f>C209+1</f>
        <v>35</v>
      </c>
      <c r="D211" s="277" t="s">
        <v>52</v>
      </c>
      <c r="E211" s="278">
        <v>631351101</v>
      </c>
      <c r="F211" s="279" t="s">
        <v>391</v>
      </c>
      <c r="G211" s="279"/>
      <c r="H211" s="279"/>
      <c r="I211" s="279"/>
      <c r="J211" s="38" t="s">
        <v>53</v>
      </c>
      <c r="K211" s="281">
        <f>SUM(K212:K212)</f>
        <v>4.1850000000000005</v>
      </c>
      <c r="L211" s="91"/>
      <c r="M211" s="91"/>
      <c r="N211" s="280">
        <f>ROUND(L211*K211,2)</f>
        <v>0</v>
      </c>
      <c r="O211" s="280"/>
      <c r="P211" s="280"/>
      <c r="Q211" s="280"/>
      <c r="R211" s="210"/>
      <c r="T211" s="25"/>
    </row>
    <row r="212" spans="2:26" s="360" customFormat="1" outlineLevel="1">
      <c r="B212" s="359"/>
      <c r="E212" s="361" t="s">
        <v>392</v>
      </c>
      <c r="F212" s="362" t="s">
        <v>394</v>
      </c>
      <c r="G212" s="363">
        <f t="shared" ref="G212:I215" si="33">(0.3*2)*1+(0.4*2)*1+0.3*3.87</f>
        <v>2.5609999999999999</v>
      </c>
      <c r="H212" s="363">
        <f t="shared" si="33"/>
        <v>2.5609999999999999</v>
      </c>
      <c r="I212" s="363">
        <f t="shared" si="33"/>
        <v>2.5609999999999999</v>
      </c>
      <c r="J212" s="50">
        <v>0.1</v>
      </c>
      <c r="K212" s="364">
        <f>(K189+K190)*J212</f>
        <v>4.1850000000000005</v>
      </c>
      <c r="L212" s="157"/>
      <c r="M212" s="157"/>
      <c r="R212" s="365"/>
      <c r="T212" s="51"/>
      <c r="U212" s="22"/>
      <c r="V212" s="22"/>
      <c r="W212" s="22"/>
      <c r="X212" s="22"/>
      <c r="Y212" s="22"/>
      <c r="Z212" s="141"/>
    </row>
    <row r="213" spans="2:26" outlineLevel="1">
      <c r="B213" s="209"/>
      <c r="C213" s="277">
        <f>C211+1</f>
        <v>36</v>
      </c>
      <c r="D213" s="277" t="s">
        <v>52</v>
      </c>
      <c r="E213" s="278">
        <v>631351102</v>
      </c>
      <c r="F213" s="279" t="s">
        <v>395</v>
      </c>
      <c r="G213" s="279"/>
      <c r="H213" s="279"/>
      <c r="I213" s="279"/>
      <c r="J213" s="38" t="s">
        <v>53</v>
      </c>
      <c r="K213" s="281">
        <f>K211</f>
        <v>4.1850000000000005</v>
      </c>
      <c r="L213" s="91"/>
      <c r="M213" s="91"/>
      <c r="N213" s="280">
        <f>ROUND(L213*K213,2)</f>
        <v>0</v>
      </c>
      <c r="O213" s="280"/>
      <c r="P213" s="280"/>
      <c r="Q213" s="280"/>
      <c r="R213" s="210"/>
      <c r="T213" s="25"/>
    </row>
    <row r="214" spans="2:26" ht="27" customHeight="1" outlineLevel="1">
      <c r="B214" s="209"/>
      <c r="C214" s="277">
        <f>C213+1</f>
        <v>37</v>
      </c>
      <c r="D214" s="277" t="s">
        <v>59</v>
      </c>
      <c r="E214" s="278" t="s">
        <v>396</v>
      </c>
      <c r="F214" s="279" t="s">
        <v>397</v>
      </c>
      <c r="G214" s="279"/>
      <c r="H214" s="279"/>
      <c r="I214" s="279"/>
      <c r="J214" s="38" t="s">
        <v>58</v>
      </c>
      <c r="K214" s="281">
        <f>SUM(K215:K215)</f>
        <v>9.6999999999999993</v>
      </c>
      <c r="L214" s="91"/>
      <c r="M214" s="91"/>
      <c r="N214" s="280">
        <f>ROUND(L214*K214,2)</f>
        <v>0</v>
      </c>
      <c r="O214" s="280"/>
      <c r="P214" s="280"/>
      <c r="Q214" s="280"/>
      <c r="R214" s="210"/>
      <c r="T214" s="25"/>
    </row>
    <row r="215" spans="2:26" s="360" customFormat="1" outlineLevel="1">
      <c r="B215" s="359"/>
      <c r="E215" s="361" t="s">
        <v>393</v>
      </c>
      <c r="F215" s="362" t="s">
        <v>368</v>
      </c>
      <c r="G215" s="363">
        <f t="shared" si="33"/>
        <v>2.5609999999999999</v>
      </c>
      <c r="H215" s="363">
        <f t="shared" si="33"/>
        <v>2.5609999999999999</v>
      </c>
      <c r="I215" s="363">
        <f t="shared" si="33"/>
        <v>2.5609999999999999</v>
      </c>
      <c r="J215" s="50"/>
      <c r="K215" s="364">
        <f>K188</f>
        <v>9.6999999999999993</v>
      </c>
      <c r="L215" s="157"/>
      <c r="M215" s="157"/>
      <c r="R215" s="365"/>
      <c r="T215" s="51"/>
      <c r="U215" s="22"/>
      <c r="V215" s="22"/>
      <c r="W215" s="22"/>
      <c r="X215" s="22"/>
      <c r="Y215" s="22"/>
      <c r="Z215" s="141"/>
    </row>
    <row r="216" spans="2:26" s="275" customFormat="1" outlineLevel="1">
      <c r="B216" s="267"/>
      <c r="C216" s="268"/>
      <c r="D216" s="268"/>
      <c r="E216" s="269" t="s">
        <v>844</v>
      </c>
      <c r="F216" s="270"/>
      <c r="G216" s="270"/>
      <c r="H216" s="270"/>
      <c r="I216" s="271"/>
      <c r="J216" s="49" t="s">
        <v>54</v>
      </c>
      <c r="K216" s="272">
        <f>K190</f>
        <v>8.75</v>
      </c>
      <c r="L216" s="92"/>
      <c r="M216" s="92"/>
      <c r="N216" s="273"/>
      <c r="O216" s="273"/>
      <c r="P216" s="273"/>
      <c r="Q216" s="273"/>
      <c r="R216" s="274"/>
      <c r="T216" s="48"/>
      <c r="U216" s="67"/>
      <c r="V216" s="69"/>
      <c r="W216" s="69"/>
      <c r="X216" s="69"/>
      <c r="Y216" s="70">
        <f>SUM(Y258:Y520)</f>
        <v>0</v>
      </c>
      <c r="Z216" s="375"/>
    </row>
    <row r="217" spans="2:26" ht="10.199999999999999" customHeight="1" outlineLevel="1">
      <c r="B217" s="209"/>
      <c r="C217" s="412">
        <f>C214+1</f>
        <v>38</v>
      </c>
      <c r="D217" s="412" t="s">
        <v>52</v>
      </c>
      <c r="E217" s="413">
        <v>897171111</v>
      </c>
      <c r="F217" s="414" t="s">
        <v>846</v>
      </c>
      <c r="G217" s="414"/>
      <c r="H217" s="414"/>
      <c r="I217" s="414"/>
      <c r="J217" s="38" t="s">
        <v>54</v>
      </c>
      <c r="K217" s="410">
        <f>SUM(K218:K218)</f>
        <v>8.75</v>
      </c>
      <c r="L217" s="91"/>
      <c r="M217" s="91"/>
      <c r="N217" s="280">
        <f>ROUND(L217*K217,2)</f>
        <v>0</v>
      </c>
      <c r="O217" s="280"/>
      <c r="P217" s="280"/>
      <c r="Q217" s="280"/>
      <c r="R217" s="210"/>
      <c r="T217" s="25"/>
    </row>
    <row r="218" spans="2:26" s="360" customFormat="1" outlineLevel="1">
      <c r="B218" s="359"/>
      <c r="C218" s="415"/>
      <c r="D218" s="415"/>
      <c r="E218" s="406" t="s">
        <v>401</v>
      </c>
      <c r="F218" s="407" t="s">
        <v>344</v>
      </c>
      <c r="G218" s="408">
        <f t="shared" ref="G218:I218" si="34">(0.3*2)*1+(0.4*2)*1+0.3*3.87</f>
        <v>2.5609999999999999</v>
      </c>
      <c r="H218" s="408">
        <f t="shared" si="34"/>
        <v>2.5609999999999999</v>
      </c>
      <c r="I218" s="408">
        <f t="shared" si="34"/>
        <v>2.5609999999999999</v>
      </c>
      <c r="J218" s="50"/>
      <c r="K218" s="409">
        <f>K216</f>
        <v>8.75</v>
      </c>
      <c r="L218" s="157"/>
      <c r="M218" s="157"/>
      <c r="R218" s="365"/>
      <c r="T218" s="51"/>
      <c r="U218" s="22"/>
      <c r="V218" s="22"/>
      <c r="W218" s="22"/>
      <c r="X218" s="22"/>
      <c r="Y218" s="22"/>
      <c r="Z218" s="141"/>
    </row>
    <row r="219" spans="2:26" ht="27" customHeight="1" outlineLevel="1">
      <c r="B219" s="209"/>
      <c r="C219" s="412">
        <f>C217+1</f>
        <v>39</v>
      </c>
      <c r="D219" s="412" t="s">
        <v>52</v>
      </c>
      <c r="E219" s="413">
        <v>211971122</v>
      </c>
      <c r="F219" s="414" t="s">
        <v>374</v>
      </c>
      <c r="G219" s="414"/>
      <c r="H219" s="414"/>
      <c r="I219" s="414"/>
      <c r="J219" s="38" t="s">
        <v>53</v>
      </c>
      <c r="K219" s="410">
        <f>SUM(K220:K220)</f>
        <v>52.199999999999996</v>
      </c>
      <c r="L219" s="91"/>
      <c r="M219" s="91"/>
      <c r="N219" s="280">
        <f>ROUND(L219*K219,2)</f>
        <v>0</v>
      </c>
      <c r="O219" s="280"/>
      <c r="P219" s="280"/>
      <c r="Q219" s="280"/>
      <c r="R219" s="210"/>
      <c r="T219" s="25"/>
    </row>
    <row r="220" spans="2:26" s="360" customFormat="1" ht="10.199999999999999" customHeight="1" outlineLevel="1">
      <c r="B220" s="359"/>
      <c r="C220" s="415"/>
      <c r="D220" s="415"/>
      <c r="E220" s="406" t="s">
        <v>375</v>
      </c>
      <c r="F220" s="407" t="s">
        <v>368</v>
      </c>
      <c r="G220" s="408">
        <f t="shared" ref="G220:I220" si="35">(0.3*2)*1+(0.4*2)*1+0.3*3.87</f>
        <v>2.5609999999999999</v>
      </c>
      <c r="H220" s="408">
        <f t="shared" si="35"/>
        <v>2.5609999999999999</v>
      </c>
      <c r="I220" s="408">
        <f t="shared" si="35"/>
        <v>2.5609999999999999</v>
      </c>
      <c r="J220" s="50"/>
      <c r="K220" s="409">
        <f>K191</f>
        <v>52.199999999999996</v>
      </c>
      <c r="L220" s="157"/>
      <c r="M220" s="157"/>
      <c r="R220" s="365"/>
      <c r="T220" s="51"/>
      <c r="U220" s="22"/>
      <c r="V220" s="22"/>
      <c r="W220" s="22"/>
      <c r="X220" s="22"/>
      <c r="Y220" s="22"/>
      <c r="Z220" s="141"/>
    </row>
    <row r="221" spans="2:26" ht="11.25" customHeight="1" outlineLevel="1">
      <c r="B221" s="209"/>
      <c r="C221" s="416">
        <f>C219+1</f>
        <v>40</v>
      </c>
      <c r="D221" s="416" t="s">
        <v>55</v>
      </c>
      <c r="E221" s="417">
        <v>69311081</v>
      </c>
      <c r="F221" s="418" t="s">
        <v>378</v>
      </c>
      <c r="G221" s="418"/>
      <c r="H221" s="418"/>
      <c r="I221" s="418"/>
      <c r="J221" s="39" t="s">
        <v>53</v>
      </c>
      <c r="K221" s="419">
        <f>SUM(K222:K222)</f>
        <v>62.639999999999993</v>
      </c>
      <c r="L221" s="96"/>
      <c r="M221" s="96"/>
      <c r="N221" s="371">
        <f t="shared" ref="N221" si="36">ROUND(L221*K221,2)</f>
        <v>0</v>
      </c>
      <c r="O221" s="280"/>
      <c r="P221" s="280"/>
      <c r="Q221" s="280"/>
      <c r="R221" s="210"/>
      <c r="T221" s="25"/>
    </row>
    <row r="222" spans="2:26" s="360" customFormat="1" outlineLevel="1">
      <c r="B222" s="359"/>
      <c r="C222" s="415"/>
      <c r="D222" s="415"/>
      <c r="E222" s="406" t="s">
        <v>376</v>
      </c>
      <c r="F222" s="407" t="s">
        <v>377</v>
      </c>
      <c r="G222" s="408">
        <f t="shared" ref="G222:I222" si="37">(0.3*2)*1+(0.4*2)*1+0.3*3.87</f>
        <v>2.5609999999999999</v>
      </c>
      <c r="H222" s="408">
        <f t="shared" si="37"/>
        <v>2.5609999999999999</v>
      </c>
      <c r="I222" s="408">
        <f t="shared" si="37"/>
        <v>2.5609999999999999</v>
      </c>
      <c r="J222" s="151">
        <v>0.2</v>
      </c>
      <c r="K222" s="409">
        <f>K219*(1+J222)</f>
        <v>62.639999999999993</v>
      </c>
      <c r="L222" s="157"/>
      <c r="M222" s="157"/>
      <c r="R222" s="365"/>
      <c r="T222" s="51"/>
      <c r="U222" s="22"/>
      <c r="V222" s="22"/>
      <c r="W222" s="22"/>
      <c r="X222" s="22"/>
      <c r="Y222" s="22"/>
      <c r="Z222" s="141"/>
    </row>
    <row r="223" spans="2:26" s="275" customFormat="1" outlineLevel="1">
      <c r="B223" s="267"/>
      <c r="C223" s="268"/>
      <c r="D223" s="268"/>
      <c r="E223" s="269" t="s">
        <v>400</v>
      </c>
      <c r="F223" s="270"/>
      <c r="G223" s="270"/>
      <c r="H223" s="270"/>
      <c r="I223" s="271"/>
      <c r="J223" s="49"/>
      <c r="K223" s="272"/>
      <c r="L223" s="92"/>
      <c r="M223" s="92"/>
      <c r="N223" s="273"/>
      <c r="O223" s="273"/>
      <c r="P223" s="273"/>
      <c r="Q223" s="273"/>
      <c r="R223" s="274"/>
      <c r="T223" s="48"/>
      <c r="U223" s="67"/>
      <c r="V223" s="69"/>
      <c r="W223" s="69"/>
      <c r="X223" s="69"/>
      <c r="Y223" s="70">
        <f>SUM(Y258:Y565)</f>
        <v>0</v>
      </c>
      <c r="Z223" s="375"/>
    </row>
    <row r="224" spans="2:26" ht="27" customHeight="1" outlineLevel="1">
      <c r="B224" s="209"/>
      <c r="C224" s="277">
        <f>C221+1</f>
        <v>41</v>
      </c>
      <c r="D224" s="277" t="s">
        <v>52</v>
      </c>
      <c r="E224" s="278">
        <v>935932314</v>
      </c>
      <c r="F224" s="279" t="s">
        <v>818</v>
      </c>
      <c r="G224" s="279"/>
      <c r="H224" s="279"/>
      <c r="I224" s="279"/>
      <c r="J224" s="38" t="s">
        <v>58</v>
      </c>
      <c r="K224" s="281">
        <f>SUM(K225:K226)</f>
        <v>2.5</v>
      </c>
      <c r="L224" s="91"/>
      <c r="M224" s="91"/>
      <c r="N224" s="280">
        <f>ROUND(L224*K224,2)</f>
        <v>0</v>
      </c>
      <c r="O224" s="280"/>
      <c r="P224" s="280"/>
      <c r="Q224" s="280"/>
      <c r="R224" s="210"/>
      <c r="T224" s="25"/>
    </row>
    <row r="225" spans="2:26" s="360" customFormat="1" outlineLevel="1">
      <c r="B225" s="359"/>
      <c r="E225" s="361" t="s">
        <v>819</v>
      </c>
      <c r="F225" s="362" t="s">
        <v>820</v>
      </c>
      <c r="G225" s="363">
        <f t="shared" ref="G225:I226" si="38">(0.3*2)*1+(0.4*2)*1+0.3*3.87</f>
        <v>2.5609999999999999</v>
      </c>
      <c r="H225" s="363">
        <f t="shared" si="38"/>
        <v>2.5609999999999999</v>
      </c>
      <c r="I225" s="363">
        <f t="shared" si="38"/>
        <v>2.5609999999999999</v>
      </c>
      <c r="J225" s="50"/>
      <c r="K225" s="364">
        <v>1.3</v>
      </c>
      <c r="L225" s="157"/>
      <c r="M225" s="157"/>
      <c r="R225" s="365"/>
      <c r="T225" s="51"/>
      <c r="U225" s="22"/>
      <c r="V225" s="22"/>
      <c r="W225" s="22"/>
      <c r="X225" s="22"/>
      <c r="Y225" s="22"/>
      <c r="Z225" s="141"/>
    </row>
    <row r="226" spans="2:26" s="360" customFormat="1" outlineLevel="1">
      <c r="B226" s="359"/>
      <c r="E226" s="361" t="s">
        <v>403</v>
      </c>
      <c r="F226" s="362" t="s">
        <v>404</v>
      </c>
      <c r="G226" s="363">
        <f t="shared" si="38"/>
        <v>2.5609999999999999</v>
      </c>
      <c r="H226" s="363">
        <f t="shared" si="38"/>
        <v>2.5609999999999999</v>
      </c>
      <c r="I226" s="363">
        <f t="shared" si="38"/>
        <v>2.5609999999999999</v>
      </c>
      <c r="J226" s="50"/>
      <c r="K226" s="364">
        <v>1.2</v>
      </c>
      <c r="L226" s="157"/>
      <c r="M226" s="157"/>
      <c r="R226" s="365"/>
      <c r="T226" s="51"/>
      <c r="U226" s="22"/>
      <c r="V226" s="22"/>
      <c r="W226" s="22"/>
      <c r="X226" s="22"/>
      <c r="Y226" s="22"/>
      <c r="Z226" s="141"/>
    </row>
    <row r="227" spans="2:26" ht="10.199999999999999" customHeight="1" outlineLevel="1">
      <c r="B227" s="209"/>
      <c r="C227" s="277">
        <f>C224+1</f>
        <v>42</v>
      </c>
      <c r="D227" s="277" t="s">
        <v>52</v>
      </c>
      <c r="E227" s="278">
        <v>637111111</v>
      </c>
      <c r="F227" s="279" t="s">
        <v>398</v>
      </c>
      <c r="G227" s="279"/>
      <c r="H227" s="279"/>
      <c r="I227" s="279"/>
      <c r="J227" s="38" t="s">
        <v>53</v>
      </c>
      <c r="K227" s="281">
        <f>SUM(K228:K228)</f>
        <v>1.6550000000000002</v>
      </c>
      <c r="L227" s="91"/>
      <c r="M227" s="91"/>
      <c r="N227" s="280">
        <f>ROUND(L227*K227,2)</f>
        <v>0</v>
      </c>
      <c r="O227" s="280"/>
      <c r="P227" s="280"/>
      <c r="Q227" s="280"/>
      <c r="R227" s="210"/>
      <c r="T227" s="25"/>
    </row>
    <row r="228" spans="2:26" s="360" customFormat="1" ht="10.199999999999999" customHeight="1" outlineLevel="1">
      <c r="B228" s="359"/>
      <c r="E228" s="361" t="s">
        <v>399</v>
      </c>
      <c r="F228" s="362" t="s">
        <v>405</v>
      </c>
      <c r="G228" s="363">
        <f t="shared" ref="G228:I228" si="39">(0.3*2)*1+(0.4*2)*1+0.3*3.87</f>
        <v>2.5609999999999999</v>
      </c>
      <c r="H228" s="363">
        <f t="shared" si="39"/>
        <v>2.5609999999999999</v>
      </c>
      <c r="I228" s="363">
        <f t="shared" si="39"/>
        <v>2.5609999999999999</v>
      </c>
      <c r="J228" s="50">
        <v>0.05</v>
      </c>
      <c r="K228" s="364">
        <f>33.1*J228</f>
        <v>1.6550000000000002</v>
      </c>
      <c r="L228" s="157"/>
      <c r="M228" s="157"/>
      <c r="R228" s="365"/>
      <c r="T228" s="51"/>
      <c r="U228" s="22"/>
      <c r="V228" s="22"/>
      <c r="W228" s="22"/>
      <c r="X228" s="22"/>
      <c r="Y228" s="22"/>
      <c r="Z228" s="141"/>
    </row>
    <row r="229" spans="2:26" s="354" customFormat="1">
      <c r="B229" s="353"/>
      <c r="E229" s="358"/>
      <c r="F229" s="358"/>
      <c r="G229" s="358"/>
      <c r="H229" s="358"/>
      <c r="I229" s="358"/>
      <c r="J229" s="358"/>
      <c r="K229" s="358"/>
      <c r="L229" s="156"/>
      <c r="M229" s="156"/>
      <c r="R229" s="356"/>
      <c r="T229" s="52"/>
      <c r="U229" s="68"/>
      <c r="V229" s="70"/>
      <c r="W229" s="70"/>
      <c r="X229" s="70"/>
      <c r="Y229" s="70"/>
      <c r="Z229" s="375"/>
    </row>
    <row r="230" spans="2:26" s="266" customFormat="1" ht="13.2">
      <c r="B230" s="262"/>
      <c r="C230" s="263"/>
      <c r="D230" s="263" t="s">
        <v>406</v>
      </c>
      <c r="E230" s="263"/>
      <c r="F230" s="263"/>
      <c r="G230" s="263"/>
      <c r="H230" s="263"/>
      <c r="I230" s="263"/>
      <c r="J230" s="36"/>
      <c r="K230" s="263"/>
      <c r="L230" s="155"/>
      <c r="M230" s="155"/>
      <c r="N230" s="264">
        <f>SUM(N234:Q257)</f>
        <v>0</v>
      </c>
      <c r="O230" s="264"/>
      <c r="P230" s="264"/>
      <c r="Q230" s="264"/>
      <c r="R230" s="265"/>
      <c r="T230" s="37">
        <f>SUM(N230:Q257)/2</f>
        <v>0</v>
      </c>
      <c r="U230" s="384"/>
      <c r="V230" s="384"/>
      <c r="W230" s="384"/>
      <c r="X230" s="384"/>
      <c r="Y230" s="384"/>
      <c r="Z230" s="141"/>
    </row>
    <row r="231" spans="2:26" s="360" customFormat="1" ht="10.199999999999999" customHeight="1" outlineLevel="1">
      <c r="B231" s="359"/>
      <c r="E231" s="361"/>
      <c r="F231" s="362"/>
      <c r="G231" s="363"/>
      <c r="H231" s="363"/>
      <c r="I231" s="363"/>
      <c r="J231" s="50"/>
      <c r="K231" s="364"/>
      <c r="L231" s="157"/>
      <c r="M231" s="157"/>
      <c r="R231" s="365"/>
      <c r="T231" s="51"/>
      <c r="U231" s="66"/>
      <c r="V231" s="66"/>
      <c r="W231" s="66"/>
      <c r="X231" s="66"/>
      <c r="Y231" s="22"/>
      <c r="Z231" s="141"/>
    </row>
    <row r="232" spans="2:26" s="275" customFormat="1" outlineLevel="1">
      <c r="B232" s="267"/>
      <c r="C232" s="268"/>
      <c r="D232" s="268"/>
      <c r="E232" s="269" t="s">
        <v>408</v>
      </c>
      <c r="F232" s="270"/>
      <c r="G232" s="270"/>
      <c r="H232" s="270"/>
      <c r="I232" s="271"/>
      <c r="J232" s="49"/>
      <c r="K232" s="272"/>
      <c r="L232" s="92"/>
      <c r="M232" s="92"/>
      <c r="N232" s="273"/>
      <c r="O232" s="273"/>
      <c r="P232" s="273"/>
      <c r="Q232" s="273"/>
      <c r="R232" s="274"/>
      <c r="T232" s="48"/>
      <c r="U232" s="67"/>
      <c r="V232" s="69"/>
      <c r="W232" s="69"/>
      <c r="X232" s="69"/>
      <c r="Y232" s="70">
        <f>SUM(Y258:Y464)</f>
        <v>0</v>
      </c>
      <c r="Z232" s="375"/>
    </row>
    <row r="233" spans="2:26" s="354" customFormat="1">
      <c r="B233" s="353"/>
      <c r="E233" s="355" t="s">
        <v>767</v>
      </c>
      <c r="F233" s="355"/>
      <c r="G233" s="355"/>
      <c r="H233" s="355"/>
      <c r="I233" s="355"/>
      <c r="J233" s="355"/>
      <c r="K233" s="355"/>
      <c r="L233" s="156"/>
      <c r="M233" s="156"/>
      <c r="R233" s="356"/>
      <c r="T233" s="52"/>
      <c r="U233" s="67"/>
      <c r="V233" s="69"/>
      <c r="W233" s="69"/>
      <c r="X233" s="69"/>
      <c r="Y233" s="70"/>
      <c r="Z233" s="375"/>
    </row>
    <row r="234" spans="2:26" ht="27" customHeight="1" outlineLevel="1">
      <c r="B234" s="209"/>
      <c r="C234" s="277">
        <f>C227+1</f>
        <v>43</v>
      </c>
      <c r="D234" s="277" t="s">
        <v>52</v>
      </c>
      <c r="E234" s="278">
        <v>131212531</v>
      </c>
      <c r="F234" s="279" t="s">
        <v>409</v>
      </c>
      <c r="G234" s="279"/>
      <c r="H234" s="279"/>
      <c r="I234" s="279"/>
      <c r="J234" s="38" t="s">
        <v>54</v>
      </c>
      <c r="K234" s="410">
        <f>SUM(K235:K236)</f>
        <v>3.1086</v>
      </c>
      <c r="L234" s="91"/>
      <c r="M234" s="91"/>
      <c r="N234" s="280">
        <f>ROUND(L234*K234,2)</f>
        <v>0</v>
      </c>
      <c r="O234" s="280"/>
      <c r="P234" s="280"/>
      <c r="Q234" s="280"/>
      <c r="R234" s="210"/>
      <c r="T234" s="25"/>
    </row>
    <row r="235" spans="2:26" s="360" customFormat="1" outlineLevel="1">
      <c r="B235" s="359"/>
      <c r="E235" s="361" t="s">
        <v>438</v>
      </c>
      <c r="F235" s="362" t="s">
        <v>410</v>
      </c>
      <c r="G235" s="363">
        <f t="shared" ref="G235:I238" si="40">(0.2*0.2*3.14)*1*9</f>
        <v>1.1304000000000001</v>
      </c>
      <c r="H235" s="363">
        <f t="shared" si="40"/>
        <v>1.1304000000000001</v>
      </c>
      <c r="I235" s="363">
        <f t="shared" si="40"/>
        <v>1.1304000000000001</v>
      </c>
      <c r="J235" s="50"/>
      <c r="K235" s="409">
        <f>(0.2*0.2*3.14)*1*9</f>
        <v>1.1304000000000001</v>
      </c>
      <c r="L235" s="157"/>
      <c r="M235" s="157"/>
      <c r="R235" s="365"/>
      <c r="V235" s="141"/>
      <c r="W235" s="141"/>
      <c r="X235" s="141"/>
      <c r="Y235" s="141"/>
      <c r="Z235" s="141"/>
    </row>
    <row r="236" spans="2:26" s="360" customFormat="1" outlineLevel="1">
      <c r="B236" s="359"/>
      <c r="E236" s="361" t="s">
        <v>439</v>
      </c>
      <c r="F236" s="362" t="s">
        <v>848</v>
      </c>
      <c r="G236" s="363">
        <f t="shared" ref="G236:I236" si="41">(0.15*0.15*3.14)*0.7*(24+3)</f>
        <v>1.3352850000000001</v>
      </c>
      <c r="H236" s="363">
        <f t="shared" si="41"/>
        <v>1.3352850000000001</v>
      </c>
      <c r="I236" s="363">
        <f t="shared" si="41"/>
        <v>1.3352850000000001</v>
      </c>
      <c r="J236" s="50"/>
      <c r="K236" s="409">
        <f>(0.15*0.15*3.14)*0.7*(40)</f>
        <v>1.9782</v>
      </c>
      <c r="L236" s="157"/>
      <c r="M236" s="157"/>
      <c r="R236" s="365"/>
      <c r="V236" s="141"/>
      <c r="W236" s="141"/>
      <c r="X236" s="141"/>
      <c r="Y236" s="141"/>
      <c r="Z236" s="141"/>
    </row>
    <row r="237" spans="2:26" outlineLevel="1">
      <c r="B237" s="209"/>
      <c r="C237" s="277">
        <f t="shared" ref="C237" si="42">C234+1</f>
        <v>44</v>
      </c>
      <c r="D237" s="277" t="s">
        <v>52</v>
      </c>
      <c r="E237" s="278">
        <v>275313711</v>
      </c>
      <c r="F237" s="279" t="s">
        <v>413</v>
      </c>
      <c r="G237" s="279"/>
      <c r="H237" s="279"/>
      <c r="I237" s="279"/>
      <c r="J237" s="38" t="s">
        <v>54</v>
      </c>
      <c r="K237" s="410">
        <f>SUM(K238:K239)</f>
        <v>3.1086</v>
      </c>
      <c r="L237" s="91"/>
      <c r="M237" s="91"/>
      <c r="N237" s="280">
        <f>ROUND(L237*K237,2)</f>
        <v>0</v>
      </c>
      <c r="O237" s="280"/>
      <c r="P237" s="280"/>
      <c r="Q237" s="280"/>
      <c r="R237" s="210"/>
    </row>
    <row r="238" spans="2:26" s="360" customFormat="1" outlineLevel="1">
      <c r="B238" s="359"/>
      <c r="E238" s="361" t="s">
        <v>438</v>
      </c>
      <c r="F238" s="362" t="s">
        <v>410</v>
      </c>
      <c r="G238" s="363">
        <f t="shared" si="40"/>
        <v>1.1304000000000001</v>
      </c>
      <c r="H238" s="363">
        <f t="shared" si="40"/>
        <v>1.1304000000000001</v>
      </c>
      <c r="I238" s="363">
        <f t="shared" si="40"/>
        <v>1.1304000000000001</v>
      </c>
      <c r="J238" s="50"/>
      <c r="K238" s="409">
        <f>(0.2*0.2*3.14)*1*9</f>
        <v>1.1304000000000001</v>
      </c>
      <c r="L238" s="157"/>
      <c r="M238" s="157"/>
      <c r="R238" s="365"/>
      <c r="V238" s="141"/>
      <c r="W238" s="141"/>
      <c r="X238" s="141"/>
      <c r="Y238" s="141"/>
      <c r="Z238" s="141"/>
    </row>
    <row r="239" spans="2:26" s="360" customFormat="1" ht="10.199999999999999" customHeight="1" outlineLevel="1">
      <c r="B239" s="359"/>
      <c r="E239" s="361" t="s">
        <v>439</v>
      </c>
      <c r="F239" s="362" t="s">
        <v>848</v>
      </c>
      <c r="G239" s="363">
        <f t="shared" ref="G239:I239" si="43">(0.15*0.15*3.14)*0.7*(24+3)</f>
        <v>1.3352850000000001</v>
      </c>
      <c r="H239" s="363">
        <f t="shared" si="43"/>
        <v>1.3352850000000001</v>
      </c>
      <c r="I239" s="363">
        <f t="shared" si="43"/>
        <v>1.3352850000000001</v>
      </c>
      <c r="J239" s="50"/>
      <c r="K239" s="409">
        <f>(0.15*0.15*3.14)*0.7*(40)</f>
        <v>1.9782</v>
      </c>
      <c r="L239" s="157"/>
      <c r="M239" s="157"/>
      <c r="R239" s="365"/>
      <c r="V239" s="141"/>
      <c r="W239" s="141"/>
      <c r="X239" s="141"/>
      <c r="Y239" s="141"/>
      <c r="Z239" s="141"/>
    </row>
    <row r="240" spans="2:26" outlineLevel="1">
      <c r="B240" s="209"/>
      <c r="C240" s="277">
        <f t="shared" ref="C240" si="44">C237+1</f>
        <v>45</v>
      </c>
      <c r="D240" s="277" t="s">
        <v>59</v>
      </c>
      <c r="E240" s="278" t="s">
        <v>415</v>
      </c>
      <c r="F240" s="279" t="s">
        <v>416</v>
      </c>
      <c r="G240" s="279"/>
      <c r="H240" s="279"/>
      <c r="I240" s="279"/>
      <c r="J240" s="38" t="s">
        <v>57</v>
      </c>
      <c r="K240" s="410">
        <f>SUM(K241:K241)</f>
        <v>9</v>
      </c>
      <c r="L240" s="91"/>
      <c r="M240" s="91"/>
      <c r="N240" s="280">
        <f>ROUND(L240*K240,2)</f>
        <v>0</v>
      </c>
      <c r="O240" s="280"/>
      <c r="P240" s="280"/>
      <c r="Q240" s="280"/>
      <c r="R240" s="210"/>
    </row>
    <row r="241" spans="2:26" s="360" customFormat="1" outlineLevel="1">
      <c r="B241" s="359"/>
      <c r="E241" s="361" t="s">
        <v>414</v>
      </c>
      <c r="F241" s="362" t="s">
        <v>412</v>
      </c>
      <c r="G241" s="363"/>
      <c r="H241" s="363"/>
      <c r="I241" s="363"/>
      <c r="J241" s="50"/>
      <c r="K241" s="409">
        <v>9</v>
      </c>
      <c r="L241" s="157"/>
      <c r="M241" s="157"/>
      <c r="R241" s="365"/>
      <c r="V241" s="141"/>
      <c r="W241" s="141"/>
      <c r="X241" s="141"/>
      <c r="Y241" s="141"/>
      <c r="Z241" s="141"/>
    </row>
    <row r="242" spans="2:26" ht="27" customHeight="1" outlineLevel="1">
      <c r="B242" s="209"/>
      <c r="C242" s="277">
        <f t="shared" ref="C242" si="45">C240+1</f>
        <v>46</v>
      </c>
      <c r="D242" s="277" t="s">
        <v>52</v>
      </c>
      <c r="E242" s="278">
        <v>338171125</v>
      </c>
      <c r="F242" s="279" t="s">
        <v>411</v>
      </c>
      <c r="G242" s="279"/>
      <c r="H242" s="279"/>
      <c r="I242" s="279"/>
      <c r="J242" s="38" t="s">
        <v>57</v>
      </c>
      <c r="K242" s="410">
        <f>SUM(K243:K243)</f>
        <v>9</v>
      </c>
      <c r="L242" s="91"/>
      <c r="M242" s="91"/>
      <c r="N242" s="280">
        <f>ROUND(L242*K242,2)</f>
        <v>0</v>
      </c>
      <c r="O242" s="280"/>
      <c r="P242" s="280"/>
      <c r="Q242" s="280"/>
      <c r="R242" s="210"/>
      <c r="T242" s="25"/>
    </row>
    <row r="243" spans="2:26" s="360" customFormat="1" ht="10.199999999999999" customHeight="1" outlineLevel="1">
      <c r="B243" s="359"/>
      <c r="E243" s="361" t="s">
        <v>419</v>
      </c>
      <c r="F243" s="362" t="s">
        <v>412</v>
      </c>
      <c r="G243" s="363"/>
      <c r="H243" s="363"/>
      <c r="I243" s="363"/>
      <c r="J243" s="50"/>
      <c r="K243" s="364">
        <v>9</v>
      </c>
      <c r="L243" s="157"/>
      <c r="M243" s="157"/>
      <c r="R243" s="365"/>
      <c r="V243" s="141"/>
      <c r="W243" s="141"/>
      <c r="X243" s="141"/>
      <c r="Y243" s="141"/>
      <c r="Z243" s="141"/>
    </row>
    <row r="244" spans="2:26" outlineLevel="1">
      <c r="B244" s="209"/>
      <c r="C244" s="277">
        <f>C242+1</f>
        <v>47</v>
      </c>
      <c r="D244" s="277" t="s">
        <v>52</v>
      </c>
      <c r="E244" s="278">
        <v>348171135</v>
      </c>
      <c r="F244" s="279" t="s">
        <v>417</v>
      </c>
      <c r="G244" s="279"/>
      <c r="H244" s="279"/>
      <c r="I244" s="279"/>
      <c r="J244" s="38" t="s">
        <v>58</v>
      </c>
      <c r="K244" s="281">
        <f>SUM(K245:K245)</f>
        <v>15</v>
      </c>
      <c r="L244" s="91"/>
      <c r="M244" s="91"/>
      <c r="N244" s="280">
        <f>ROUND(L244*K244,2)</f>
        <v>0</v>
      </c>
      <c r="O244" s="280"/>
      <c r="P244" s="280"/>
      <c r="Q244" s="280"/>
      <c r="R244" s="210"/>
    </row>
    <row r="245" spans="2:26" s="360" customFormat="1" ht="20.399999999999999" outlineLevel="1">
      <c r="B245" s="359"/>
      <c r="E245" s="361" t="s">
        <v>418</v>
      </c>
      <c r="F245" s="362"/>
      <c r="G245" s="363"/>
      <c r="H245" s="363"/>
      <c r="I245" s="363"/>
      <c r="J245" s="50"/>
      <c r="K245" s="364">
        <v>15</v>
      </c>
      <c r="L245" s="157"/>
      <c r="M245" s="157"/>
      <c r="R245" s="365"/>
      <c r="V245" s="141"/>
      <c r="W245" s="141"/>
      <c r="X245" s="141"/>
      <c r="Y245" s="141"/>
      <c r="Z245" s="141"/>
    </row>
    <row r="246" spans="2:26" outlineLevel="1">
      <c r="B246" s="209"/>
      <c r="C246" s="277">
        <f t="shared" ref="C246" si="46">C244+1</f>
        <v>48</v>
      </c>
      <c r="D246" s="277" t="s">
        <v>52</v>
      </c>
      <c r="E246" s="278">
        <v>348181119</v>
      </c>
      <c r="F246" s="279" t="s">
        <v>420</v>
      </c>
      <c r="G246" s="279"/>
      <c r="H246" s="279"/>
      <c r="I246" s="279"/>
      <c r="J246" s="38" t="s">
        <v>58</v>
      </c>
      <c r="K246" s="281">
        <f>SUM(K247:K247)</f>
        <v>15</v>
      </c>
      <c r="L246" s="91"/>
      <c r="M246" s="91"/>
      <c r="N246" s="280">
        <f>ROUND(L246*K246,2)</f>
        <v>0</v>
      </c>
      <c r="O246" s="280"/>
      <c r="P246" s="280"/>
      <c r="Q246" s="280"/>
      <c r="R246" s="210"/>
    </row>
    <row r="247" spans="2:26" s="360" customFormat="1" ht="20.399999999999999" outlineLevel="1">
      <c r="B247" s="359"/>
      <c r="E247" s="361" t="s">
        <v>421</v>
      </c>
      <c r="F247" s="362"/>
      <c r="G247" s="363"/>
      <c r="H247" s="363"/>
      <c r="I247" s="363"/>
      <c r="J247" s="50"/>
      <c r="K247" s="364">
        <v>15</v>
      </c>
      <c r="L247" s="157"/>
      <c r="M247" s="157"/>
      <c r="R247" s="365"/>
      <c r="T247" s="51"/>
      <c r="U247" s="22"/>
      <c r="V247" s="22"/>
      <c r="W247" s="22"/>
      <c r="X247" s="22"/>
      <c r="Y247" s="22"/>
      <c r="Z247" s="141"/>
    </row>
    <row r="248" spans="2:26" ht="34.799999999999997" customHeight="1" outlineLevel="1">
      <c r="B248" s="209"/>
      <c r="C248" s="367">
        <f>C246+1</f>
        <v>49</v>
      </c>
      <c r="D248" s="367" t="s">
        <v>59</v>
      </c>
      <c r="E248" s="368" t="s">
        <v>422</v>
      </c>
      <c r="F248" s="369" t="s">
        <v>424</v>
      </c>
      <c r="G248" s="369"/>
      <c r="H248" s="369"/>
      <c r="I248" s="369"/>
      <c r="J248" s="39" t="s">
        <v>57</v>
      </c>
      <c r="K248" s="370">
        <v>8</v>
      </c>
      <c r="L248" s="96"/>
      <c r="M248" s="96"/>
      <c r="N248" s="371">
        <f t="shared" ref="N248" si="47">ROUND(L248*K248,2)</f>
        <v>0</v>
      </c>
      <c r="O248" s="280"/>
      <c r="P248" s="280"/>
      <c r="Q248" s="280"/>
      <c r="R248" s="210"/>
      <c r="T248" s="25"/>
    </row>
    <row r="249" spans="2:26" ht="34.799999999999997" customHeight="1" outlineLevel="1">
      <c r="B249" s="209"/>
      <c r="C249" s="367">
        <f>C248+1</f>
        <v>50</v>
      </c>
      <c r="D249" s="367" t="s">
        <v>59</v>
      </c>
      <c r="E249" s="368" t="s">
        <v>423</v>
      </c>
      <c r="F249" s="369" t="s">
        <v>425</v>
      </c>
      <c r="G249" s="369"/>
      <c r="H249" s="369"/>
      <c r="I249" s="369"/>
      <c r="J249" s="39" t="s">
        <v>57</v>
      </c>
      <c r="K249" s="370">
        <v>1</v>
      </c>
      <c r="L249" s="96"/>
      <c r="M249" s="96"/>
      <c r="N249" s="371">
        <f t="shared" ref="N249" si="48">ROUND(L249*K249,2)</f>
        <v>0</v>
      </c>
      <c r="O249" s="280"/>
      <c r="P249" s="280"/>
      <c r="Q249" s="280"/>
      <c r="R249" s="210"/>
      <c r="T249" s="25"/>
    </row>
    <row r="250" spans="2:26" ht="34.799999999999997" customHeight="1" outlineLevel="1">
      <c r="B250" s="209"/>
      <c r="C250" s="367">
        <f>C249+1</f>
        <v>51</v>
      </c>
      <c r="D250" s="367" t="s">
        <v>59</v>
      </c>
      <c r="E250" s="368" t="s">
        <v>426</v>
      </c>
      <c r="F250" s="369" t="s">
        <v>436</v>
      </c>
      <c r="G250" s="369"/>
      <c r="H250" s="369"/>
      <c r="I250" s="369"/>
      <c r="J250" s="39" t="s">
        <v>57</v>
      </c>
      <c r="K250" s="370">
        <v>8</v>
      </c>
      <c r="L250" s="96"/>
      <c r="M250" s="96"/>
      <c r="N250" s="371">
        <f t="shared" ref="N250" si="49">ROUND(L250*K250,2)</f>
        <v>0</v>
      </c>
      <c r="O250" s="280"/>
      <c r="P250" s="280"/>
      <c r="Q250" s="280"/>
      <c r="R250" s="210"/>
      <c r="T250" s="25"/>
    </row>
    <row r="251" spans="2:26" ht="34.799999999999997" customHeight="1" outlineLevel="1">
      <c r="B251" s="209"/>
      <c r="C251" s="367">
        <f>C250+1</f>
        <v>52</v>
      </c>
      <c r="D251" s="367" t="s">
        <v>59</v>
      </c>
      <c r="E251" s="368" t="s">
        <v>427</v>
      </c>
      <c r="F251" s="369" t="s">
        <v>437</v>
      </c>
      <c r="G251" s="369"/>
      <c r="H251" s="369"/>
      <c r="I251" s="369"/>
      <c r="J251" s="39" t="s">
        <v>57</v>
      </c>
      <c r="K251" s="370">
        <v>1</v>
      </c>
      <c r="L251" s="96"/>
      <c r="M251" s="96"/>
      <c r="N251" s="371">
        <f t="shared" ref="N251" si="50">ROUND(L251*K251,2)</f>
        <v>0</v>
      </c>
      <c r="O251" s="280"/>
      <c r="P251" s="280"/>
      <c r="Q251" s="280"/>
      <c r="R251" s="210"/>
      <c r="T251" s="25"/>
    </row>
    <row r="252" spans="2:26" s="354" customFormat="1" outlineLevel="1">
      <c r="B252" s="353"/>
      <c r="E252" s="358"/>
      <c r="F252" s="358"/>
      <c r="G252" s="358"/>
      <c r="H252" s="358"/>
      <c r="I252" s="358"/>
      <c r="J252" s="358"/>
      <c r="K252" s="358"/>
      <c r="L252" s="156"/>
      <c r="M252" s="156"/>
      <c r="R252" s="356"/>
      <c r="T252" s="52"/>
      <c r="U252" s="67"/>
      <c r="V252" s="69"/>
      <c r="W252" s="69"/>
      <c r="X252" s="69"/>
      <c r="Y252" s="70"/>
      <c r="Z252" s="375"/>
    </row>
    <row r="253" spans="2:26" s="275" customFormat="1" outlineLevel="1">
      <c r="B253" s="267"/>
      <c r="C253" s="268"/>
      <c r="D253" s="268"/>
      <c r="E253" s="269" t="s">
        <v>428</v>
      </c>
      <c r="F253" s="270"/>
      <c r="G253" s="270"/>
      <c r="H253" s="270"/>
      <c r="I253" s="271"/>
      <c r="J253" s="49"/>
      <c r="K253" s="272"/>
      <c r="L253" s="92"/>
      <c r="M253" s="92"/>
      <c r="N253" s="273"/>
      <c r="O253" s="273"/>
      <c r="P253" s="273"/>
      <c r="Q253" s="273"/>
      <c r="R253" s="274"/>
      <c r="T253" s="48"/>
      <c r="U253" s="67"/>
      <c r="V253" s="69"/>
      <c r="W253" s="69"/>
      <c r="X253" s="69"/>
      <c r="Y253" s="70">
        <f>SUM(Y258:Y475)</f>
        <v>0</v>
      </c>
      <c r="Z253" s="375"/>
    </row>
    <row r="254" spans="2:26" outlineLevel="1">
      <c r="B254" s="209"/>
      <c r="C254" s="277">
        <f>C251+1</f>
        <v>53</v>
      </c>
      <c r="D254" s="277" t="s">
        <v>52</v>
      </c>
      <c r="E254" s="278">
        <v>766414223</v>
      </c>
      <c r="F254" s="279" t="s">
        <v>429</v>
      </c>
      <c r="G254" s="279"/>
      <c r="H254" s="279"/>
      <c r="I254" s="279"/>
      <c r="J254" s="38" t="s">
        <v>53</v>
      </c>
      <c r="K254" s="281">
        <f>SUM(K255:K256)</f>
        <v>62.110099999999996</v>
      </c>
      <c r="L254" s="91"/>
      <c r="M254" s="91"/>
      <c r="N254" s="280">
        <f>ROUND(L254*K254,2)</f>
        <v>0</v>
      </c>
      <c r="O254" s="280"/>
      <c r="P254" s="280"/>
      <c r="Q254" s="280"/>
      <c r="R254" s="210"/>
      <c r="T254" s="25"/>
    </row>
    <row r="255" spans="2:26" s="360" customFormat="1" outlineLevel="1">
      <c r="B255" s="359"/>
      <c r="E255" s="361" t="s">
        <v>430</v>
      </c>
      <c r="F255" s="362" t="s">
        <v>433</v>
      </c>
      <c r="G255" s="363">
        <f t="shared" ref="G255:I255" si="51">(6.8+2.9+5.2)*2.23-(1.55*1.5+1.45*1.5)</f>
        <v>28.726999999999997</v>
      </c>
      <c r="H255" s="363">
        <f t="shared" si="51"/>
        <v>28.726999999999997</v>
      </c>
      <c r="I255" s="363">
        <f t="shared" si="51"/>
        <v>28.726999999999997</v>
      </c>
      <c r="J255" s="50"/>
      <c r="K255" s="364">
        <f>(6.8+2.9+5.2)*2.23-(1.55*1.5+1.45*1.5)</f>
        <v>28.726999999999997</v>
      </c>
      <c r="L255" s="157"/>
      <c r="M255" s="157"/>
      <c r="R255" s="365"/>
      <c r="T255" s="51"/>
      <c r="U255" s="22"/>
      <c r="V255" s="22"/>
      <c r="W255" s="22"/>
      <c r="X255" s="22"/>
      <c r="Y255" s="22"/>
      <c r="Z255" s="141"/>
    </row>
    <row r="256" spans="2:26" s="360" customFormat="1" outlineLevel="1">
      <c r="B256" s="359"/>
      <c r="E256" s="361" t="s">
        <v>431</v>
      </c>
      <c r="F256" s="362" t="s">
        <v>432</v>
      </c>
      <c r="G256" s="363">
        <f t="shared" ref="G256:I256" si="52">1.8*2.23*8+0.57*2.23</f>
        <v>33.383099999999999</v>
      </c>
      <c r="H256" s="363">
        <f t="shared" si="52"/>
        <v>33.383099999999999</v>
      </c>
      <c r="I256" s="363">
        <f t="shared" si="52"/>
        <v>33.383099999999999</v>
      </c>
      <c r="J256" s="50"/>
      <c r="K256" s="364">
        <f>1.8*2.23*8+0.57*2.23</f>
        <v>33.383099999999999</v>
      </c>
      <c r="L256" s="157"/>
      <c r="M256" s="157"/>
      <c r="R256" s="365"/>
      <c r="T256" s="51"/>
      <c r="U256" s="22"/>
      <c r="V256" s="22"/>
      <c r="W256" s="22"/>
      <c r="X256" s="22"/>
      <c r="Y256" s="22"/>
      <c r="Z256" s="141"/>
    </row>
    <row r="257" spans="2:26" ht="34.799999999999997" customHeight="1" outlineLevel="1">
      <c r="B257" s="209"/>
      <c r="C257" s="367">
        <f>C254+1</f>
        <v>54</v>
      </c>
      <c r="D257" s="367" t="s">
        <v>59</v>
      </c>
      <c r="E257" s="368" t="s">
        <v>434</v>
      </c>
      <c r="F257" s="369" t="s">
        <v>435</v>
      </c>
      <c r="G257" s="369"/>
      <c r="H257" s="369"/>
      <c r="I257" s="369"/>
      <c r="J257" s="39" t="s">
        <v>53</v>
      </c>
      <c r="K257" s="370">
        <f>K254</f>
        <v>62.110099999999996</v>
      </c>
      <c r="L257" s="96"/>
      <c r="M257" s="96"/>
      <c r="N257" s="371">
        <f t="shared" ref="N257" si="53">ROUND(L257*K257,2)</f>
        <v>0</v>
      </c>
      <c r="O257" s="280"/>
      <c r="P257" s="280"/>
      <c r="Q257" s="280"/>
      <c r="R257" s="210"/>
      <c r="T257" s="25"/>
    </row>
    <row r="258" spans="2:26" s="354" customFormat="1">
      <c r="B258" s="353"/>
      <c r="E258" s="358"/>
      <c r="F258" s="358"/>
      <c r="G258" s="358"/>
      <c r="H258" s="358"/>
      <c r="I258" s="358"/>
      <c r="J258" s="358"/>
      <c r="K258" s="358"/>
      <c r="L258" s="156"/>
      <c r="M258" s="156"/>
      <c r="R258" s="356"/>
      <c r="T258" s="52"/>
      <c r="V258" s="375"/>
      <c r="W258" s="375"/>
      <c r="X258" s="375"/>
      <c r="Y258" s="375"/>
      <c r="Z258" s="375"/>
    </row>
    <row r="259" spans="2:26" s="266" customFormat="1" ht="13.2">
      <c r="B259" s="262"/>
      <c r="C259" s="263"/>
      <c r="D259" s="263" t="s">
        <v>195</v>
      </c>
      <c r="E259" s="263"/>
      <c r="F259" s="263"/>
      <c r="G259" s="263"/>
      <c r="H259" s="263"/>
      <c r="I259" s="263"/>
      <c r="J259" s="36"/>
      <c r="K259" s="263"/>
      <c r="L259" s="155"/>
      <c r="M259" s="155"/>
      <c r="N259" s="264">
        <f>SUM(N260)</f>
        <v>0</v>
      </c>
      <c r="O259" s="264"/>
      <c r="P259" s="264"/>
      <c r="Q259" s="264"/>
      <c r="R259" s="265"/>
      <c r="T259" s="25">
        <f>SUM(N259:Q260)/2</f>
        <v>0</v>
      </c>
      <c r="V259" s="141"/>
      <c r="W259" s="141"/>
      <c r="X259" s="141"/>
      <c r="Y259" s="141"/>
      <c r="Z259" s="141"/>
    </row>
    <row r="260" spans="2:26" ht="11.25" customHeight="1" outlineLevel="1">
      <c r="B260" s="209"/>
      <c r="C260" s="277">
        <f>C257+1</f>
        <v>55</v>
      </c>
      <c r="D260" s="277" t="s">
        <v>59</v>
      </c>
      <c r="E260" s="278" t="s">
        <v>201</v>
      </c>
      <c r="F260" s="279" t="s">
        <v>440</v>
      </c>
      <c r="G260" s="279"/>
      <c r="H260" s="279"/>
      <c r="I260" s="279"/>
      <c r="J260" s="38" t="s">
        <v>60</v>
      </c>
      <c r="K260" s="40">
        <f>N114+N186+N230</f>
        <v>0</v>
      </c>
      <c r="L260" s="95"/>
      <c r="M260" s="95"/>
      <c r="N260" s="280">
        <f>ROUND(L260*K260,2)</f>
        <v>0</v>
      </c>
      <c r="O260" s="280"/>
      <c r="P260" s="280"/>
      <c r="Q260" s="280"/>
      <c r="R260" s="210"/>
      <c r="T260" s="25"/>
    </row>
    <row r="261" spans="2:26">
      <c r="B261" s="231"/>
      <c r="C261" s="232"/>
      <c r="D261" s="232"/>
      <c r="E261" s="232"/>
      <c r="F261" s="232"/>
      <c r="G261" s="232"/>
      <c r="H261" s="232"/>
      <c r="I261" s="232"/>
      <c r="J261" s="62"/>
      <c r="K261" s="232"/>
      <c r="L261" s="232"/>
      <c r="M261" s="232"/>
      <c r="N261" s="232"/>
      <c r="O261" s="232"/>
      <c r="P261" s="232"/>
      <c r="Q261" s="232"/>
      <c r="R261" s="233"/>
    </row>
  </sheetData>
  <sheetProtection algorithmName="SHA-512" hashValue="/Wb7SI4h9rN3jcxbgdQpZVR0x7XR0jQnzQsnO0NU+02MeTEfSjPT/iAvMXUiOWILPxQdjCtyEqNkjMvmb3ZZqQ==" saltValue="puKNb8EaqW/DDlFSAfd6nw==" spinCount="100000" sheet="1" objects="1" scenarios="1"/>
  <mergeCells count="335">
    <mergeCell ref="N168:Q168"/>
    <mergeCell ref="F169:I169"/>
    <mergeCell ref="E152:I152"/>
    <mergeCell ref="L152:M152"/>
    <mergeCell ref="N152:Q152"/>
    <mergeCell ref="F154:I154"/>
    <mergeCell ref="L157:M157"/>
    <mergeCell ref="N157:Q157"/>
    <mergeCell ref="F158:I158"/>
    <mergeCell ref="L158:M158"/>
    <mergeCell ref="N158:Q158"/>
    <mergeCell ref="F159:I159"/>
    <mergeCell ref="F160:I160"/>
    <mergeCell ref="L160:M160"/>
    <mergeCell ref="N160:Q160"/>
    <mergeCell ref="F155:I155"/>
    <mergeCell ref="L155:M155"/>
    <mergeCell ref="F118:I118"/>
    <mergeCell ref="F165:I165"/>
    <mergeCell ref="L165:M165"/>
    <mergeCell ref="N165:Q165"/>
    <mergeCell ref="E166:I166"/>
    <mergeCell ref="F167:I167"/>
    <mergeCell ref="F153:I153"/>
    <mergeCell ref="L153:M153"/>
    <mergeCell ref="N153:Q153"/>
    <mergeCell ref="F157:I157"/>
    <mergeCell ref="N155:Q155"/>
    <mergeCell ref="F156:I156"/>
    <mergeCell ref="L146:M146"/>
    <mergeCell ref="L144:M144"/>
    <mergeCell ref="F171:I171"/>
    <mergeCell ref="E223:I223"/>
    <mergeCell ref="L223:M223"/>
    <mergeCell ref="N223:Q223"/>
    <mergeCell ref="F224:I224"/>
    <mergeCell ref="L224:M224"/>
    <mergeCell ref="N224:Q224"/>
    <mergeCell ref="F226:I226"/>
    <mergeCell ref="F227:I227"/>
    <mergeCell ref="L227:M227"/>
    <mergeCell ref="N227:Q227"/>
    <mergeCell ref="N177:Q177"/>
    <mergeCell ref="F178:I178"/>
    <mergeCell ref="F183:I183"/>
    <mergeCell ref="L183:M183"/>
    <mergeCell ref="F220:I220"/>
    <mergeCell ref="F221:I221"/>
    <mergeCell ref="L221:M221"/>
    <mergeCell ref="N221:Q221"/>
    <mergeCell ref="F222:I222"/>
    <mergeCell ref="F208:I208"/>
    <mergeCell ref="E199:I199"/>
    <mergeCell ref="N219:Q219"/>
    <mergeCell ref="E216:I216"/>
    <mergeCell ref="F215:I215"/>
    <mergeCell ref="L213:M213"/>
    <mergeCell ref="N213:Q213"/>
    <mergeCell ref="F219:I219"/>
    <mergeCell ref="L219:M219"/>
    <mergeCell ref="L208:M208"/>
    <mergeCell ref="N208:Q208"/>
    <mergeCell ref="F209:I209"/>
    <mergeCell ref="L209:M209"/>
    <mergeCell ref="N209:Q209"/>
    <mergeCell ref="F210:I210"/>
    <mergeCell ref="F211:I211"/>
    <mergeCell ref="L211:M211"/>
    <mergeCell ref="N211:Q211"/>
    <mergeCell ref="F213:I213"/>
    <mergeCell ref="L216:M216"/>
    <mergeCell ref="N216:Q216"/>
    <mergeCell ref="F217:I217"/>
    <mergeCell ref="L217:M217"/>
    <mergeCell ref="N217:Q217"/>
    <mergeCell ref="F218:I218"/>
    <mergeCell ref="F197:I197"/>
    <mergeCell ref="F198:I198"/>
    <mergeCell ref="L198:M198"/>
    <mergeCell ref="N198:Q198"/>
    <mergeCell ref="F200:I200"/>
    <mergeCell ref="F212:I212"/>
    <mergeCell ref="F214:I214"/>
    <mergeCell ref="L214:M214"/>
    <mergeCell ref="N214:Q214"/>
    <mergeCell ref="F207:I207"/>
    <mergeCell ref="E202:I202"/>
    <mergeCell ref="L202:M202"/>
    <mergeCell ref="N202:Q202"/>
    <mergeCell ref="F203:I203"/>
    <mergeCell ref="L203:M203"/>
    <mergeCell ref="N203:Q203"/>
    <mergeCell ref="F204:I204"/>
    <mergeCell ref="F205:I205"/>
    <mergeCell ref="L205:M205"/>
    <mergeCell ref="N205:Q205"/>
    <mergeCell ref="F206:I206"/>
    <mergeCell ref="L206:M206"/>
    <mergeCell ref="N206:Q206"/>
    <mergeCell ref="F182:I182"/>
    <mergeCell ref="L193:M193"/>
    <mergeCell ref="N193:Q193"/>
    <mergeCell ref="F187:I187"/>
    <mergeCell ref="F188:I188"/>
    <mergeCell ref="F190:I190"/>
    <mergeCell ref="F192:I192"/>
    <mergeCell ref="E193:I193"/>
    <mergeCell ref="F189:I189"/>
    <mergeCell ref="F191:I191"/>
    <mergeCell ref="N183:Q183"/>
    <mergeCell ref="F184:I184"/>
    <mergeCell ref="N186:Q186"/>
    <mergeCell ref="F140:I140"/>
    <mergeCell ref="L140:M140"/>
    <mergeCell ref="N140:Q140"/>
    <mergeCell ref="F141:I141"/>
    <mergeCell ref="E170:I170"/>
    <mergeCell ref="L170:M170"/>
    <mergeCell ref="N170:Q170"/>
    <mergeCell ref="E161:I161"/>
    <mergeCell ref="L161:M161"/>
    <mergeCell ref="N161:Q161"/>
    <mergeCell ref="F162:I162"/>
    <mergeCell ref="L162:M162"/>
    <mergeCell ref="N162:Q162"/>
    <mergeCell ref="F142:I142"/>
    <mergeCell ref="L142:M142"/>
    <mergeCell ref="F145:I145"/>
    <mergeCell ref="F147:I147"/>
    <mergeCell ref="F144:I144"/>
    <mergeCell ref="F146:I146"/>
    <mergeCell ref="N146:Q146"/>
    <mergeCell ref="E163:I163"/>
    <mergeCell ref="F168:I168"/>
    <mergeCell ref="L168:M168"/>
    <mergeCell ref="F132:I132"/>
    <mergeCell ref="L132:M132"/>
    <mergeCell ref="N132:Q132"/>
    <mergeCell ref="F138:I138"/>
    <mergeCell ref="L138:M138"/>
    <mergeCell ref="N138:Q138"/>
    <mergeCell ref="F135:I135"/>
    <mergeCell ref="L135:M135"/>
    <mergeCell ref="N135:Q135"/>
    <mergeCell ref="F136:I136"/>
    <mergeCell ref="C2:Q2"/>
    <mergeCell ref="F4:P4"/>
    <mergeCell ref="F5:P5"/>
    <mergeCell ref="O7:P7"/>
    <mergeCell ref="F9:L9"/>
    <mergeCell ref="O9:P9"/>
    <mergeCell ref="E121:I121"/>
    <mergeCell ref="L121:M121"/>
    <mergeCell ref="N121:Q121"/>
    <mergeCell ref="O18:P18"/>
    <mergeCell ref="O19:P19"/>
    <mergeCell ref="O21:P21"/>
    <mergeCell ref="E22:P22"/>
    <mergeCell ref="O10:P10"/>
    <mergeCell ref="F101:P101"/>
    <mergeCell ref="M103:P103"/>
    <mergeCell ref="F105:J105"/>
    <mergeCell ref="M105:Q105"/>
    <mergeCell ref="M106:Q106"/>
    <mergeCell ref="F107:P107"/>
    <mergeCell ref="C98:Q98"/>
    <mergeCell ref="F100:P100"/>
    <mergeCell ref="D25:E25"/>
    <mergeCell ref="G25:P25"/>
    <mergeCell ref="C83:G83"/>
    <mergeCell ref="N83:Q83"/>
    <mergeCell ref="F12:I12"/>
    <mergeCell ref="O12:P12"/>
    <mergeCell ref="O13:P13"/>
    <mergeCell ref="O15:P15"/>
    <mergeCell ref="O16:P16"/>
    <mergeCell ref="H33:J33"/>
    <mergeCell ref="M33:P33"/>
    <mergeCell ref="L35:P35"/>
    <mergeCell ref="M32:P32"/>
    <mergeCell ref="C73:Q73"/>
    <mergeCell ref="F75:P75"/>
    <mergeCell ref="F76:P76"/>
    <mergeCell ref="M78:P78"/>
    <mergeCell ref="F80:J80"/>
    <mergeCell ref="M80:Q80"/>
    <mergeCell ref="M28:P28"/>
    <mergeCell ref="M30:P30"/>
    <mergeCell ref="H32:J32"/>
    <mergeCell ref="M81:Q81"/>
    <mergeCell ref="F110:I110"/>
    <mergeCell ref="L110:M110"/>
    <mergeCell ref="N110:Q110"/>
    <mergeCell ref="N111:Q111"/>
    <mergeCell ref="N87:Q87"/>
    <mergeCell ref="N88:Q88"/>
    <mergeCell ref="N89:Q89"/>
    <mergeCell ref="F108:P108"/>
    <mergeCell ref="N85:Q85"/>
    <mergeCell ref="N86:Q86"/>
    <mergeCell ref="F116:I116"/>
    <mergeCell ref="F117:I117"/>
    <mergeCell ref="F119:I119"/>
    <mergeCell ref="F120:I120"/>
    <mergeCell ref="N90:Q90"/>
    <mergeCell ref="L92:Q92"/>
    <mergeCell ref="N112:Q112"/>
    <mergeCell ref="N114:Q114"/>
    <mergeCell ref="L151:M151"/>
    <mergeCell ref="N151:Q151"/>
    <mergeCell ref="F151:I151"/>
    <mergeCell ref="F149:I149"/>
    <mergeCell ref="F150:I150"/>
    <mergeCell ref="F129:I129"/>
    <mergeCell ref="F126:I126"/>
    <mergeCell ref="L126:M126"/>
    <mergeCell ref="N126:Q126"/>
    <mergeCell ref="F122:I122"/>
    <mergeCell ref="L122:M122"/>
    <mergeCell ref="N122:Q122"/>
    <mergeCell ref="F123:I123"/>
    <mergeCell ref="L149:M149"/>
    <mergeCell ref="N149:Q149"/>
    <mergeCell ref="F127:I127"/>
    <mergeCell ref="F164:I164"/>
    <mergeCell ref="N148:Q148"/>
    <mergeCell ref="N128:Q128"/>
    <mergeCell ref="F124:I124"/>
    <mergeCell ref="F125:I125"/>
    <mergeCell ref="F128:I128"/>
    <mergeCell ref="L128:M128"/>
    <mergeCell ref="E148:I148"/>
    <mergeCell ref="L148:M148"/>
    <mergeCell ref="F133:I133"/>
    <mergeCell ref="F134:I134"/>
    <mergeCell ref="L134:M134"/>
    <mergeCell ref="N134:Q134"/>
    <mergeCell ref="E137:I137"/>
    <mergeCell ref="L137:M137"/>
    <mergeCell ref="N137:Q137"/>
    <mergeCell ref="N144:Q144"/>
    <mergeCell ref="N142:Q142"/>
    <mergeCell ref="F143:I143"/>
    <mergeCell ref="F139:I139"/>
    <mergeCell ref="E131:I131"/>
    <mergeCell ref="L131:M131"/>
    <mergeCell ref="N131:Q131"/>
    <mergeCell ref="N181:Q181"/>
    <mergeCell ref="F175:I175"/>
    <mergeCell ref="L175:M175"/>
    <mergeCell ref="N175:Q175"/>
    <mergeCell ref="F176:I176"/>
    <mergeCell ref="F179:I179"/>
    <mergeCell ref="L179:M179"/>
    <mergeCell ref="N179:Q179"/>
    <mergeCell ref="F172:I172"/>
    <mergeCell ref="F173:I173"/>
    <mergeCell ref="F174:I174"/>
    <mergeCell ref="F177:I177"/>
    <mergeCell ref="L177:M177"/>
    <mergeCell ref="E113:K113"/>
    <mergeCell ref="F241:I241"/>
    <mergeCell ref="F242:I242"/>
    <mergeCell ref="L242:M242"/>
    <mergeCell ref="N242:Q242"/>
    <mergeCell ref="F231:I231"/>
    <mergeCell ref="F194:I194"/>
    <mergeCell ref="L194:M194"/>
    <mergeCell ref="N194:Q194"/>
    <mergeCell ref="F195:I195"/>
    <mergeCell ref="F196:I196"/>
    <mergeCell ref="L196:M196"/>
    <mergeCell ref="N196:Q196"/>
    <mergeCell ref="E232:I232"/>
    <mergeCell ref="L232:M232"/>
    <mergeCell ref="N232:Q232"/>
    <mergeCell ref="L124:M124"/>
    <mergeCell ref="N124:Q124"/>
    <mergeCell ref="F235:I235"/>
    <mergeCell ref="F239:I239"/>
    <mergeCell ref="F115:I115"/>
    <mergeCell ref="F180:I180"/>
    <mergeCell ref="F181:I181"/>
    <mergeCell ref="L181:M181"/>
    <mergeCell ref="F249:I249"/>
    <mergeCell ref="L249:M249"/>
    <mergeCell ref="N249:Q249"/>
    <mergeCell ref="N259:Q259"/>
    <mergeCell ref="F254:I254"/>
    <mergeCell ref="F256:I256"/>
    <mergeCell ref="L254:M254"/>
    <mergeCell ref="N254:Q254"/>
    <mergeCell ref="F255:I255"/>
    <mergeCell ref="F257:I257"/>
    <mergeCell ref="L257:M257"/>
    <mergeCell ref="N257:Q257"/>
    <mergeCell ref="F260:I260"/>
    <mergeCell ref="L260:M260"/>
    <mergeCell ref="N260:Q260"/>
    <mergeCell ref="N251:Q251"/>
    <mergeCell ref="F248:I248"/>
    <mergeCell ref="L248:M248"/>
    <mergeCell ref="F243:I243"/>
    <mergeCell ref="F244:I244"/>
    <mergeCell ref="L244:M244"/>
    <mergeCell ref="N244:Q244"/>
    <mergeCell ref="E253:I253"/>
    <mergeCell ref="L253:M253"/>
    <mergeCell ref="N253:Q253"/>
    <mergeCell ref="F245:I245"/>
    <mergeCell ref="F246:I246"/>
    <mergeCell ref="L246:M246"/>
    <mergeCell ref="N246:Q246"/>
    <mergeCell ref="F247:I247"/>
    <mergeCell ref="F250:I250"/>
    <mergeCell ref="L250:M250"/>
    <mergeCell ref="N250:Q250"/>
    <mergeCell ref="F251:I251"/>
    <mergeCell ref="L251:M251"/>
    <mergeCell ref="N248:Q248"/>
    <mergeCell ref="F236:I236"/>
    <mergeCell ref="F237:I237"/>
    <mergeCell ref="L237:M237"/>
    <mergeCell ref="N237:Q237"/>
    <mergeCell ref="F238:I238"/>
    <mergeCell ref="F240:I240"/>
    <mergeCell ref="L240:M240"/>
    <mergeCell ref="N240:Q240"/>
    <mergeCell ref="F225:I225"/>
    <mergeCell ref="F234:I234"/>
    <mergeCell ref="L234:M234"/>
    <mergeCell ref="N234:Q234"/>
    <mergeCell ref="N230:Q230"/>
    <mergeCell ref="F228:I228"/>
    <mergeCell ref="E233:K233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E138-BB9E-435C-9490-92FEAE52BE39}">
  <sheetPr>
    <pageSetUpPr fitToPage="1"/>
  </sheetPr>
  <dimension ref="A1:AK278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6" width="11.42578125" style="141" hidden="1" customWidth="1" outlineLevel="1"/>
    <col min="27" max="27" width="11.42578125" style="142" customWidth="1" collapsed="1"/>
    <col min="28" max="30" width="11.42578125" style="142" customWidth="1"/>
    <col min="31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441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SO.04 revitaizace vyvýšeného sezení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6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6">
      <c r="B82" s="209"/>
      <c r="J82" s="26"/>
      <c r="R82" s="210"/>
    </row>
    <row r="83" spans="2:26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K113</f>
        <v>108.75000000000001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6">
      <c r="B84" s="209"/>
      <c r="J84" s="26"/>
      <c r="R84" s="210"/>
    </row>
    <row r="85" spans="2:26" ht="15.6">
      <c r="B85" s="209"/>
      <c r="C85" s="237" t="s">
        <v>44</v>
      </c>
      <c r="J85" s="26"/>
      <c r="K85" s="42">
        <f t="shared" ref="K85:K89" si="0">N85/$I$83</f>
        <v>0</v>
      </c>
      <c r="N85" s="179">
        <f>N86</f>
        <v>0</v>
      </c>
      <c r="O85" s="238"/>
      <c r="P85" s="238"/>
      <c r="Q85" s="238"/>
      <c r="R85" s="210"/>
      <c r="T85" s="31">
        <f>SUM(N85:Q89)/3</f>
        <v>0</v>
      </c>
    </row>
    <row r="86" spans="2:26" s="348" customFormat="1" ht="15">
      <c r="B86" s="347"/>
      <c r="D86" s="349" t="str">
        <f>D111</f>
        <v>Stavební práce a dodávky</v>
      </c>
      <c r="J86" s="32"/>
      <c r="K86" s="43">
        <f t="shared" si="0"/>
        <v>0</v>
      </c>
      <c r="N86" s="350">
        <f>SUM(N87:Q89)</f>
        <v>0</v>
      </c>
      <c r="O86" s="351"/>
      <c r="P86" s="351"/>
      <c r="Q86" s="351"/>
      <c r="R86" s="352"/>
      <c r="T86" s="31">
        <f>SUM(N86:Q89)/2</f>
        <v>0</v>
      </c>
      <c r="W86" s="383"/>
      <c r="X86" s="383"/>
      <c r="Y86" s="383"/>
      <c r="Z86" s="383"/>
    </row>
    <row r="87" spans="2:26" s="246" customFormat="1" ht="13.2">
      <c r="B87" s="245"/>
      <c r="D87" s="247" t="str">
        <f>D113</f>
        <v xml:space="preserve">    1 - Stavební práce a dodávky</v>
      </c>
      <c r="J87" s="33"/>
      <c r="K87" s="44">
        <f t="shared" si="0"/>
        <v>0</v>
      </c>
      <c r="N87" s="248">
        <f>N113</f>
        <v>0</v>
      </c>
      <c r="O87" s="249"/>
      <c r="P87" s="249"/>
      <c r="Q87" s="249"/>
      <c r="R87" s="250"/>
      <c r="T87" s="23"/>
      <c r="W87" s="192"/>
      <c r="X87" s="192"/>
      <c r="Y87" s="192"/>
      <c r="Z87" s="192"/>
    </row>
    <row r="88" spans="2:26" s="246" customFormat="1" ht="13.2">
      <c r="B88" s="245"/>
      <c r="D88" s="247" t="str">
        <f>D161</f>
        <v xml:space="preserve">    2 - Povrchové úpravy dle skladeb</v>
      </c>
      <c r="J88" s="33"/>
      <c r="K88" s="44">
        <f t="shared" si="0"/>
        <v>0</v>
      </c>
      <c r="N88" s="248">
        <f>N161</f>
        <v>0</v>
      </c>
      <c r="O88" s="249"/>
      <c r="P88" s="249"/>
      <c r="Q88" s="249"/>
      <c r="R88" s="250"/>
      <c r="T88" s="23"/>
      <c r="W88" s="192"/>
      <c r="X88" s="192"/>
      <c r="Y88" s="192"/>
      <c r="Z88" s="192"/>
    </row>
    <row r="89" spans="2:26" s="246" customFormat="1" ht="13.2">
      <c r="B89" s="245"/>
      <c r="D89" s="247" t="str">
        <f>D275</f>
        <v xml:space="preserve">    998 - Přesuny hmot</v>
      </c>
      <c r="J89" s="33"/>
      <c r="K89" s="44">
        <f t="shared" si="0"/>
        <v>0</v>
      </c>
      <c r="N89" s="248">
        <f>N275</f>
        <v>0</v>
      </c>
      <c r="O89" s="249"/>
      <c r="P89" s="249"/>
      <c r="Q89" s="249"/>
      <c r="R89" s="250"/>
      <c r="T89" s="23"/>
      <c r="W89" s="192"/>
      <c r="X89" s="192"/>
      <c r="Y89" s="192"/>
      <c r="Z89" s="192"/>
    </row>
    <row r="90" spans="2:26">
      <c r="B90" s="209"/>
      <c r="J90" s="26"/>
      <c r="R90" s="210"/>
    </row>
    <row r="91" spans="2:26" ht="15.6">
      <c r="B91" s="209"/>
      <c r="C91" s="202" t="s">
        <v>64</v>
      </c>
      <c r="D91" s="203"/>
      <c r="E91" s="203"/>
      <c r="F91" s="203"/>
      <c r="G91" s="203"/>
      <c r="H91" s="203"/>
      <c r="I91" s="203"/>
      <c r="J91" s="30"/>
      <c r="K91" s="45">
        <f>L91/$I$83</f>
        <v>0</v>
      </c>
      <c r="L91" s="204">
        <f>ROUND(N85,2)</f>
        <v>0</v>
      </c>
      <c r="M91" s="204"/>
      <c r="N91" s="204"/>
      <c r="O91" s="204"/>
      <c r="P91" s="204"/>
      <c r="Q91" s="204"/>
      <c r="R91" s="210"/>
    </row>
    <row r="92" spans="2:26">
      <c r="B92" s="231"/>
      <c r="C92" s="232"/>
      <c r="D92" s="232"/>
      <c r="E92" s="232"/>
      <c r="F92" s="232"/>
      <c r="G92" s="232"/>
      <c r="H92" s="232"/>
      <c r="I92" s="232"/>
      <c r="J92" s="62"/>
      <c r="K92" s="232"/>
      <c r="L92" s="232"/>
      <c r="M92" s="232"/>
      <c r="N92" s="232"/>
      <c r="O92" s="232"/>
      <c r="P92" s="232"/>
      <c r="Q92" s="232"/>
      <c r="R92" s="233"/>
    </row>
    <row r="96" spans="2:26">
      <c r="B96" s="206"/>
      <c r="C96" s="207"/>
      <c r="D96" s="207"/>
      <c r="E96" s="207"/>
      <c r="F96" s="207"/>
      <c r="G96" s="207"/>
      <c r="H96" s="207"/>
      <c r="I96" s="207"/>
      <c r="J96" s="61"/>
      <c r="K96" s="207"/>
      <c r="L96" s="207"/>
      <c r="M96" s="207"/>
      <c r="N96" s="207"/>
      <c r="O96" s="207"/>
      <c r="P96" s="207"/>
      <c r="Q96" s="207"/>
      <c r="R96" s="208"/>
    </row>
    <row r="97" spans="2:26" ht="21">
      <c r="B97" s="209"/>
      <c r="C97" s="146" t="s">
        <v>45</v>
      </c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210"/>
    </row>
    <row r="98" spans="2:26" ht="2.25" customHeight="1">
      <c r="B98" s="209"/>
      <c r="J98" s="26"/>
      <c r="R98" s="210"/>
    </row>
    <row r="99" spans="2:26" ht="11.4">
      <c r="B99" s="209"/>
      <c r="C99" s="140" t="s">
        <v>3</v>
      </c>
      <c r="F99" s="211" t="str">
        <f>F4</f>
        <v>Revitalizace veřejného prostoru v proluce mezi ZUŠ a domem čp. 23 vč. přilehlých prostor ul. Radniční</v>
      </c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R99" s="210"/>
    </row>
    <row r="100" spans="2:26" ht="15.6">
      <c r="B100" s="209"/>
      <c r="C100" s="135" t="s">
        <v>39</v>
      </c>
      <c r="F100" s="109" t="str">
        <f>F5</f>
        <v>SO.04 revitaizace vyvýšeného sezení</v>
      </c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R100" s="210"/>
    </row>
    <row r="101" spans="2:26">
      <c r="B101" s="209"/>
      <c r="J101" s="26"/>
      <c r="R101" s="210"/>
    </row>
    <row r="102" spans="2:26" ht="11.4">
      <c r="B102" s="209"/>
      <c r="C102" s="140" t="s">
        <v>6</v>
      </c>
      <c r="F102" s="145" t="str">
        <f>F7</f>
        <v>Radniční ul. Bílina
p.č. 107, 120/1, 122, 125/1, 125/2, 125/3, 126, k.ú. Bílina [604208]</v>
      </c>
      <c r="J102" s="26"/>
      <c r="K102" s="140" t="s">
        <v>7</v>
      </c>
      <c r="M102" s="166">
        <f>IF(O7="","",O7)</f>
        <v>0</v>
      </c>
      <c r="N102" s="166"/>
      <c r="O102" s="166"/>
      <c r="P102" s="166"/>
      <c r="R102" s="210"/>
    </row>
    <row r="103" spans="2:26">
      <c r="B103" s="209"/>
      <c r="J103" s="26"/>
      <c r="R103" s="210"/>
    </row>
    <row r="104" spans="2:26" ht="48.75" customHeight="1">
      <c r="B104" s="209"/>
      <c r="C104" s="140" t="s">
        <v>8</v>
      </c>
      <c r="F104" s="127" t="str">
        <f>F80</f>
        <v>město Bílina
Břežanská 50/4, 418 31 Bílina</v>
      </c>
      <c r="G104" s="127"/>
      <c r="H104" s="127"/>
      <c r="I104" s="127"/>
      <c r="J104" s="127"/>
      <c r="K104" s="140" t="s">
        <v>13</v>
      </c>
      <c r="M104" s="136" t="str">
        <f>E16</f>
        <v xml:space="preserve">Ing. arch. MgA. Bořek Peška </v>
      </c>
      <c r="N104" s="136"/>
      <c r="O104" s="136"/>
      <c r="P104" s="136"/>
      <c r="Q104" s="136"/>
      <c r="R104" s="210"/>
    </row>
    <row r="105" spans="2:26" ht="11.4">
      <c r="B105" s="209"/>
      <c r="C105" s="140" t="s">
        <v>11</v>
      </c>
      <c r="F105" s="145">
        <f>F81</f>
        <v>0</v>
      </c>
      <c r="J105" s="26"/>
      <c r="K105" s="140" t="s">
        <v>14</v>
      </c>
      <c r="M105" s="136" t="str">
        <f>E19</f>
        <v>Jakub Kulhavý</v>
      </c>
      <c r="N105" s="136"/>
      <c r="O105" s="136"/>
      <c r="P105" s="136"/>
      <c r="Q105" s="136"/>
      <c r="R105" s="210"/>
    </row>
    <row r="106" spans="2:26" ht="11.4">
      <c r="B106" s="209"/>
      <c r="C106" s="140"/>
      <c r="F106" s="211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R106" s="210"/>
    </row>
    <row r="107" spans="2:26" ht="28.5" customHeight="1">
      <c r="B107" s="209"/>
      <c r="C107" s="140" t="s">
        <v>67</v>
      </c>
      <c r="F107" s="139" t="s">
        <v>103</v>
      </c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R107" s="210"/>
    </row>
    <row r="108" spans="2:26" ht="3.75" customHeight="1">
      <c r="B108" s="209"/>
      <c r="J108" s="26"/>
      <c r="R108" s="210"/>
    </row>
    <row r="109" spans="2:26" s="258" customFormat="1" ht="22.8">
      <c r="B109" s="251"/>
      <c r="C109" s="252" t="s">
        <v>46</v>
      </c>
      <c r="D109" s="253" t="s">
        <v>47</v>
      </c>
      <c r="E109" s="253" t="s">
        <v>34</v>
      </c>
      <c r="F109" s="254" t="s">
        <v>48</v>
      </c>
      <c r="G109" s="254"/>
      <c r="H109" s="254"/>
      <c r="I109" s="254"/>
      <c r="J109" s="34" t="s">
        <v>49</v>
      </c>
      <c r="K109" s="253" t="s">
        <v>50</v>
      </c>
      <c r="L109" s="255" t="s">
        <v>51</v>
      </c>
      <c r="M109" s="255"/>
      <c r="N109" s="254" t="s">
        <v>43</v>
      </c>
      <c r="O109" s="254"/>
      <c r="P109" s="254"/>
      <c r="Q109" s="256"/>
      <c r="R109" s="257"/>
      <c r="T109" s="24"/>
      <c r="U109" s="259"/>
      <c r="V109" s="259"/>
      <c r="W109" s="259"/>
      <c r="X109" s="259"/>
      <c r="Y109" s="259"/>
      <c r="Z109" s="259"/>
    </row>
    <row r="110" spans="2:26" ht="15.6">
      <c r="B110" s="209"/>
      <c r="C110" s="176" t="s">
        <v>40</v>
      </c>
      <c r="J110" s="26"/>
      <c r="N110" s="260">
        <f>N111</f>
        <v>0</v>
      </c>
      <c r="O110" s="261"/>
      <c r="P110" s="261"/>
      <c r="Q110" s="261"/>
      <c r="R110" s="210"/>
      <c r="T110" s="22" t="e">
        <f>T111+#REF!</f>
        <v>#REF!</v>
      </c>
    </row>
    <row r="111" spans="2:26" s="266" customFormat="1" ht="15">
      <c r="B111" s="262"/>
      <c r="D111" s="349" t="s">
        <v>191</v>
      </c>
      <c r="E111" s="349"/>
      <c r="F111" s="349"/>
      <c r="G111" s="349"/>
      <c r="H111" s="349"/>
      <c r="I111" s="349"/>
      <c r="J111" s="35"/>
      <c r="K111" s="349"/>
      <c r="L111" s="349"/>
      <c r="M111" s="349"/>
      <c r="N111" s="350">
        <f>N113+N161+N275</f>
        <v>0</v>
      </c>
      <c r="O111" s="350"/>
      <c r="P111" s="350"/>
      <c r="Q111" s="350"/>
      <c r="R111" s="265"/>
      <c r="T111" s="25">
        <f>SUM(N111:Q276)/3</f>
        <v>0</v>
      </c>
      <c r="U111" s="141"/>
      <c r="V111" s="384"/>
      <c r="W111" s="384" t="s">
        <v>109</v>
      </c>
      <c r="X111" s="384" t="s">
        <v>118</v>
      </c>
      <c r="Y111" s="384"/>
      <c r="Z111" s="141"/>
    </row>
    <row r="112" spans="2:26" s="354" customFormat="1">
      <c r="B112" s="353"/>
      <c r="E112" s="355" t="s">
        <v>407</v>
      </c>
      <c r="F112" s="355"/>
      <c r="G112" s="355"/>
      <c r="H112" s="355"/>
      <c r="I112" s="355"/>
      <c r="J112" s="355"/>
      <c r="K112" s="355"/>
      <c r="R112" s="356"/>
      <c r="T112" s="52"/>
      <c r="U112" s="67"/>
      <c r="V112" s="69"/>
      <c r="W112" s="69"/>
      <c r="X112" s="69"/>
      <c r="Y112" s="70"/>
      <c r="Z112" s="375"/>
    </row>
    <row r="113" spans="2:35" s="266" customFormat="1" ht="13.2">
      <c r="B113" s="262"/>
      <c r="C113" s="263"/>
      <c r="D113" s="263" t="s">
        <v>450</v>
      </c>
      <c r="E113" s="263"/>
      <c r="F113" s="263"/>
      <c r="G113" s="263"/>
      <c r="H113" s="263"/>
      <c r="I113" s="263"/>
      <c r="J113" s="36"/>
      <c r="K113" s="357">
        <f>K161</f>
        <v>108.75000000000001</v>
      </c>
      <c r="L113" s="155"/>
      <c r="M113" s="155"/>
      <c r="N113" s="264">
        <f>SUM(N116:Q160)</f>
        <v>0</v>
      </c>
      <c r="O113" s="264"/>
      <c r="P113" s="264"/>
      <c r="Q113" s="264"/>
      <c r="R113" s="265"/>
      <c r="T113" s="37">
        <f>SUM(N113:Q159)/2</f>
        <v>0</v>
      </c>
      <c r="U113" s="384"/>
      <c r="V113" s="141"/>
      <c r="W113" s="375">
        <f>SUM(W116:W319)</f>
        <v>1.6570625000000001</v>
      </c>
      <c r="X113" s="375">
        <f>SUM(X116:X319)</f>
        <v>15.368799999999997</v>
      </c>
      <c r="Y113" s="141"/>
      <c r="Z113" s="141"/>
    </row>
    <row r="114" spans="2:35" s="354" customFormat="1" outlineLevel="1">
      <c r="B114" s="353"/>
      <c r="E114" s="358"/>
      <c r="F114" s="358"/>
      <c r="G114" s="358"/>
      <c r="H114" s="358"/>
      <c r="I114" s="358"/>
      <c r="J114" s="358"/>
      <c r="K114" s="358"/>
      <c r="L114" s="156"/>
      <c r="M114" s="156"/>
      <c r="R114" s="356"/>
      <c r="T114" s="52"/>
      <c r="U114" s="276"/>
      <c r="V114" s="67"/>
      <c r="W114" s="22"/>
      <c r="X114" s="70"/>
      <c r="Y114" s="70"/>
      <c r="Z114" s="375"/>
    </row>
    <row r="115" spans="2:35" s="275" customFormat="1" outlineLevel="1">
      <c r="B115" s="267"/>
      <c r="C115" s="268"/>
      <c r="D115" s="268"/>
      <c r="E115" s="269" t="s">
        <v>451</v>
      </c>
      <c r="F115" s="270"/>
      <c r="G115" s="270"/>
      <c r="H115" s="270"/>
      <c r="I115" s="271"/>
      <c r="J115" s="49"/>
      <c r="K115" s="272"/>
      <c r="L115" s="92"/>
      <c r="M115" s="92"/>
      <c r="N115" s="273"/>
      <c r="O115" s="273"/>
      <c r="P115" s="273"/>
      <c r="Q115" s="273"/>
      <c r="R115" s="274"/>
      <c r="T115" s="48"/>
      <c r="U115" s="276"/>
      <c r="V115" s="67"/>
      <c r="W115" s="70"/>
      <c r="X115" s="70"/>
      <c r="Y115" s="70">
        <f>SUM(Y127:Y328)</f>
        <v>0</v>
      </c>
      <c r="Z115" s="375"/>
    </row>
    <row r="116" spans="2:35" outlineLevel="1">
      <c r="B116" s="209"/>
      <c r="C116" s="277">
        <v>1</v>
      </c>
      <c r="D116" s="277" t="s">
        <v>52</v>
      </c>
      <c r="E116" s="278">
        <v>122211101</v>
      </c>
      <c r="F116" s="279" t="s">
        <v>445</v>
      </c>
      <c r="G116" s="279"/>
      <c r="H116" s="279"/>
      <c r="I116" s="279"/>
      <c r="J116" s="38" t="s">
        <v>54</v>
      </c>
      <c r="K116" s="281">
        <f>SUM(K117:K120)</f>
        <v>27.744</v>
      </c>
      <c r="L116" s="91"/>
      <c r="M116" s="91"/>
      <c r="N116" s="280">
        <f>ROUND(L116*K116,2)</f>
        <v>0</v>
      </c>
      <c r="O116" s="280"/>
      <c r="P116" s="280"/>
      <c r="Q116" s="280"/>
      <c r="R116" s="210"/>
      <c r="T116" s="25"/>
      <c r="V116" s="141">
        <v>1.6</v>
      </c>
      <c r="X116" s="141">
        <f>V116*K116</f>
        <v>44.3904</v>
      </c>
    </row>
    <row r="117" spans="2:35" s="360" customFormat="1" ht="20.399999999999999" outlineLevel="1">
      <c r="B117" s="359"/>
      <c r="E117" s="361" t="s">
        <v>443</v>
      </c>
      <c r="F117" s="362" t="s">
        <v>446</v>
      </c>
      <c r="G117" s="363" t="e">
        <f t="shared" ref="G117:I117" si="1">(2.2+8.8+5)*F117</f>
        <v>#VALUE!</v>
      </c>
      <c r="H117" s="363" t="e">
        <f t="shared" si="1"/>
        <v>#VALUE!</v>
      </c>
      <c r="I117" s="363" t="e">
        <f t="shared" si="1"/>
        <v>#VALUE!</v>
      </c>
      <c r="J117" s="50">
        <v>0.55000000000000004</v>
      </c>
      <c r="K117" s="364">
        <f>(2.2+8.8+5)*J117</f>
        <v>8.8000000000000007</v>
      </c>
      <c r="L117" s="157"/>
      <c r="M117" s="157"/>
      <c r="R117" s="365"/>
      <c r="T117" s="51"/>
      <c r="U117" s="141"/>
      <c r="V117" s="22"/>
      <c r="W117" s="22"/>
      <c r="X117" s="22"/>
      <c r="Y117" s="22"/>
      <c r="Z117" s="141"/>
    </row>
    <row r="118" spans="2:35" s="360" customFormat="1" ht="20.399999999999999" outlineLevel="1">
      <c r="B118" s="359"/>
      <c r="E118" s="361" t="s">
        <v>464</v>
      </c>
      <c r="F118" s="362" t="s">
        <v>465</v>
      </c>
      <c r="G118" s="363">
        <f t="shared" ref="G118:I118" si="2">76*0.2</f>
        <v>15.200000000000001</v>
      </c>
      <c r="H118" s="363">
        <f t="shared" si="2"/>
        <v>15.200000000000001</v>
      </c>
      <c r="I118" s="363">
        <f t="shared" si="2"/>
        <v>15.200000000000001</v>
      </c>
      <c r="J118" s="50"/>
      <c r="K118" s="364">
        <f>76*0.2</f>
        <v>15.200000000000001</v>
      </c>
      <c r="L118" s="157"/>
      <c r="M118" s="157"/>
      <c r="R118" s="365"/>
      <c r="T118" s="51"/>
      <c r="U118" s="141"/>
      <c r="V118" s="22"/>
      <c r="W118" s="22"/>
      <c r="X118" s="22"/>
      <c r="Y118" s="22"/>
      <c r="Z118" s="141"/>
    </row>
    <row r="119" spans="2:35" s="360" customFormat="1" ht="20.399999999999999" outlineLevel="1">
      <c r="B119" s="359"/>
      <c r="E119" s="361" t="s">
        <v>473</v>
      </c>
      <c r="F119" s="362" t="s">
        <v>474</v>
      </c>
      <c r="G119" s="363">
        <f t="shared" ref="G119:I119" si="3">(7.8+9.3+4.4)*1.2*0.1</f>
        <v>2.58</v>
      </c>
      <c r="H119" s="363">
        <f t="shared" si="3"/>
        <v>2.58</v>
      </c>
      <c r="I119" s="363">
        <f t="shared" si="3"/>
        <v>2.58</v>
      </c>
      <c r="J119" s="50">
        <v>0.1</v>
      </c>
      <c r="K119" s="364">
        <f>(7.8+9.3+4.4)*1.2*0.1</f>
        <v>2.58</v>
      </c>
      <c r="L119" s="157"/>
      <c r="M119" s="157"/>
      <c r="R119" s="365"/>
      <c r="T119" s="51"/>
      <c r="U119" s="141"/>
      <c r="V119" s="22"/>
      <c r="W119" s="22"/>
      <c r="X119" s="22"/>
      <c r="Y119" s="22"/>
      <c r="Z119" s="141"/>
    </row>
    <row r="120" spans="2:35" s="360" customFormat="1" ht="20.399999999999999" outlineLevel="1">
      <c r="B120" s="359"/>
      <c r="E120" s="361" t="s">
        <v>462</v>
      </c>
      <c r="F120" s="362" t="s">
        <v>463</v>
      </c>
      <c r="G120" s="363">
        <f t="shared" ref="G120:I120" si="4">9.7*1.2*0.1</f>
        <v>1.1639999999999999</v>
      </c>
      <c r="H120" s="363">
        <f t="shared" si="4"/>
        <v>1.1639999999999999</v>
      </c>
      <c r="I120" s="363">
        <f t="shared" si="4"/>
        <v>1.1639999999999999</v>
      </c>
      <c r="J120" s="50">
        <v>0.1</v>
      </c>
      <c r="K120" s="364">
        <f>9.7*1.2*0.1</f>
        <v>1.1639999999999999</v>
      </c>
      <c r="L120" s="157"/>
      <c r="M120" s="157"/>
      <c r="R120" s="365"/>
      <c r="T120" s="51"/>
      <c r="U120" s="141"/>
      <c r="V120" s="22"/>
      <c r="W120" s="22"/>
      <c r="X120" s="22"/>
      <c r="Y120" s="22"/>
      <c r="Z120" s="141"/>
    </row>
    <row r="121" spans="2:35" ht="27" customHeight="1" outlineLevel="1">
      <c r="B121" s="209"/>
      <c r="C121" s="277">
        <f>C116+1</f>
        <v>2</v>
      </c>
      <c r="D121" s="277" t="s">
        <v>52</v>
      </c>
      <c r="E121" s="278">
        <v>132212131</v>
      </c>
      <c r="F121" s="279" t="s">
        <v>138</v>
      </c>
      <c r="G121" s="279"/>
      <c r="H121" s="279"/>
      <c r="I121" s="279"/>
      <c r="J121" s="38" t="s">
        <v>54</v>
      </c>
      <c r="K121" s="281">
        <f>SUM(K122:K122)</f>
        <v>9.8514999999999997</v>
      </c>
      <c r="L121" s="91"/>
      <c r="M121" s="91"/>
      <c r="N121" s="280">
        <f>ROUND(L121*K121,2)</f>
        <v>0</v>
      </c>
      <c r="O121" s="280"/>
      <c r="P121" s="280"/>
      <c r="Q121" s="280"/>
      <c r="R121" s="210"/>
      <c r="T121" s="25"/>
      <c r="V121" s="141">
        <v>1.6</v>
      </c>
      <c r="X121" s="141">
        <f>V121*K121</f>
        <v>15.7624</v>
      </c>
    </row>
    <row r="122" spans="2:35" s="360" customFormat="1" outlineLevel="1">
      <c r="B122" s="359"/>
      <c r="E122" s="361" t="s">
        <v>444</v>
      </c>
      <c r="F122" s="362" t="s">
        <v>447</v>
      </c>
      <c r="G122" s="363">
        <f t="shared" ref="G122:I124" si="5">(3.3*0.4+(2.2+5.9+5.1)*0.5+(0.5*4+1.5)*0.7)*0.95</f>
        <v>9.8514999999999997</v>
      </c>
      <c r="H122" s="363">
        <f t="shared" si="5"/>
        <v>9.8514999999999997</v>
      </c>
      <c r="I122" s="363">
        <f t="shared" si="5"/>
        <v>9.8514999999999997</v>
      </c>
      <c r="J122" s="50"/>
      <c r="K122" s="364">
        <f>(3.3*0.4+(2.2+5.9+5.1)*0.5+(0.5*4+1.5)*0.7)*0.95</f>
        <v>9.8514999999999997</v>
      </c>
      <c r="L122" s="157"/>
      <c r="M122" s="157"/>
      <c r="R122" s="365"/>
      <c r="T122" s="51"/>
      <c r="U122" s="141"/>
      <c r="V122" s="22"/>
      <c r="W122" s="22"/>
      <c r="X122" s="22"/>
      <c r="Y122" s="22"/>
      <c r="Z122" s="22"/>
      <c r="AA122" s="22"/>
      <c r="AB122" s="22"/>
      <c r="AC122" s="22"/>
      <c r="AD122" s="366"/>
      <c r="AE122" s="141"/>
      <c r="AF122" s="141"/>
      <c r="AG122" s="141"/>
      <c r="AI122" s="141"/>
    </row>
    <row r="123" spans="2:35" outlineLevel="1">
      <c r="B123" s="209"/>
      <c r="C123" s="277">
        <f>C121+1</f>
        <v>3</v>
      </c>
      <c r="D123" s="277" t="s">
        <v>52</v>
      </c>
      <c r="E123" s="278">
        <v>274313711</v>
      </c>
      <c r="F123" s="279" t="s">
        <v>448</v>
      </c>
      <c r="G123" s="279"/>
      <c r="H123" s="279"/>
      <c r="I123" s="279"/>
      <c r="J123" s="38" t="s">
        <v>54</v>
      </c>
      <c r="K123" s="281">
        <f>SUM(K124:K124)</f>
        <v>9.8514999999999997</v>
      </c>
      <c r="L123" s="91"/>
      <c r="M123" s="91"/>
      <c r="N123" s="280">
        <f>ROUND(L123*K123,2)</f>
        <v>0</v>
      </c>
      <c r="O123" s="280"/>
      <c r="P123" s="280"/>
      <c r="Q123" s="280"/>
      <c r="R123" s="210"/>
      <c r="T123" s="25"/>
    </row>
    <row r="124" spans="2:35" s="360" customFormat="1" outlineLevel="1">
      <c r="B124" s="359"/>
      <c r="E124" s="361" t="s">
        <v>449</v>
      </c>
      <c r="F124" s="362" t="s">
        <v>447</v>
      </c>
      <c r="G124" s="363">
        <f t="shared" si="5"/>
        <v>9.8514999999999997</v>
      </c>
      <c r="H124" s="363">
        <f t="shared" si="5"/>
        <v>9.8514999999999997</v>
      </c>
      <c r="I124" s="363">
        <f t="shared" si="5"/>
        <v>9.8514999999999997</v>
      </c>
      <c r="J124" s="50"/>
      <c r="K124" s="364">
        <f>(3.3*0.4+(2.2+5.9+5.1)*0.5+(0.5*4+1.5)*0.7)*0.95</f>
        <v>9.8514999999999997</v>
      </c>
      <c r="L124" s="157"/>
      <c r="M124" s="157"/>
      <c r="R124" s="365"/>
      <c r="T124" s="51"/>
      <c r="U124" s="141"/>
      <c r="V124" s="22"/>
      <c r="W124" s="22"/>
      <c r="X124" s="22"/>
      <c r="Y124" s="22"/>
      <c r="Z124" s="22"/>
      <c r="AA124" s="22"/>
      <c r="AB124" s="22"/>
      <c r="AC124" s="22"/>
      <c r="AD124" s="366"/>
      <c r="AE124" s="141"/>
      <c r="AF124" s="141"/>
      <c r="AG124" s="141"/>
      <c r="AI124" s="141"/>
    </row>
    <row r="125" spans="2:35" outlineLevel="1">
      <c r="B125" s="209"/>
      <c r="C125" s="277">
        <f>C123+1</f>
        <v>4</v>
      </c>
      <c r="D125" s="277" t="s">
        <v>52</v>
      </c>
      <c r="E125" s="278">
        <v>139711111</v>
      </c>
      <c r="F125" s="279" t="s">
        <v>455</v>
      </c>
      <c r="G125" s="279"/>
      <c r="H125" s="279"/>
      <c r="I125" s="279"/>
      <c r="J125" s="38" t="s">
        <v>54</v>
      </c>
      <c r="K125" s="281">
        <f>SUM(K126:K126)</f>
        <v>0.72000000000000008</v>
      </c>
      <c r="L125" s="91"/>
      <c r="M125" s="91"/>
      <c r="N125" s="280">
        <f>ROUND(L125*K125,2)</f>
        <v>0</v>
      </c>
      <c r="O125" s="280"/>
      <c r="P125" s="280"/>
      <c r="Q125" s="280"/>
      <c r="R125" s="210"/>
      <c r="T125" s="25"/>
      <c r="V125" s="141">
        <v>1.6</v>
      </c>
      <c r="X125" s="141">
        <f>V125*K125</f>
        <v>1.1520000000000001</v>
      </c>
    </row>
    <row r="126" spans="2:35" s="360" customFormat="1" outlineLevel="1">
      <c r="B126" s="359"/>
      <c r="E126" s="361" t="s">
        <v>452</v>
      </c>
      <c r="F126" s="362" t="s">
        <v>456</v>
      </c>
      <c r="G126" s="363">
        <f t="shared" ref="G126:I128" si="6">(1*0.6*(0.4+0.8))</f>
        <v>0.72000000000000008</v>
      </c>
      <c r="H126" s="363">
        <f t="shared" si="6"/>
        <v>0.72000000000000008</v>
      </c>
      <c r="I126" s="363">
        <f t="shared" si="6"/>
        <v>0.72000000000000008</v>
      </c>
      <c r="J126" s="50"/>
      <c r="K126" s="364">
        <f>(1*0.6*(0.4+0.8))</f>
        <v>0.72000000000000008</v>
      </c>
      <c r="L126" s="157"/>
      <c r="M126" s="157"/>
      <c r="R126" s="365"/>
      <c r="T126" s="51"/>
      <c r="U126" s="141"/>
      <c r="V126" s="22"/>
      <c r="W126" s="22"/>
      <c r="X126" s="22"/>
      <c r="Y126" s="22"/>
      <c r="Z126" s="22"/>
      <c r="AA126" s="22"/>
      <c r="AB126" s="22"/>
      <c r="AC126" s="22"/>
      <c r="AD126" s="366"/>
      <c r="AE126" s="141"/>
      <c r="AF126" s="141"/>
      <c r="AG126" s="141"/>
      <c r="AI126" s="141"/>
    </row>
    <row r="127" spans="2:35" ht="27" customHeight="1" outlineLevel="1">
      <c r="B127" s="209"/>
      <c r="C127" s="277">
        <f>C125+1</f>
        <v>5</v>
      </c>
      <c r="D127" s="277" t="s">
        <v>52</v>
      </c>
      <c r="E127" s="278">
        <v>279311115</v>
      </c>
      <c r="F127" s="279" t="s">
        <v>453</v>
      </c>
      <c r="G127" s="279"/>
      <c r="H127" s="279"/>
      <c r="I127" s="279"/>
      <c r="J127" s="38" t="s">
        <v>54</v>
      </c>
      <c r="K127" s="281">
        <f>SUM(K128:K128)</f>
        <v>0.72000000000000008</v>
      </c>
      <c r="L127" s="91"/>
      <c r="M127" s="91"/>
      <c r="N127" s="280">
        <f>ROUND(L127*K127,2)</f>
        <v>0</v>
      </c>
      <c r="O127" s="280"/>
      <c r="P127" s="280"/>
      <c r="Q127" s="280"/>
      <c r="R127" s="210"/>
      <c r="T127" s="25"/>
    </row>
    <row r="128" spans="2:35" s="360" customFormat="1" outlineLevel="1">
      <c r="B128" s="359"/>
      <c r="E128" s="361" t="s">
        <v>454</v>
      </c>
      <c r="F128" s="362" t="s">
        <v>456</v>
      </c>
      <c r="G128" s="363">
        <f t="shared" si="6"/>
        <v>0.72000000000000008</v>
      </c>
      <c r="H128" s="363">
        <f t="shared" si="6"/>
        <v>0.72000000000000008</v>
      </c>
      <c r="I128" s="363">
        <f t="shared" si="6"/>
        <v>0.72000000000000008</v>
      </c>
      <c r="J128" s="50"/>
      <c r="K128" s="364">
        <f>(1*0.6*(0.4+0.8))</f>
        <v>0.72000000000000008</v>
      </c>
      <c r="L128" s="157"/>
      <c r="M128" s="157"/>
      <c r="R128" s="365"/>
      <c r="T128" s="51"/>
      <c r="U128" s="141"/>
      <c r="V128" s="22"/>
      <c r="W128" s="22"/>
      <c r="X128" s="22"/>
      <c r="Y128" s="22"/>
      <c r="Z128" s="22"/>
      <c r="AA128" s="22"/>
      <c r="AB128" s="22"/>
      <c r="AC128" s="22"/>
      <c r="AD128" s="366"/>
      <c r="AE128" s="141"/>
      <c r="AF128" s="141"/>
      <c r="AG128" s="141"/>
      <c r="AI128" s="141"/>
    </row>
    <row r="129" spans="2:35" outlineLevel="1">
      <c r="B129" s="209"/>
      <c r="C129" s="277">
        <f>C127+1</f>
        <v>6</v>
      </c>
      <c r="D129" s="277" t="s">
        <v>52</v>
      </c>
      <c r="E129" s="278">
        <v>174111101</v>
      </c>
      <c r="F129" s="279" t="s">
        <v>466</v>
      </c>
      <c r="G129" s="279"/>
      <c r="H129" s="279"/>
      <c r="I129" s="279"/>
      <c r="J129" s="38" t="s">
        <v>54</v>
      </c>
      <c r="K129" s="281">
        <f>SUM(K131:K132)</f>
        <v>14.65</v>
      </c>
      <c r="L129" s="91"/>
      <c r="M129" s="91"/>
      <c r="N129" s="280">
        <f>ROUND(L129*K129,2)</f>
        <v>0</v>
      </c>
      <c r="O129" s="280"/>
      <c r="P129" s="280"/>
      <c r="Q129" s="280"/>
      <c r="R129" s="210"/>
      <c r="T129" s="25"/>
      <c r="V129" s="141">
        <v>-1.6</v>
      </c>
      <c r="X129" s="141">
        <f>V129*K129</f>
        <v>-23.44</v>
      </c>
    </row>
    <row r="130" spans="2:35" s="360" customFormat="1" ht="10.199999999999999" customHeight="1" outlineLevel="1">
      <c r="B130" s="359"/>
      <c r="E130" s="387" t="s">
        <v>768</v>
      </c>
      <c r="F130" s="387"/>
      <c r="G130" s="387"/>
      <c r="H130" s="387"/>
      <c r="I130" s="387"/>
      <c r="J130" s="50"/>
      <c r="K130" s="364"/>
      <c r="L130" s="157"/>
      <c r="M130" s="157"/>
      <c r="R130" s="365"/>
      <c r="T130" s="51"/>
      <c r="U130" s="141"/>
      <c r="V130" s="22"/>
      <c r="W130" s="22"/>
      <c r="X130" s="22"/>
      <c r="Y130" s="22"/>
      <c r="Z130" s="22"/>
      <c r="AA130" s="22"/>
      <c r="AB130" s="22"/>
      <c r="AC130" s="22"/>
      <c r="AD130" s="366"/>
      <c r="AE130" s="141"/>
      <c r="AF130" s="141"/>
      <c r="AG130" s="141"/>
      <c r="AI130" s="141"/>
    </row>
    <row r="131" spans="2:35" s="360" customFormat="1" ht="10.199999999999999" customHeight="1" outlineLevel="1">
      <c r="B131" s="359"/>
      <c r="E131" s="361" t="s">
        <v>467</v>
      </c>
      <c r="F131" s="362" t="s">
        <v>446</v>
      </c>
      <c r="G131" s="363" t="e">
        <f t="shared" ref="G131:I132" si="7">(2.2+8.8+5)*F131</f>
        <v>#VALUE!</v>
      </c>
      <c r="H131" s="363" t="e">
        <f t="shared" si="7"/>
        <v>#VALUE!</v>
      </c>
      <c r="I131" s="363" t="e">
        <f t="shared" si="7"/>
        <v>#VALUE!</v>
      </c>
      <c r="J131" s="50">
        <v>0.55000000000000004</v>
      </c>
      <c r="K131" s="364">
        <f>(2.2+8.8+5)*J131</f>
        <v>8.8000000000000007</v>
      </c>
      <c r="L131" s="157"/>
      <c r="M131" s="157"/>
      <c r="R131" s="365"/>
      <c r="T131" s="51"/>
      <c r="U131" s="141"/>
      <c r="V131" s="22"/>
      <c r="W131" s="22"/>
      <c r="X131" s="22"/>
      <c r="Y131" s="22"/>
      <c r="Z131" s="22"/>
      <c r="AA131" s="22"/>
      <c r="AB131" s="22"/>
      <c r="AC131" s="22"/>
      <c r="AD131" s="366"/>
      <c r="AE131" s="141"/>
      <c r="AF131" s="141"/>
      <c r="AG131" s="141"/>
      <c r="AI131" s="141"/>
    </row>
    <row r="132" spans="2:35" s="360" customFormat="1" ht="10.199999999999999" customHeight="1" outlineLevel="1">
      <c r="B132" s="359"/>
      <c r="E132" s="361" t="s">
        <v>468</v>
      </c>
      <c r="F132" s="362" t="s">
        <v>469</v>
      </c>
      <c r="G132" s="363" t="e">
        <f t="shared" si="7"/>
        <v>#VALUE!</v>
      </c>
      <c r="H132" s="363" t="e">
        <f t="shared" si="7"/>
        <v>#VALUE!</v>
      </c>
      <c r="I132" s="363" t="e">
        <f t="shared" si="7"/>
        <v>#VALUE!</v>
      </c>
      <c r="J132" s="50">
        <v>3.9</v>
      </c>
      <c r="K132" s="364">
        <f>(1.5)*J132</f>
        <v>5.85</v>
      </c>
      <c r="L132" s="157"/>
      <c r="M132" s="157"/>
      <c r="R132" s="365"/>
      <c r="T132" s="51"/>
      <c r="U132" s="141"/>
      <c r="V132" s="22"/>
      <c r="W132" s="22"/>
      <c r="X132" s="22"/>
      <c r="Y132" s="22"/>
      <c r="Z132" s="22"/>
      <c r="AA132" s="22"/>
      <c r="AB132" s="22"/>
      <c r="AC132" s="22"/>
      <c r="AD132" s="366"/>
      <c r="AE132" s="141"/>
      <c r="AF132" s="141"/>
      <c r="AG132" s="141"/>
      <c r="AI132" s="141"/>
    </row>
    <row r="133" spans="2:35" ht="10.199999999999999" customHeight="1" outlineLevel="1">
      <c r="B133" s="209"/>
      <c r="C133" s="277">
        <f>C129+1</f>
        <v>7</v>
      </c>
      <c r="D133" s="277" t="s">
        <v>52</v>
      </c>
      <c r="E133" s="278">
        <v>181951112</v>
      </c>
      <c r="F133" s="279" t="s">
        <v>316</v>
      </c>
      <c r="G133" s="279"/>
      <c r="H133" s="279"/>
      <c r="I133" s="279"/>
      <c r="J133" s="38" t="s">
        <v>53</v>
      </c>
      <c r="K133" s="281">
        <f>SUM(K134:K134)</f>
        <v>108.75000000000001</v>
      </c>
      <c r="L133" s="91"/>
      <c r="M133" s="91"/>
      <c r="N133" s="280">
        <f>ROUND(L133*K133,2)</f>
        <v>0</v>
      </c>
      <c r="O133" s="280"/>
      <c r="P133" s="280"/>
      <c r="Q133" s="280"/>
      <c r="R133" s="210"/>
      <c r="T133" s="25"/>
    </row>
    <row r="134" spans="2:35" s="360" customFormat="1" outlineLevel="1">
      <c r="B134" s="359"/>
      <c r="E134" s="361" t="s">
        <v>317</v>
      </c>
      <c r="F134" s="362"/>
      <c r="G134" s="363"/>
      <c r="H134" s="363"/>
      <c r="I134" s="363"/>
      <c r="J134" s="50"/>
      <c r="K134" s="364">
        <f>K113</f>
        <v>108.75000000000001</v>
      </c>
      <c r="L134" s="157"/>
      <c r="M134" s="157"/>
      <c r="R134" s="365"/>
      <c r="T134" s="51"/>
      <c r="U134" s="141"/>
      <c r="V134" s="22"/>
      <c r="W134" s="22"/>
      <c r="X134" s="22"/>
      <c r="Y134" s="22"/>
      <c r="Z134" s="22"/>
      <c r="AA134" s="22"/>
      <c r="AB134" s="22"/>
      <c r="AC134" s="22"/>
      <c r="AD134" s="366"/>
      <c r="AE134" s="141"/>
      <c r="AF134" s="141"/>
      <c r="AG134" s="141"/>
      <c r="AI134" s="141"/>
    </row>
    <row r="135" spans="2:35" s="354" customFormat="1" outlineLevel="1">
      <c r="B135" s="353"/>
      <c r="E135" s="358"/>
      <c r="F135" s="358"/>
      <c r="G135" s="358"/>
      <c r="H135" s="358"/>
      <c r="I135" s="358"/>
      <c r="J135" s="358"/>
      <c r="K135" s="358"/>
      <c r="L135" s="156"/>
      <c r="M135" s="156"/>
      <c r="R135" s="356"/>
      <c r="T135" s="52"/>
      <c r="U135" s="276"/>
      <c r="V135" s="67"/>
      <c r="W135" s="22"/>
      <c r="X135" s="70"/>
      <c r="Y135" s="70"/>
      <c r="Z135" s="375"/>
    </row>
    <row r="136" spans="2:35" s="275" customFormat="1" outlineLevel="1">
      <c r="B136" s="267"/>
      <c r="C136" s="268"/>
      <c r="D136" s="268"/>
      <c r="E136" s="269" t="s">
        <v>460</v>
      </c>
      <c r="F136" s="270"/>
      <c r="G136" s="270"/>
      <c r="H136" s="270"/>
      <c r="I136" s="271"/>
      <c r="J136" s="49"/>
      <c r="K136" s="272"/>
      <c r="L136" s="92"/>
      <c r="M136" s="92"/>
      <c r="N136" s="273"/>
      <c r="O136" s="273"/>
      <c r="P136" s="273"/>
      <c r="Q136" s="273"/>
      <c r="R136" s="274"/>
      <c r="T136" s="48"/>
      <c r="U136" s="276"/>
      <c r="V136" s="67"/>
      <c r="W136" s="70"/>
      <c r="X136" s="70"/>
      <c r="Y136" s="70">
        <f>SUM(Y148:Y360)</f>
        <v>0</v>
      </c>
      <c r="Z136" s="375"/>
    </row>
    <row r="137" spans="2:35" ht="27" customHeight="1" outlineLevel="1">
      <c r="B137" s="209"/>
      <c r="C137" s="277">
        <f>C133+1</f>
        <v>8</v>
      </c>
      <c r="D137" s="277" t="s">
        <v>52</v>
      </c>
      <c r="E137" s="278">
        <v>978015391</v>
      </c>
      <c r="F137" s="279" t="s">
        <v>477</v>
      </c>
      <c r="G137" s="279"/>
      <c r="H137" s="279"/>
      <c r="I137" s="279"/>
      <c r="J137" s="38" t="s">
        <v>53</v>
      </c>
      <c r="K137" s="281">
        <f>SUM(K138:K139)</f>
        <v>33.141249999999999</v>
      </c>
      <c r="L137" s="91"/>
      <c r="M137" s="91"/>
      <c r="N137" s="280">
        <f>ROUND(L137*K137,2)</f>
        <v>0</v>
      </c>
      <c r="O137" s="280"/>
      <c r="P137" s="280"/>
      <c r="Q137" s="280"/>
      <c r="R137" s="210"/>
      <c r="T137" s="25"/>
      <c r="V137" s="141">
        <v>0.05</v>
      </c>
      <c r="W137" s="141">
        <f>V137*K137</f>
        <v>1.6570625000000001</v>
      </c>
    </row>
    <row r="138" spans="2:35" s="360" customFormat="1" outlineLevel="1">
      <c r="B138" s="359"/>
      <c r="E138" s="361" t="s">
        <v>497</v>
      </c>
      <c r="F138" s="362" t="s">
        <v>476</v>
      </c>
      <c r="G138" s="363" t="e">
        <f t="shared" ref="G138:I139" si="8">(7.8+9.3+4.4)*F138</f>
        <v>#VALUE!</v>
      </c>
      <c r="H138" s="363" t="e">
        <f t="shared" si="8"/>
        <v>#VALUE!</v>
      </c>
      <c r="I138" s="363" t="e">
        <f t="shared" si="8"/>
        <v>#VALUE!</v>
      </c>
      <c r="J138" s="50">
        <f>(1.5+1.5+1.15+1.15+0.93+0.93+0.93+0.93)/8</f>
        <v>1.1274999999999999</v>
      </c>
      <c r="K138" s="364">
        <f>(7.8+9.3+4.4)*J138</f>
        <v>24.241249999999997</v>
      </c>
      <c r="L138" s="157"/>
      <c r="M138" s="157"/>
      <c r="R138" s="365"/>
      <c r="T138" s="51"/>
      <c r="U138" s="141"/>
      <c r="V138" s="22"/>
      <c r="W138" s="22"/>
      <c r="X138" s="22"/>
      <c r="Y138" s="22"/>
      <c r="Z138" s="141"/>
    </row>
    <row r="139" spans="2:35" s="360" customFormat="1" outlineLevel="1">
      <c r="B139" s="359"/>
      <c r="E139" s="361" t="s">
        <v>498</v>
      </c>
      <c r="F139" s="362" t="s">
        <v>499</v>
      </c>
      <c r="G139" s="363" t="e">
        <f t="shared" si="8"/>
        <v>#VALUE!</v>
      </c>
      <c r="H139" s="363" t="e">
        <f t="shared" si="8"/>
        <v>#VALUE!</v>
      </c>
      <c r="I139" s="363" t="e">
        <f t="shared" si="8"/>
        <v>#VALUE!</v>
      </c>
      <c r="J139" s="50"/>
      <c r="K139" s="364">
        <f>8.9</f>
        <v>8.9</v>
      </c>
      <c r="L139" s="157"/>
      <c r="M139" s="157"/>
      <c r="R139" s="365"/>
      <c r="T139" s="51"/>
      <c r="U139" s="141"/>
      <c r="V139" s="22"/>
      <c r="W139" s="22"/>
      <c r="X139" s="22"/>
      <c r="Y139" s="22"/>
      <c r="Z139" s="141"/>
    </row>
    <row r="140" spans="2:35" outlineLevel="1">
      <c r="B140" s="209"/>
      <c r="C140" s="277">
        <f>C137+1</f>
        <v>9</v>
      </c>
      <c r="D140" s="277" t="s">
        <v>52</v>
      </c>
      <c r="E140" s="278">
        <v>985131311</v>
      </c>
      <c r="F140" s="279" t="s">
        <v>144</v>
      </c>
      <c r="G140" s="279"/>
      <c r="H140" s="279"/>
      <c r="I140" s="279"/>
      <c r="J140" s="38" t="s">
        <v>53</v>
      </c>
      <c r="K140" s="281">
        <f>K137</f>
        <v>33.141249999999999</v>
      </c>
      <c r="L140" s="91"/>
      <c r="M140" s="91"/>
      <c r="N140" s="280">
        <f>ROUND(L140*K140,2)</f>
        <v>0</v>
      </c>
      <c r="O140" s="280"/>
      <c r="P140" s="280"/>
      <c r="Q140" s="280"/>
      <c r="R140" s="210"/>
      <c r="T140" s="25"/>
    </row>
    <row r="141" spans="2:35" outlineLevel="1">
      <c r="B141" s="209"/>
      <c r="C141" s="277">
        <f>C140+1</f>
        <v>10</v>
      </c>
      <c r="D141" s="277" t="s">
        <v>52</v>
      </c>
      <c r="E141" s="278">
        <v>985139112</v>
      </c>
      <c r="F141" s="279" t="s">
        <v>478</v>
      </c>
      <c r="G141" s="279">
        <f t="shared" ref="G141:I141" si="9">0.25*0.6*2.5*2</f>
        <v>0.75</v>
      </c>
      <c r="H141" s="279">
        <f t="shared" si="9"/>
        <v>0.75</v>
      </c>
      <c r="I141" s="279">
        <f t="shared" si="9"/>
        <v>0.75</v>
      </c>
      <c r="J141" s="38" t="s">
        <v>53</v>
      </c>
      <c r="K141" s="281">
        <f>K140</f>
        <v>33.141249999999999</v>
      </c>
      <c r="L141" s="91"/>
      <c r="M141" s="91"/>
      <c r="N141" s="280">
        <f t="shared" ref="N141:N142" si="10">ROUND(L141*K141,2)</f>
        <v>0</v>
      </c>
      <c r="O141" s="280"/>
      <c r="P141" s="280"/>
      <c r="Q141" s="280"/>
      <c r="R141" s="210"/>
      <c r="T141" s="25"/>
    </row>
    <row r="142" spans="2:35" ht="27" customHeight="1" outlineLevel="1">
      <c r="B142" s="209"/>
      <c r="C142" s="277">
        <f>C141+1</f>
        <v>11</v>
      </c>
      <c r="D142" s="277" t="s">
        <v>52</v>
      </c>
      <c r="E142" s="278">
        <v>311113142</v>
      </c>
      <c r="F142" s="279" t="s">
        <v>479</v>
      </c>
      <c r="G142" s="279"/>
      <c r="H142" s="279"/>
      <c r="I142" s="279"/>
      <c r="J142" s="38" t="s">
        <v>53</v>
      </c>
      <c r="K142" s="281">
        <f>SUM(K143:K143)</f>
        <v>4.2</v>
      </c>
      <c r="L142" s="91"/>
      <c r="M142" s="91"/>
      <c r="N142" s="280">
        <f t="shared" si="10"/>
        <v>0</v>
      </c>
      <c r="O142" s="280"/>
      <c r="P142" s="280"/>
      <c r="Q142" s="280"/>
      <c r="R142" s="210"/>
      <c r="T142" s="25"/>
    </row>
    <row r="143" spans="2:35" s="360" customFormat="1" outlineLevel="1">
      <c r="B143" s="359"/>
      <c r="E143" s="361" t="s">
        <v>480</v>
      </c>
      <c r="F143" s="362" t="s">
        <v>484</v>
      </c>
      <c r="G143" s="363"/>
      <c r="H143" s="363"/>
      <c r="I143" s="363"/>
      <c r="J143" s="50"/>
      <c r="K143" s="364">
        <f>2.1*2</f>
        <v>4.2</v>
      </c>
      <c r="L143" s="157"/>
      <c r="M143" s="157"/>
      <c r="R143" s="365"/>
      <c r="T143" s="51"/>
      <c r="U143" s="141"/>
      <c r="V143" s="22"/>
      <c r="W143" s="22"/>
      <c r="X143" s="22"/>
      <c r="Y143" s="22"/>
      <c r="Z143" s="141"/>
    </row>
    <row r="144" spans="2:35" ht="27" customHeight="1" outlineLevel="1">
      <c r="B144" s="209"/>
      <c r="C144" s="277">
        <f>C142+1</f>
        <v>12</v>
      </c>
      <c r="D144" s="277" t="s">
        <v>52</v>
      </c>
      <c r="E144" s="278">
        <v>346991131</v>
      </c>
      <c r="F144" s="279" t="s">
        <v>495</v>
      </c>
      <c r="G144" s="279"/>
      <c r="H144" s="279"/>
      <c r="I144" s="279"/>
      <c r="J144" s="38" t="s">
        <v>53</v>
      </c>
      <c r="K144" s="281">
        <f>SUM(K145:K145)</f>
        <v>2.1</v>
      </c>
      <c r="L144" s="91"/>
      <c r="M144" s="91"/>
      <c r="N144" s="280">
        <f t="shared" ref="N144" si="11">ROUND(L144*K144,2)</f>
        <v>0</v>
      </c>
      <c r="O144" s="280"/>
      <c r="P144" s="280"/>
      <c r="Q144" s="280"/>
      <c r="R144" s="210"/>
      <c r="T144" s="25"/>
    </row>
    <row r="145" spans="2:26" s="360" customFormat="1" outlineLevel="1">
      <c r="B145" s="359"/>
      <c r="E145" s="361" t="s">
        <v>493</v>
      </c>
      <c r="F145" s="362" t="s">
        <v>494</v>
      </c>
      <c r="G145" s="363"/>
      <c r="H145" s="363"/>
      <c r="I145" s="363"/>
      <c r="J145" s="50"/>
      <c r="K145" s="364">
        <f>2.1</f>
        <v>2.1</v>
      </c>
      <c r="L145" s="157"/>
      <c r="M145" s="157"/>
      <c r="R145" s="365"/>
      <c r="T145" s="51"/>
      <c r="U145" s="141"/>
      <c r="V145" s="22"/>
      <c r="W145" s="22"/>
      <c r="X145" s="22"/>
      <c r="Y145" s="22"/>
      <c r="Z145" s="141"/>
    </row>
    <row r="146" spans="2:26" ht="27" customHeight="1" outlineLevel="1">
      <c r="B146" s="209"/>
      <c r="C146" s="277">
        <f>C144+1</f>
        <v>13</v>
      </c>
      <c r="D146" s="277" t="s">
        <v>52</v>
      </c>
      <c r="E146" s="278">
        <v>311113144</v>
      </c>
      <c r="F146" s="279" t="s">
        <v>481</v>
      </c>
      <c r="G146" s="279"/>
      <c r="H146" s="279"/>
      <c r="I146" s="279"/>
      <c r="J146" s="38" t="s">
        <v>53</v>
      </c>
      <c r="K146" s="281">
        <f>SUM(K147:K147)</f>
        <v>19.8</v>
      </c>
      <c r="L146" s="91"/>
      <c r="M146" s="91"/>
      <c r="N146" s="280">
        <f>ROUND(L146*K146,2)</f>
        <v>0</v>
      </c>
      <c r="O146" s="280"/>
      <c r="P146" s="280"/>
      <c r="Q146" s="280"/>
      <c r="R146" s="210"/>
      <c r="T146" s="25"/>
    </row>
    <row r="147" spans="2:26" s="360" customFormat="1" outlineLevel="1">
      <c r="B147" s="359"/>
      <c r="E147" s="361" t="s">
        <v>483</v>
      </c>
      <c r="F147" s="362" t="s">
        <v>482</v>
      </c>
      <c r="G147" s="363">
        <f t="shared" ref="G147:I147" si="12">(2.2+5.9+5.1)*1.5</f>
        <v>19.8</v>
      </c>
      <c r="H147" s="363">
        <f t="shared" si="12"/>
        <v>19.8</v>
      </c>
      <c r="I147" s="363">
        <f t="shared" si="12"/>
        <v>19.8</v>
      </c>
      <c r="J147" s="50"/>
      <c r="K147" s="364">
        <f>(2.2+5.9+5.1)*1.5</f>
        <v>19.8</v>
      </c>
      <c r="L147" s="157"/>
      <c r="M147" s="157"/>
      <c r="R147" s="365"/>
      <c r="T147" s="51"/>
      <c r="U147" s="141"/>
      <c r="V147" s="22"/>
      <c r="W147" s="22"/>
      <c r="X147" s="22"/>
      <c r="Y147" s="22"/>
      <c r="Z147" s="141"/>
    </row>
    <row r="148" spans="2:26" outlineLevel="1">
      <c r="B148" s="209"/>
      <c r="C148" s="277">
        <f>C146+1</f>
        <v>14</v>
      </c>
      <c r="D148" s="277" t="s">
        <v>52</v>
      </c>
      <c r="E148" s="278">
        <v>417321515</v>
      </c>
      <c r="F148" s="279" t="s">
        <v>485</v>
      </c>
      <c r="G148" s="279"/>
      <c r="H148" s="279"/>
      <c r="I148" s="279"/>
      <c r="J148" s="38" t="s">
        <v>54</v>
      </c>
      <c r="K148" s="281">
        <f>SUM(K149:K149)</f>
        <v>3.2919600000000004</v>
      </c>
      <c r="L148" s="91"/>
      <c r="M148" s="91"/>
      <c r="N148" s="280">
        <f>ROUND(L148*K148,2)</f>
        <v>0</v>
      </c>
      <c r="O148" s="280"/>
      <c r="P148" s="280"/>
      <c r="Q148" s="280"/>
      <c r="R148" s="210"/>
      <c r="T148" s="25"/>
    </row>
    <row r="149" spans="2:26" s="360" customFormat="1" outlineLevel="1">
      <c r="B149" s="359"/>
      <c r="E149" s="361" t="s">
        <v>486</v>
      </c>
      <c r="F149" s="362" t="s">
        <v>487</v>
      </c>
      <c r="G149" s="363">
        <f t="shared" ref="G149:I151" si="13">(10.45+9.25+9.65+9.84)*0.3*0.28</f>
        <v>3.2919600000000004</v>
      </c>
      <c r="H149" s="363">
        <f t="shared" si="13"/>
        <v>3.2919600000000004</v>
      </c>
      <c r="I149" s="363">
        <f t="shared" si="13"/>
        <v>3.2919600000000004</v>
      </c>
      <c r="J149" s="50"/>
      <c r="K149" s="364">
        <f>(10.45+9.25+9.65+9.84)*0.3*0.28</f>
        <v>3.2919600000000004</v>
      </c>
      <c r="L149" s="157"/>
      <c r="M149" s="157"/>
      <c r="R149" s="365"/>
      <c r="T149" s="51"/>
      <c r="U149" s="141"/>
      <c r="V149" s="22"/>
      <c r="W149" s="22"/>
      <c r="X149" s="22"/>
      <c r="Y149" s="22"/>
      <c r="Z149" s="141"/>
    </row>
    <row r="150" spans="2:26" outlineLevel="1">
      <c r="B150" s="209"/>
      <c r="C150" s="277">
        <f>C148+1</f>
        <v>15</v>
      </c>
      <c r="D150" s="277" t="s">
        <v>52</v>
      </c>
      <c r="E150" s="278">
        <v>417351115</v>
      </c>
      <c r="F150" s="388" t="s">
        <v>489</v>
      </c>
      <c r="G150" s="389"/>
      <c r="H150" s="389"/>
      <c r="I150" s="390"/>
      <c r="J150" s="38" t="s">
        <v>53</v>
      </c>
      <c r="K150" s="281">
        <f>SUM(K151:K151)</f>
        <v>21.946400000000001</v>
      </c>
      <c r="L150" s="91"/>
      <c r="M150" s="91"/>
      <c r="N150" s="280">
        <f>ROUND(L150*K150,2)</f>
        <v>0</v>
      </c>
      <c r="O150" s="280"/>
      <c r="P150" s="280"/>
      <c r="Q150" s="280"/>
      <c r="R150" s="210"/>
      <c r="T150" s="25"/>
    </row>
    <row r="151" spans="2:26" s="360" customFormat="1" outlineLevel="1">
      <c r="B151" s="359"/>
      <c r="E151" s="361" t="s">
        <v>486</v>
      </c>
      <c r="F151" s="362" t="s">
        <v>533</v>
      </c>
      <c r="G151" s="363">
        <f t="shared" si="13"/>
        <v>3.2919600000000004</v>
      </c>
      <c r="H151" s="363">
        <f t="shared" si="13"/>
        <v>3.2919600000000004</v>
      </c>
      <c r="I151" s="363">
        <f t="shared" si="13"/>
        <v>3.2919600000000004</v>
      </c>
      <c r="J151" s="50"/>
      <c r="K151" s="364">
        <f>(10.45+9.25+9.65+9.84)*2*0.28</f>
        <v>21.946400000000001</v>
      </c>
      <c r="L151" s="157"/>
      <c r="M151" s="157"/>
      <c r="R151" s="365"/>
      <c r="T151" s="51"/>
      <c r="U151" s="141"/>
      <c r="V151" s="22"/>
      <c r="W151" s="22"/>
      <c r="X151" s="22"/>
      <c r="Y151" s="22"/>
      <c r="Z151" s="141"/>
    </row>
    <row r="152" spans="2:26" outlineLevel="1">
      <c r="B152" s="209"/>
      <c r="C152" s="277">
        <f>C150+1</f>
        <v>16</v>
      </c>
      <c r="D152" s="277" t="s">
        <v>52</v>
      </c>
      <c r="E152" s="278">
        <v>417351116</v>
      </c>
      <c r="F152" s="279" t="s">
        <v>490</v>
      </c>
      <c r="G152" s="279"/>
      <c r="H152" s="279"/>
      <c r="I152" s="279"/>
      <c r="J152" s="38" t="s">
        <v>53</v>
      </c>
      <c r="K152" s="281">
        <f>K150</f>
        <v>21.946400000000001</v>
      </c>
      <c r="L152" s="91"/>
      <c r="M152" s="91"/>
      <c r="N152" s="280">
        <f t="shared" ref="N152" si="14">ROUND(L152*K152,2)</f>
        <v>0</v>
      </c>
      <c r="O152" s="280"/>
      <c r="P152" s="280"/>
      <c r="Q152" s="280"/>
      <c r="R152" s="210"/>
      <c r="T152" s="25"/>
    </row>
    <row r="153" spans="2:26" outlineLevel="1">
      <c r="B153" s="209"/>
      <c r="C153" s="277">
        <f>C152+1</f>
        <v>17</v>
      </c>
      <c r="D153" s="277" t="s">
        <v>52</v>
      </c>
      <c r="E153" s="278">
        <v>417361821</v>
      </c>
      <c r="F153" s="279" t="s">
        <v>491</v>
      </c>
      <c r="G153" s="279"/>
      <c r="H153" s="279"/>
      <c r="I153" s="279"/>
      <c r="J153" s="38" t="s">
        <v>56</v>
      </c>
      <c r="K153" s="281">
        <f>SUM(K154:K154)</f>
        <v>0.49379400000000007</v>
      </c>
      <c r="L153" s="91"/>
      <c r="M153" s="91"/>
      <c r="N153" s="280">
        <f>ROUND(L153*K153,2)</f>
        <v>0</v>
      </c>
      <c r="O153" s="280"/>
      <c r="P153" s="280"/>
      <c r="Q153" s="280"/>
      <c r="R153" s="210"/>
      <c r="T153" s="25"/>
    </row>
    <row r="154" spans="2:26" s="360" customFormat="1" outlineLevel="1">
      <c r="B154" s="359"/>
      <c r="E154" s="361" t="s">
        <v>492</v>
      </c>
      <c r="F154" s="362" t="s">
        <v>488</v>
      </c>
      <c r="G154" s="363">
        <f t="shared" ref="G154:I154" si="15">(10.45+9.25+9.65+9.84)*0.3*0.28</f>
        <v>3.2919600000000004</v>
      </c>
      <c r="H154" s="363">
        <f t="shared" si="15"/>
        <v>3.2919600000000004</v>
      </c>
      <c r="I154" s="363">
        <f t="shared" si="15"/>
        <v>3.2919600000000004</v>
      </c>
      <c r="J154" s="50">
        <v>0.15</v>
      </c>
      <c r="K154" s="364">
        <f>K148*J154</f>
        <v>0.49379400000000007</v>
      </c>
      <c r="L154" s="157"/>
      <c r="M154" s="157"/>
      <c r="R154" s="365"/>
      <c r="T154" s="51"/>
      <c r="U154" s="141"/>
      <c r="V154" s="22"/>
      <c r="W154" s="22"/>
      <c r="X154" s="22"/>
      <c r="Y154" s="22"/>
      <c r="Z154" s="141"/>
    </row>
    <row r="155" spans="2:26" s="354" customFormat="1" outlineLevel="1">
      <c r="B155" s="353"/>
      <c r="E155" s="358"/>
      <c r="F155" s="358"/>
      <c r="G155" s="358"/>
      <c r="H155" s="358"/>
      <c r="I155" s="358"/>
      <c r="J155" s="358"/>
      <c r="K155" s="358"/>
      <c r="L155" s="156"/>
      <c r="M155" s="156"/>
      <c r="R155" s="356"/>
      <c r="T155" s="52"/>
      <c r="U155" s="276"/>
      <c r="V155" s="67"/>
      <c r="W155" s="22"/>
      <c r="X155" s="70"/>
      <c r="Y155" s="70"/>
      <c r="Z155" s="375"/>
    </row>
    <row r="156" spans="2:26" s="275" customFormat="1" outlineLevel="1">
      <c r="B156" s="267"/>
      <c r="C156" s="268"/>
      <c r="D156" s="268"/>
      <c r="E156" s="269" t="s">
        <v>459</v>
      </c>
      <c r="F156" s="270"/>
      <c r="G156" s="270"/>
      <c r="H156" s="270"/>
      <c r="I156" s="271"/>
      <c r="J156" s="49"/>
      <c r="K156" s="272"/>
      <c r="L156" s="92"/>
      <c r="M156" s="92"/>
      <c r="N156" s="273"/>
      <c r="O156" s="273"/>
      <c r="P156" s="273"/>
      <c r="Q156" s="273"/>
      <c r="R156" s="274"/>
      <c r="T156" s="48"/>
      <c r="U156" s="276"/>
      <c r="V156" s="67"/>
      <c r="W156" s="70"/>
      <c r="X156" s="70"/>
      <c r="Y156" s="70">
        <f>SUM(Y159:Y370)</f>
        <v>0</v>
      </c>
      <c r="Z156" s="375"/>
    </row>
    <row r="157" spans="2:26" outlineLevel="1">
      <c r="B157" s="209"/>
      <c r="C157" s="277">
        <f>C153+1</f>
        <v>18</v>
      </c>
      <c r="D157" s="277" t="s">
        <v>52</v>
      </c>
      <c r="E157" s="278">
        <v>979071121</v>
      </c>
      <c r="F157" s="279" t="s">
        <v>470</v>
      </c>
      <c r="G157" s="279"/>
      <c r="H157" s="279"/>
      <c r="I157" s="279"/>
      <c r="J157" s="38" t="s">
        <v>53</v>
      </c>
      <c r="K157" s="281">
        <f>SUM(K158:K158)</f>
        <v>9.6000000000000014</v>
      </c>
      <c r="L157" s="91"/>
      <c r="M157" s="91"/>
      <c r="N157" s="280">
        <f>ROUND(L157*K157,2)</f>
        <v>0</v>
      </c>
      <c r="O157" s="280"/>
      <c r="P157" s="280"/>
      <c r="Q157" s="280"/>
      <c r="R157" s="210"/>
      <c r="T157" s="25"/>
    </row>
    <row r="158" spans="2:26" s="360" customFormat="1" ht="20.399999999999999" outlineLevel="1">
      <c r="B158" s="359"/>
      <c r="E158" s="361" t="s">
        <v>471</v>
      </c>
      <c r="F158" s="362" t="s">
        <v>472</v>
      </c>
      <c r="G158" s="363">
        <f t="shared" ref="G158:I158" si="16">6.4*1.5</f>
        <v>9.6000000000000014</v>
      </c>
      <c r="H158" s="363">
        <f t="shared" si="16"/>
        <v>9.6000000000000014</v>
      </c>
      <c r="I158" s="363">
        <f t="shared" si="16"/>
        <v>9.6000000000000014</v>
      </c>
      <c r="J158" s="50"/>
      <c r="K158" s="364">
        <f>6.4*1.5</f>
        <v>9.6000000000000014</v>
      </c>
      <c r="L158" s="157"/>
      <c r="M158" s="157"/>
      <c r="R158" s="365"/>
      <c r="T158" s="51"/>
      <c r="U158" s="141"/>
      <c r="V158" s="22"/>
      <c r="W158" s="22"/>
      <c r="X158" s="22"/>
      <c r="Y158" s="22"/>
      <c r="Z158" s="141"/>
    </row>
    <row r="159" spans="2:26" outlineLevel="1">
      <c r="B159" s="209"/>
      <c r="C159" s="277">
        <f>C157+1</f>
        <v>19</v>
      </c>
      <c r="D159" s="277" t="s">
        <v>52</v>
      </c>
      <c r="E159" s="278">
        <v>184818233</v>
      </c>
      <c r="F159" s="279" t="s">
        <v>457</v>
      </c>
      <c r="G159" s="279"/>
      <c r="H159" s="279"/>
      <c r="I159" s="279"/>
      <c r="J159" s="38" t="s">
        <v>57</v>
      </c>
      <c r="K159" s="281">
        <v>1</v>
      </c>
      <c r="L159" s="91"/>
      <c r="M159" s="91"/>
      <c r="N159" s="280">
        <f>ROUND(L159*K159,2)</f>
        <v>0</v>
      </c>
      <c r="O159" s="280"/>
      <c r="P159" s="280"/>
      <c r="Q159" s="280"/>
      <c r="R159" s="210"/>
      <c r="T159" s="25"/>
    </row>
    <row r="160" spans="2:26" s="354" customFormat="1">
      <c r="B160" s="353"/>
      <c r="E160" s="358"/>
      <c r="F160" s="358"/>
      <c r="G160" s="358"/>
      <c r="H160" s="358"/>
      <c r="I160" s="358"/>
      <c r="J160" s="358"/>
      <c r="K160" s="358"/>
      <c r="L160" s="156"/>
      <c r="M160" s="156"/>
      <c r="R160" s="356"/>
      <c r="T160" s="52"/>
      <c r="U160" s="276"/>
      <c r="V160" s="68"/>
      <c r="W160" s="70"/>
      <c r="X160" s="70"/>
      <c r="Y160" s="375"/>
      <c r="Z160" s="375"/>
    </row>
    <row r="161" spans="2:26" s="266" customFormat="1" ht="13.2">
      <c r="B161" s="262"/>
      <c r="C161" s="263"/>
      <c r="D161" s="263" t="s">
        <v>461</v>
      </c>
      <c r="E161" s="263"/>
      <c r="F161" s="263"/>
      <c r="G161" s="263"/>
      <c r="H161" s="263"/>
      <c r="I161" s="263"/>
      <c r="J161" s="36"/>
      <c r="K161" s="357">
        <f>SUM(K162:K165)</f>
        <v>108.75000000000001</v>
      </c>
      <c r="L161" s="155"/>
      <c r="M161" s="155"/>
      <c r="N161" s="264">
        <f>SUM(N162:Q274)</f>
        <v>0</v>
      </c>
      <c r="O161" s="264"/>
      <c r="P161" s="264"/>
      <c r="Q161" s="264"/>
      <c r="R161" s="265"/>
      <c r="T161" s="37">
        <f>SUM(N161:Q274)/2</f>
        <v>0</v>
      </c>
      <c r="U161" s="384"/>
      <c r="V161" s="384"/>
      <c r="W161" s="384"/>
      <c r="X161" s="384"/>
      <c r="Y161" s="141"/>
      <c r="Z161" s="141"/>
    </row>
    <row r="162" spans="2:26" s="360" customFormat="1" ht="10.199999999999999" customHeight="1" outlineLevel="1">
      <c r="B162" s="359"/>
      <c r="E162" s="361" t="s">
        <v>311</v>
      </c>
      <c r="F162" s="362" t="s">
        <v>314</v>
      </c>
      <c r="G162" s="363"/>
      <c r="H162" s="363"/>
      <c r="I162" s="363"/>
      <c r="J162" s="50" t="s">
        <v>53</v>
      </c>
      <c r="K162" s="364">
        <f>6.4*1.5</f>
        <v>9.6000000000000014</v>
      </c>
      <c r="L162" s="157"/>
      <c r="M162" s="157"/>
      <c r="R162" s="365"/>
      <c r="T162" s="51"/>
      <c r="U162" s="66"/>
      <c r="V162" s="66"/>
      <c r="W162" s="66"/>
      <c r="X162" s="66"/>
      <c r="Y162" s="22"/>
    </row>
    <row r="163" spans="2:26" s="360" customFormat="1" ht="10.199999999999999" customHeight="1" outlineLevel="1">
      <c r="B163" s="359"/>
      <c r="E163" s="361" t="s">
        <v>310</v>
      </c>
      <c r="F163" s="362" t="s">
        <v>315</v>
      </c>
      <c r="G163" s="363"/>
      <c r="H163" s="363"/>
      <c r="I163" s="363"/>
      <c r="J163" s="50" t="s">
        <v>53</v>
      </c>
      <c r="K163" s="364">
        <v>23.9</v>
      </c>
      <c r="L163" s="157"/>
      <c r="M163" s="157"/>
      <c r="R163" s="365"/>
      <c r="T163" s="51"/>
      <c r="U163" s="66"/>
      <c r="V163" s="66"/>
      <c r="W163" s="66"/>
      <c r="X163" s="66"/>
      <c r="Y163" s="22"/>
    </row>
    <row r="164" spans="2:26" s="360" customFormat="1" ht="20.399999999999999" outlineLevel="1">
      <c r="B164" s="359"/>
      <c r="E164" s="361" t="s">
        <v>765</v>
      </c>
      <c r="F164" s="362" t="s">
        <v>766</v>
      </c>
      <c r="G164" s="363"/>
      <c r="H164" s="363"/>
      <c r="I164" s="363"/>
      <c r="J164" s="50" t="s">
        <v>53</v>
      </c>
      <c r="K164" s="364">
        <f>94.2-K163</f>
        <v>70.300000000000011</v>
      </c>
      <c r="L164" s="157"/>
      <c r="M164" s="157"/>
      <c r="R164" s="365"/>
      <c r="T164" s="51"/>
      <c r="U164" s="66"/>
      <c r="V164" s="66"/>
      <c r="W164" s="66"/>
      <c r="X164" s="66"/>
      <c r="Y164" s="22"/>
    </row>
    <row r="165" spans="2:26" s="360" customFormat="1" ht="10.199999999999999" customHeight="1" outlineLevel="1">
      <c r="B165" s="359"/>
      <c r="E165" s="361" t="s">
        <v>196</v>
      </c>
      <c r="F165" s="362" t="s">
        <v>475</v>
      </c>
      <c r="G165" s="363"/>
      <c r="H165" s="363"/>
      <c r="I165" s="363"/>
      <c r="J165" s="50" t="s">
        <v>53</v>
      </c>
      <c r="K165" s="364">
        <f>3.3*1.5</f>
        <v>4.9499999999999993</v>
      </c>
      <c r="L165" s="157"/>
      <c r="M165" s="157"/>
      <c r="R165" s="365"/>
      <c r="T165" s="51"/>
      <c r="U165" s="66"/>
      <c r="V165" s="66"/>
      <c r="W165" s="66"/>
      <c r="X165" s="66"/>
      <c r="Y165" s="22"/>
    </row>
    <row r="166" spans="2:26" s="354" customFormat="1" outlineLevel="1">
      <c r="B166" s="353"/>
      <c r="E166" s="358"/>
      <c r="F166" s="358"/>
      <c r="G166" s="358"/>
      <c r="H166" s="358"/>
      <c r="I166" s="358"/>
      <c r="J166" s="358"/>
      <c r="K166" s="358"/>
      <c r="L166" s="156"/>
      <c r="M166" s="156"/>
      <c r="R166" s="356"/>
      <c r="T166" s="52"/>
      <c r="U166" s="276"/>
      <c r="V166" s="67"/>
      <c r="W166" s="22"/>
      <c r="X166" s="70"/>
      <c r="Y166" s="70"/>
      <c r="Z166" s="375"/>
    </row>
    <row r="167" spans="2:26" s="360" customFormat="1" ht="10.199999999999999" customHeight="1" outlineLevel="1">
      <c r="B167" s="359"/>
      <c r="E167" s="361" t="s">
        <v>139</v>
      </c>
      <c r="F167" s="362" t="s">
        <v>496</v>
      </c>
      <c r="G167" s="363"/>
      <c r="H167" s="363"/>
      <c r="I167" s="363"/>
      <c r="J167" s="50" t="s">
        <v>53</v>
      </c>
      <c r="K167" s="364">
        <v>8.9</v>
      </c>
      <c r="L167" s="157"/>
      <c r="M167" s="157"/>
      <c r="R167" s="365"/>
      <c r="T167" s="51"/>
      <c r="U167" s="66"/>
      <c r="V167" s="66"/>
      <c r="W167" s="66"/>
      <c r="X167" s="66"/>
      <c r="Y167" s="22"/>
    </row>
    <row r="168" spans="2:26" s="360" customFormat="1" ht="10.199999999999999" customHeight="1" outlineLevel="1">
      <c r="B168" s="359"/>
      <c r="E168" s="361" t="s">
        <v>183</v>
      </c>
      <c r="F168" s="362" t="s">
        <v>501</v>
      </c>
      <c r="G168" s="363"/>
      <c r="H168" s="363"/>
      <c r="I168" s="363"/>
      <c r="J168" s="50" t="s">
        <v>58</v>
      </c>
      <c r="K168" s="364">
        <f>(7.8+9.3+4.4)</f>
        <v>21.5</v>
      </c>
      <c r="L168" s="157"/>
      <c r="M168" s="157"/>
      <c r="R168" s="365"/>
      <c r="T168" s="51"/>
      <c r="U168" s="66"/>
      <c r="V168" s="66"/>
      <c r="W168" s="66"/>
      <c r="X168" s="66"/>
      <c r="Y168" s="22"/>
    </row>
    <row r="169" spans="2:26" s="360" customFormat="1" ht="10.199999999999999" customHeight="1" outlineLevel="1">
      <c r="B169" s="359"/>
      <c r="E169" s="361" t="s">
        <v>500</v>
      </c>
      <c r="F169" s="362" t="s">
        <v>502</v>
      </c>
      <c r="G169" s="363"/>
      <c r="H169" s="363"/>
      <c r="I169" s="363"/>
      <c r="J169" s="50" t="s">
        <v>53</v>
      </c>
      <c r="K169" s="364">
        <f>K138</f>
        <v>24.241249999999997</v>
      </c>
      <c r="L169" s="157"/>
      <c r="M169" s="157"/>
      <c r="R169" s="365"/>
      <c r="T169" s="51"/>
      <c r="U169" s="66"/>
      <c r="V169" s="66"/>
      <c r="W169" s="66"/>
      <c r="X169" s="66"/>
      <c r="Y169" s="22"/>
    </row>
    <row r="170" spans="2:26" s="360" customFormat="1" ht="10.199999999999999" customHeight="1" outlineLevel="1">
      <c r="B170" s="359"/>
      <c r="E170" s="361" t="s">
        <v>503</v>
      </c>
      <c r="F170" s="362" t="s">
        <v>504</v>
      </c>
      <c r="G170" s="363"/>
      <c r="H170" s="363"/>
      <c r="I170" s="363"/>
      <c r="J170" s="50" t="s">
        <v>53</v>
      </c>
      <c r="K170" s="364">
        <f>K146-K167</f>
        <v>10.9</v>
      </c>
      <c r="L170" s="157"/>
      <c r="M170" s="157"/>
      <c r="R170" s="365"/>
      <c r="T170" s="51"/>
      <c r="U170" s="66"/>
      <c r="V170" s="66"/>
      <c r="W170" s="66"/>
      <c r="X170" s="66"/>
      <c r="Y170" s="22"/>
    </row>
    <row r="171" spans="2:26" s="275" customFormat="1" outlineLevel="1">
      <c r="B171" s="267"/>
      <c r="C171" s="268"/>
      <c r="D171" s="268"/>
      <c r="E171" s="269" t="s">
        <v>318</v>
      </c>
      <c r="F171" s="270"/>
      <c r="G171" s="270"/>
      <c r="H171" s="270"/>
      <c r="I171" s="271"/>
      <c r="J171" s="49" t="s">
        <v>53</v>
      </c>
      <c r="K171" s="272">
        <f>K162</f>
        <v>9.6000000000000014</v>
      </c>
      <c r="L171" s="92"/>
      <c r="M171" s="92"/>
      <c r="N171" s="273"/>
      <c r="O171" s="273"/>
      <c r="P171" s="273"/>
      <c r="Q171" s="273"/>
      <c r="R171" s="274"/>
      <c r="T171" s="48"/>
      <c r="U171" s="67"/>
      <c r="V171" s="67"/>
      <c r="W171" s="67"/>
      <c r="X171" s="67"/>
      <c r="Y171" s="68"/>
    </row>
    <row r="172" spans="2:26" outlineLevel="1">
      <c r="B172" s="209"/>
      <c r="C172" s="277">
        <f>C159+1</f>
        <v>20</v>
      </c>
      <c r="D172" s="277" t="s">
        <v>52</v>
      </c>
      <c r="E172" s="278">
        <v>564851011</v>
      </c>
      <c r="F172" s="279" t="s">
        <v>330</v>
      </c>
      <c r="G172" s="279"/>
      <c r="H172" s="279"/>
      <c r="I172" s="279"/>
      <c r="J172" s="38" t="s">
        <v>53</v>
      </c>
      <c r="K172" s="281">
        <f>SUM(K173:K173)</f>
        <v>9.6000000000000014</v>
      </c>
      <c r="L172" s="91"/>
      <c r="M172" s="91"/>
      <c r="N172" s="280">
        <f>ROUND(L172*K172,2)</f>
        <v>0</v>
      </c>
      <c r="O172" s="280"/>
      <c r="P172" s="280"/>
      <c r="Q172" s="280"/>
      <c r="R172" s="210"/>
      <c r="T172" s="25"/>
      <c r="Y172" s="142"/>
      <c r="Z172" s="142"/>
    </row>
    <row r="173" spans="2:26" s="360" customFormat="1" ht="10.199999999999999" customHeight="1" outlineLevel="1">
      <c r="B173" s="359"/>
      <c r="E173" s="361" t="s">
        <v>117</v>
      </c>
      <c r="F173" s="362" t="s">
        <v>327</v>
      </c>
      <c r="G173" s="363">
        <f t="shared" ref="G173:I173" si="17">(0.3*2)*1+(0.4*2)*1+0.3*3.87</f>
        <v>2.5609999999999999</v>
      </c>
      <c r="H173" s="363">
        <f t="shared" si="17"/>
        <v>2.5609999999999999</v>
      </c>
      <c r="I173" s="363">
        <f t="shared" si="17"/>
        <v>2.5609999999999999</v>
      </c>
      <c r="J173" s="50"/>
      <c r="K173" s="364">
        <f>K171</f>
        <v>9.6000000000000014</v>
      </c>
      <c r="L173" s="157"/>
      <c r="M173" s="157"/>
      <c r="R173" s="365"/>
      <c r="T173" s="51"/>
      <c r="U173" s="22"/>
      <c r="V173" s="22"/>
      <c r="W173" s="22"/>
      <c r="X173" s="22"/>
      <c r="Y173" s="22"/>
    </row>
    <row r="174" spans="2:26" outlineLevel="1">
      <c r="B174" s="209"/>
      <c r="C174" s="277">
        <f>C172+1</f>
        <v>21</v>
      </c>
      <c r="D174" s="277" t="s">
        <v>52</v>
      </c>
      <c r="E174" s="278">
        <v>591211111</v>
      </c>
      <c r="F174" s="279" t="s">
        <v>226</v>
      </c>
      <c r="G174" s="279"/>
      <c r="H174" s="279"/>
      <c r="I174" s="279"/>
      <c r="J174" s="38" t="s">
        <v>53</v>
      </c>
      <c r="K174" s="281">
        <f>K171</f>
        <v>9.6000000000000014</v>
      </c>
      <c r="L174" s="91"/>
      <c r="M174" s="91"/>
      <c r="N174" s="280">
        <f>ROUND(L174*K174,2)</f>
        <v>0</v>
      </c>
      <c r="O174" s="280"/>
      <c r="P174" s="280"/>
      <c r="Q174" s="280"/>
      <c r="R174" s="210"/>
      <c r="T174" s="25"/>
      <c r="Y174" s="142"/>
      <c r="Z174" s="142"/>
    </row>
    <row r="175" spans="2:26" ht="11.25" customHeight="1" outlineLevel="1">
      <c r="B175" s="209"/>
      <c r="C175" s="367">
        <f>C174+1</f>
        <v>22</v>
      </c>
      <c r="D175" s="367" t="s">
        <v>59</v>
      </c>
      <c r="E175" s="368">
        <v>58381005</v>
      </c>
      <c r="F175" s="369" t="s">
        <v>688</v>
      </c>
      <c r="G175" s="369"/>
      <c r="H175" s="369"/>
      <c r="I175" s="369"/>
      <c r="J175" s="39" t="s">
        <v>53</v>
      </c>
      <c r="K175" s="370">
        <f>SUM(K176)</f>
        <v>10.080000000000002</v>
      </c>
      <c r="L175" s="96"/>
      <c r="M175" s="96"/>
      <c r="N175" s="371">
        <f>ROUND(L175*K175,2)</f>
        <v>0</v>
      </c>
      <c r="O175" s="280"/>
      <c r="P175" s="280"/>
      <c r="Q175" s="280"/>
      <c r="R175" s="210"/>
      <c r="T175" s="25"/>
      <c r="Y175" s="142"/>
      <c r="Z175" s="142"/>
    </row>
    <row r="176" spans="2:26" s="360" customFormat="1" outlineLevel="1">
      <c r="B176" s="359"/>
      <c r="E176" s="361" t="s">
        <v>332</v>
      </c>
      <c r="F176" s="362" t="s">
        <v>370</v>
      </c>
      <c r="G176" s="363">
        <f t="shared" ref="G176:I176" si="18">(0.3*2)*1+(0.4*2)*1+0.3*3.87</f>
        <v>2.5609999999999999</v>
      </c>
      <c r="H176" s="363">
        <f t="shared" si="18"/>
        <v>2.5609999999999999</v>
      </c>
      <c r="I176" s="363">
        <f t="shared" si="18"/>
        <v>2.5609999999999999</v>
      </c>
      <c r="J176" s="151">
        <v>0.05</v>
      </c>
      <c r="K176" s="364">
        <f>K171*(1+J176)</f>
        <v>10.080000000000002</v>
      </c>
      <c r="L176" s="157"/>
      <c r="M176" s="157"/>
      <c r="R176" s="365"/>
      <c r="T176" s="51"/>
      <c r="U176" s="22"/>
      <c r="V176" s="22"/>
      <c r="W176" s="22"/>
    </row>
    <row r="177" spans="2:35" s="275" customFormat="1" outlineLevel="1">
      <c r="B177" s="267"/>
      <c r="C177" s="268"/>
      <c r="D177" s="268"/>
      <c r="E177" s="269" t="s">
        <v>319</v>
      </c>
      <c r="F177" s="270"/>
      <c r="G177" s="270"/>
      <c r="H177" s="270"/>
      <c r="I177" s="271"/>
      <c r="J177" s="49" t="s">
        <v>53</v>
      </c>
      <c r="K177" s="272">
        <f>K163</f>
        <v>23.9</v>
      </c>
      <c r="L177" s="92"/>
      <c r="M177" s="92"/>
      <c r="N177" s="273"/>
      <c r="O177" s="273"/>
      <c r="P177" s="273"/>
      <c r="Q177" s="273"/>
      <c r="R177" s="274"/>
      <c r="T177" s="48"/>
      <c r="U177" s="67"/>
      <c r="V177" s="67"/>
      <c r="W177" s="67"/>
      <c r="X177" s="67"/>
      <c r="Y177" s="68"/>
    </row>
    <row r="178" spans="2:35" outlineLevel="1">
      <c r="B178" s="209"/>
      <c r="C178" s="277">
        <f>C175+1</f>
        <v>23</v>
      </c>
      <c r="D178" s="277" t="s">
        <v>52</v>
      </c>
      <c r="E178" s="278">
        <v>564861011</v>
      </c>
      <c r="F178" s="279" t="s">
        <v>333</v>
      </c>
      <c r="G178" s="279"/>
      <c r="H178" s="279"/>
      <c r="I178" s="279"/>
      <c r="J178" s="38" t="s">
        <v>53</v>
      </c>
      <c r="K178" s="281">
        <f>SUM(K179:K179)</f>
        <v>23.9</v>
      </c>
      <c r="L178" s="91"/>
      <c r="M178" s="91"/>
      <c r="N178" s="280">
        <f>ROUND(L178*K178,2)</f>
        <v>0</v>
      </c>
      <c r="O178" s="280"/>
      <c r="P178" s="280"/>
      <c r="Q178" s="280"/>
      <c r="R178" s="210"/>
      <c r="T178" s="25"/>
      <c r="Y178" s="142"/>
      <c r="Z178" s="142"/>
    </row>
    <row r="179" spans="2:35" s="360" customFormat="1" ht="10.199999999999999" customHeight="1" outlineLevel="1">
      <c r="B179" s="359"/>
      <c r="E179" s="361" t="s">
        <v>117</v>
      </c>
      <c r="F179" s="362" t="s">
        <v>327</v>
      </c>
      <c r="G179" s="363">
        <f t="shared" ref="G179:I179" si="19">(0.3*2)*1+(0.4*2)*1+0.3*3.87</f>
        <v>2.5609999999999999</v>
      </c>
      <c r="H179" s="363">
        <f t="shared" si="19"/>
        <v>2.5609999999999999</v>
      </c>
      <c r="I179" s="363">
        <f t="shared" si="19"/>
        <v>2.5609999999999999</v>
      </c>
      <c r="J179" s="50"/>
      <c r="K179" s="364">
        <f>K177</f>
        <v>23.9</v>
      </c>
      <c r="L179" s="157"/>
      <c r="M179" s="157"/>
      <c r="R179" s="365"/>
      <c r="T179" s="51"/>
      <c r="U179" s="22"/>
      <c r="V179" s="22"/>
      <c r="W179" s="22"/>
      <c r="X179" s="22"/>
      <c r="Y179" s="22"/>
    </row>
    <row r="180" spans="2:35" outlineLevel="1">
      <c r="B180" s="209"/>
      <c r="C180" s="277">
        <f>C178+1</f>
        <v>24</v>
      </c>
      <c r="D180" s="277" t="s">
        <v>52</v>
      </c>
      <c r="E180" s="278">
        <v>564211012</v>
      </c>
      <c r="F180" s="279" t="s">
        <v>334</v>
      </c>
      <c r="G180" s="279"/>
      <c r="H180" s="279"/>
      <c r="I180" s="279"/>
      <c r="J180" s="38" t="s">
        <v>53</v>
      </c>
      <c r="K180" s="281">
        <f>SUM(K181:K181)</f>
        <v>23.9</v>
      </c>
      <c r="L180" s="91"/>
      <c r="M180" s="91"/>
      <c r="N180" s="280">
        <f>ROUND(L180*K180,2)</f>
        <v>0</v>
      </c>
      <c r="O180" s="280"/>
      <c r="P180" s="280"/>
      <c r="Q180" s="280"/>
      <c r="R180" s="210"/>
      <c r="T180" s="25"/>
      <c r="Y180" s="142"/>
      <c r="Z180" s="142"/>
    </row>
    <row r="181" spans="2:35" s="360" customFormat="1" outlineLevel="1">
      <c r="B181" s="359"/>
      <c r="E181" s="361" t="s">
        <v>335</v>
      </c>
      <c r="F181" s="362"/>
      <c r="G181" s="363"/>
      <c r="H181" s="363"/>
      <c r="I181" s="363"/>
      <c r="J181" s="50"/>
      <c r="K181" s="364">
        <f>K177</f>
        <v>23.9</v>
      </c>
      <c r="L181" s="157"/>
      <c r="M181" s="157"/>
      <c r="R181" s="365"/>
      <c r="T181" s="51"/>
      <c r="U181" s="22"/>
      <c r="V181" s="22"/>
      <c r="W181" s="22"/>
      <c r="X181" s="22"/>
      <c r="Y181" s="22"/>
    </row>
    <row r="182" spans="2:35" outlineLevel="1">
      <c r="B182" s="209"/>
      <c r="C182" s="277">
        <f>C180+1</f>
        <v>25</v>
      </c>
      <c r="D182" s="277" t="s">
        <v>52</v>
      </c>
      <c r="E182" s="278">
        <v>564201011</v>
      </c>
      <c r="F182" s="279" t="s">
        <v>337</v>
      </c>
      <c r="G182" s="279"/>
      <c r="H182" s="279"/>
      <c r="I182" s="279"/>
      <c r="J182" s="38" t="s">
        <v>53</v>
      </c>
      <c r="K182" s="281">
        <f>SUM(K183:K183)</f>
        <v>23.9</v>
      </c>
      <c r="L182" s="91"/>
      <c r="M182" s="91"/>
      <c r="N182" s="280">
        <f>ROUND(L182*K182,2)</f>
        <v>0</v>
      </c>
      <c r="O182" s="280"/>
      <c r="P182" s="280"/>
      <c r="Q182" s="280"/>
      <c r="R182" s="210"/>
      <c r="T182" s="25"/>
      <c r="Y182" s="142"/>
      <c r="Z182" s="142"/>
    </row>
    <row r="183" spans="2:35" s="360" customFormat="1" outlineLevel="1">
      <c r="B183" s="359"/>
      <c r="E183" s="361" t="s">
        <v>336</v>
      </c>
      <c r="F183" s="362"/>
      <c r="G183" s="363"/>
      <c r="H183" s="363"/>
      <c r="I183" s="363"/>
      <c r="J183" s="50"/>
      <c r="K183" s="364">
        <f>K177</f>
        <v>23.9</v>
      </c>
      <c r="L183" s="157"/>
      <c r="M183" s="157"/>
      <c r="R183" s="365"/>
      <c r="T183" s="51"/>
      <c r="U183" s="22"/>
      <c r="V183" s="22"/>
      <c r="W183" s="22"/>
      <c r="X183" s="22"/>
      <c r="Y183" s="22"/>
    </row>
    <row r="184" spans="2:35" ht="11.25" customHeight="1" outlineLevel="1">
      <c r="B184" s="209"/>
      <c r="C184" s="367">
        <f t="shared" ref="C184" si="20">C182+1</f>
        <v>26</v>
      </c>
      <c r="D184" s="367" t="s">
        <v>59</v>
      </c>
      <c r="E184" s="368" t="s">
        <v>338</v>
      </c>
      <c r="F184" s="369" t="s">
        <v>339</v>
      </c>
      <c r="G184" s="369"/>
      <c r="H184" s="369"/>
      <c r="I184" s="369"/>
      <c r="J184" s="39" t="s">
        <v>56</v>
      </c>
      <c r="K184" s="370">
        <f>SUM(K185)</f>
        <v>2.0792999999999995</v>
      </c>
      <c r="L184" s="96"/>
      <c r="M184" s="96"/>
      <c r="N184" s="371">
        <f t="shared" ref="N184:N186" si="21">ROUND(L184*K184,2)</f>
        <v>0</v>
      </c>
      <c r="O184" s="280"/>
      <c r="P184" s="280"/>
      <c r="Q184" s="280"/>
      <c r="R184" s="210"/>
      <c r="T184" s="25"/>
      <c r="Y184" s="142"/>
      <c r="Z184" s="142"/>
    </row>
    <row r="185" spans="2:35" s="360" customFormat="1" outlineLevel="1">
      <c r="B185" s="359"/>
      <c r="E185" s="361" t="s">
        <v>335</v>
      </c>
      <c r="F185" s="362"/>
      <c r="G185" s="363"/>
      <c r="H185" s="363"/>
      <c r="I185" s="363"/>
      <c r="J185" s="50">
        <v>0.06</v>
      </c>
      <c r="K185" s="364">
        <f>K177*1.45*J185</f>
        <v>2.0792999999999995</v>
      </c>
      <c r="L185" s="157"/>
      <c r="M185" s="157"/>
      <c r="R185" s="365"/>
      <c r="T185" s="51"/>
      <c r="U185" s="22"/>
      <c r="V185" s="22"/>
      <c r="W185" s="22"/>
      <c r="X185" s="22"/>
      <c r="Y185" s="22"/>
    </row>
    <row r="186" spans="2:35" ht="11.25" customHeight="1" outlineLevel="1">
      <c r="B186" s="209"/>
      <c r="C186" s="367">
        <f>C184+1</f>
        <v>27</v>
      </c>
      <c r="D186" s="367" t="s">
        <v>59</v>
      </c>
      <c r="E186" s="368" t="s">
        <v>341</v>
      </c>
      <c r="F186" s="369" t="s">
        <v>340</v>
      </c>
      <c r="G186" s="369"/>
      <c r="H186" s="369"/>
      <c r="I186" s="369"/>
      <c r="J186" s="39" t="s">
        <v>56</v>
      </c>
      <c r="K186" s="370">
        <f>SUM(K187)</f>
        <v>1.3861999999999999</v>
      </c>
      <c r="L186" s="96"/>
      <c r="M186" s="96"/>
      <c r="N186" s="371">
        <f t="shared" si="21"/>
        <v>0</v>
      </c>
      <c r="O186" s="280"/>
      <c r="P186" s="280"/>
      <c r="Q186" s="280"/>
      <c r="R186" s="210"/>
      <c r="T186" s="25"/>
      <c r="Y186" s="142"/>
      <c r="Z186" s="142"/>
    </row>
    <row r="187" spans="2:35" s="360" customFormat="1" outlineLevel="1">
      <c r="B187" s="359"/>
      <c r="E187" s="361" t="s">
        <v>336</v>
      </c>
      <c r="F187" s="362"/>
      <c r="G187" s="363"/>
      <c r="H187" s="363"/>
      <c r="I187" s="363"/>
      <c r="J187" s="50">
        <v>0.04</v>
      </c>
      <c r="K187" s="364">
        <f>K177*1.45*J187</f>
        <v>1.3861999999999999</v>
      </c>
      <c r="L187" s="157"/>
      <c r="M187" s="157"/>
      <c r="R187" s="365"/>
      <c r="T187" s="51"/>
      <c r="U187" s="22"/>
      <c r="V187" s="22"/>
      <c r="W187" s="22"/>
      <c r="X187" s="22"/>
      <c r="Y187" s="22"/>
    </row>
    <row r="188" spans="2:35" s="275" customFormat="1" outlineLevel="1">
      <c r="B188" s="267"/>
      <c r="C188" s="268"/>
      <c r="D188" s="268"/>
      <c r="E188" s="269" t="s">
        <v>312</v>
      </c>
      <c r="F188" s="270"/>
      <c r="G188" s="270"/>
      <c r="H188" s="270"/>
      <c r="I188" s="271"/>
      <c r="J188" s="49" t="s">
        <v>53</v>
      </c>
      <c r="K188" s="272">
        <f>K164</f>
        <v>70.300000000000011</v>
      </c>
      <c r="L188" s="92"/>
      <c r="M188" s="92"/>
      <c r="N188" s="273"/>
      <c r="O188" s="273"/>
      <c r="P188" s="273"/>
      <c r="Q188" s="273"/>
      <c r="R188" s="274"/>
      <c r="T188" s="48"/>
      <c r="U188" s="67"/>
      <c r="V188" s="67"/>
      <c r="W188" s="67"/>
      <c r="X188" s="67"/>
      <c r="Y188" s="68"/>
    </row>
    <row r="189" spans="2:35" outlineLevel="1">
      <c r="B189" s="209"/>
      <c r="C189" s="277">
        <f>C186+1</f>
        <v>28</v>
      </c>
      <c r="D189" s="277" t="s">
        <v>52</v>
      </c>
      <c r="E189" s="278">
        <v>171203111</v>
      </c>
      <c r="F189" s="279" t="s">
        <v>342</v>
      </c>
      <c r="G189" s="279"/>
      <c r="H189" s="279"/>
      <c r="I189" s="279"/>
      <c r="J189" s="38" t="s">
        <v>54</v>
      </c>
      <c r="K189" s="281">
        <f>SUM(K191:K191)</f>
        <v>14.060000000000002</v>
      </c>
      <c r="L189" s="91"/>
      <c r="M189" s="91"/>
      <c r="N189" s="280">
        <f>ROUND(L189*K189,2)</f>
        <v>0</v>
      </c>
      <c r="O189" s="280"/>
      <c r="P189" s="280"/>
      <c r="Q189" s="280"/>
      <c r="R189" s="210"/>
      <c r="T189" s="25"/>
      <c r="U189" s="141">
        <v>-1.6</v>
      </c>
      <c r="X189" s="141">
        <f>U189*K189</f>
        <v>-22.496000000000006</v>
      </c>
      <c r="Y189" s="142"/>
      <c r="Z189" s="142"/>
    </row>
    <row r="190" spans="2:35" s="360" customFormat="1" ht="10.199999999999999" customHeight="1" outlineLevel="1">
      <c r="B190" s="359"/>
      <c r="E190" s="387" t="s">
        <v>768</v>
      </c>
      <c r="F190" s="387"/>
      <c r="G190" s="387"/>
      <c r="H190" s="387"/>
      <c r="I190" s="387"/>
      <c r="J190" s="50"/>
      <c r="K190" s="364"/>
      <c r="L190" s="157"/>
      <c r="M190" s="157"/>
      <c r="R190" s="365"/>
      <c r="T190" s="51"/>
      <c r="U190" s="141"/>
      <c r="V190" s="22"/>
      <c r="W190" s="22"/>
      <c r="X190" s="22"/>
      <c r="Y190" s="22"/>
      <c r="Z190" s="22"/>
      <c r="AA190" s="22"/>
      <c r="AB190" s="22"/>
      <c r="AC190" s="22"/>
      <c r="AD190" s="366"/>
      <c r="AE190" s="141"/>
      <c r="AF190" s="141"/>
      <c r="AG190" s="141"/>
      <c r="AI190" s="141"/>
    </row>
    <row r="191" spans="2:35" s="360" customFormat="1" outlineLevel="1">
      <c r="B191" s="359"/>
      <c r="E191" s="361" t="s">
        <v>343</v>
      </c>
      <c r="F191" s="362" t="s">
        <v>344</v>
      </c>
      <c r="G191" s="363">
        <f t="shared" ref="G191:I191" si="22">(0.3*2)*1+(0.4*2)*1+0.3*3.87</f>
        <v>2.5609999999999999</v>
      </c>
      <c r="H191" s="363">
        <f t="shared" si="22"/>
        <v>2.5609999999999999</v>
      </c>
      <c r="I191" s="363">
        <f t="shared" si="22"/>
        <v>2.5609999999999999</v>
      </c>
      <c r="J191" s="50">
        <v>0.2</v>
      </c>
      <c r="K191" s="364">
        <f>K188*J191</f>
        <v>14.060000000000002</v>
      </c>
      <c r="L191" s="157"/>
      <c r="M191" s="157"/>
      <c r="R191" s="365"/>
      <c r="T191" s="51"/>
      <c r="U191" s="22"/>
      <c r="V191" s="22"/>
      <c r="W191" s="22"/>
      <c r="X191" s="22"/>
      <c r="Y191" s="22"/>
    </row>
    <row r="192" spans="2:35" s="275" customFormat="1" outlineLevel="1">
      <c r="B192" s="267"/>
      <c r="C192" s="268"/>
      <c r="D192" s="268"/>
      <c r="E192" s="269" t="s">
        <v>506</v>
      </c>
      <c r="F192" s="270"/>
      <c r="G192" s="270"/>
      <c r="H192" s="270"/>
      <c r="I192" s="271"/>
      <c r="J192" s="57"/>
      <c r="K192" s="272"/>
      <c r="L192" s="92"/>
      <c r="M192" s="92"/>
      <c r="N192" s="273"/>
      <c r="O192" s="273"/>
      <c r="P192" s="273"/>
      <c r="Q192" s="273"/>
      <c r="R192" s="274"/>
      <c r="T192" s="48"/>
      <c r="U192" s="391"/>
      <c r="V192" s="24"/>
      <c r="W192" s="71"/>
      <c r="X192" s="71"/>
      <c r="Y192" s="70">
        <f>SUM(Y197:Y406)</f>
        <v>0</v>
      </c>
      <c r="Z192" s="375"/>
    </row>
    <row r="193" spans="2:26" outlineLevel="1">
      <c r="B193" s="209"/>
      <c r="C193" s="277">
        <f>C189+1</f>
        <v>29</v>
      </c>
      <c r="D193" s="277" t="s">
        <v>52</v>
      </c>
      <c r="E193" s="278">
        <v>213311151</v>
      </c>
      <c r="F193" s="279" t="s">
        <v>507</v>
      </c>
      <c r="G193" s="279"/>
      <c r="H193" s="279"/>
      <c r="I193" s="279"/>
      <c r="J193" s="38" t="s">
        <v>54</v>
      </c>
      <c r="K193" s="281">
        <f>SUM(K194:K194)</f>
        <v>2.8499999999999996</v>
      </c>
      <c r="L193" s="91"/>
      <c r="M193" s="91"/>
      <c r="N193" s="280">
        <f>ROUND(L193*K193,2)</f>
        <v>0</v>
      </c>
      <c r="O193" s="280"/>
      <c r="P193" s="280"/>
      <c r="Q193" s="280"/>
      <c r="R193" s="210"/>
      <c r="T193" s="25"/>
    </row>
    <row r="194" spans="2:26" s="360" customFormat="1" outlineLevel="1">
      <c r="B194" s="359"/>
      <c r="E194" s="361" t="s">
        <v>508</v>
      </c>
      <c r="F194" s="362" t="s">
        <v>509</v>
      </c>
      <c r="G194" s="363">
        <f t="shared" ref="G194:I194" si="23">1.9*1.5</f>
        <v>2.8499999999999996</v>
      </c>
      <c r="H194" s="363">
        <f t="shared" si="23"/>
        <v>2.8499999999999996</v>
      </c>
      <c r="I194" s="363">
        <f t="shared" si="23"/>
        <v>2.8499999999999996</v>
      </c>
      <c r="J194" s="50"/>
      <c r="K194" s="364">
        <f>1.9*1.5</f>
        <v>2.8499999999999996</v>
      </c>
      <c r="L194" s="157"/>
      <c r="M194" s="157"/>
      <c r="R194" s="365"/>
      <c r="W194" s="141"/>
      <c r="X194" s="141"/>
      <c r="Y194" s="141"/>
      <c r="Z194" s="141"/>
    </row>
    <row r="195" spans="2:26" outlineLevel="1">
      <c r="B195" s="209"/>
      <c r="C195" s="277">
        <f>C193+1</f>
        <v>30</v>
      </c>
      <c r="D195" s="277" t="s">
        <v>52</v>
      </c>
      <c r="E195" s="278">
        <v>434311115</v>
      </c>
      <c r="F195" s="279" t="s">
        <v>193</v>
      </c>
      <c r="G195" s="279"/>
      <c r="H195" s="279"/>
      <c r="I195" s="279"/>
      <c r="J195" s="38" t="s">
        <v>58</v>
      </c>
      <c r="K195" s="281">
        <f>SUM(K196:K196)</f>
        <v>16.5</v>
      </c>
      <c r="L195" s="91"/>
      <c r="M195" s="91"/>
      <c r="N195" s="280">
        <f>ROUND(L195*K195,2)</f>
        <v>0</v>
      </c>
      <c r="O195" s="280"/>
      <c r="P195" s="280"/>
      <c r="Q195" s="280"/>
      <c r="R195" s="210"/>
    </row>
    <row r="196" spans="2:26" s="360" customFormat="1" outlineLevel="1">
      <c r="B196" s="359"/>
      <c r="E196" s="361" t="s">
        <v>510</v>
      </c>
      <c r="F196" s="362" t="s">
        <v>512</v>
      </c>
      <c r="G196" s="363">
        <f t="shared" ref="G196:I198" si="24">1.5*11</f>
        <v>16.5</v>
      </c>
      <c r="H196" s="363">
        <f t="shared" si="24"/>
        <v>16.5</v>
      </c>
      <c r="I196" s="363">
        <f t="shared" si="24"/>
        <v>16.5</v>
      </c>
      <c r="J196" s="50"/>
      <c r="K196" s="364">
        <f>1.5*11</f>
        <v>16.5</v>
      </c>
      <c r="L196" s="157"/>
      <c r="M196" s="157"/>
      <c r="R196" s="365"/>
      <c r="W196" s="141"/>
      <c r="X196" s="141"/>
      <c r="Y196" s="141"/>
      <c r="Z196" s="141"/>
    </row>
    <row r="197" spans="2:26" outlineLevel="1">
      <c r="B197" s="209"/>
      <c r="C197" s="277">
        <f>C195+1</f>
        <v>31</v>
      </c>
      <c r="D197" s="277" t="s">
        <v>52</v>
      </c>
      <c r="E197" s="278">
        <v>434191423</v>
      </c>
      <c r="F197" s="279" t="s">
        <v>511</v>
      </c>
      <c r="G197" s="279"/>
      <c r="H197" s="279"/>
      <c r="I197" s="279"/>
      <c r="J197" s="38" t="s">
        <v>58</v>
      </c>
      <c r="K197" s="281">
        <f>SUM(K198:K198)</f>
        <v>16.5</v>
      </c>
      <c r="L197" s="91"/>
      <c r="M197" s="91"/>
      <c r="N197" s="280">
        <f>ROUND(L197*K197,2)</f>
        <v>0</v>
      </c>
      <c r="O197" s="280"/>
      <c r="P197" s="280"/>
      <c r="Q197" s="280"/>
      <c r="R197" s="210"/>
    </row>
    <row r="198" spans="2:26" s="360" customFormat="1" outlineLevel="1">
      <c r="B198" s="359"/>
      <c r="E198" s="361" t="s">
        <v>475</v>
      </c>
      <c r="F198" s="362" t="s">
        <v>512</v>
      </c>
      <c r="G198" s="363">
        <f t="shared" si="24"/>
        <v>16.5</v>
      </c>
      <c r="H198" s="363">
        <f t="shared" si="24"/>
        <v>16.5</v>
      </c>
      <c r="I198" s="363">
        <f t="shared" si="24"/>
        <v>16.5</v>
      </c>
      <c r="J198" s="50"/>
      <c r="K198" s="364">
        <f>1.5*11</f>
        <v>16.5</v>
      </c>
      <c r="L198" s="157"/>
      <c r="M198" s="157"/>
      <c r="R198" s="365"/>
      <c r="W198" s="141"/>
      <c r="X198" s="141"/>
      <c r="Y198" s="141"/>
      <c r="Z198" s="141"/>
    </row>
    <row r="199" spans="2:26" ht="11.25" customHeight="1" outlineLevel="1">
      <c r="B199" s="209"/>
      <c r="C199" s="367">
        <f>C197+1</f>
        <v>32</v>
      </c>
      <c r="D199" s="367" t="s">
        <v>52</v>
      </c>
      <c r="E199" s="392" t="s">
        <v>338</v>
      </c>
      <c r="F199" s="369" t="s">
        <v>513</v>
      </c>
      <c r="G199" s="369"/>
      <c r="H199" s="369"/>
      <c r="I199" s="369"/>
      <c r="J199" s="39" t="s">
        <v>57</v>
      </c>
      <c r="K199" s="370">
        <v>11</v>
      </c>
      <c r="L199" s="96"/>
      <c r="M199" s="96"/>
      <c r="N199" s="371">
        <f>ROUND(L199*K199,2)</f>
        <v>0</v>
      </c>
      <c r="O199" s="280"/>
      <c r="P199" s="280"/>
      <c r="Q199" s="280"/>
      <c r="R199" s="210"/>
      <c r="T199" s="25"/>
      <c r="Y199" s="142"/>
      <c r="Z199" s="142"/>
    </row>
    <row r="200" spans="2:26" s="354" customFormat="1" outlineLevel="1">
      <c r="B200" s="353"/>
      <c r="E200" s="358"/>
      <c r="F200" s="358"/>
      <c r="G200" s="358"/>
      <c r="H200" s="358"/>
      <c r="I200" s="358"/>
      <c r="J200" s="358"/>
      <c r="K200" s="358"/>
      <c r="L200" s="156"/>
      <c r="M200" s="156"/>
      <c r="R200" s="356"/>
      <c r="T200" s="52"/>
      <c r="U200" s="276"/>
      <c r="V200" s="67"/>
      <c r="W200" s="22"/>
      <c r="X200" s="70"/>
      <c r="Y200" s="70"/>
      <c r="Z200" s="375"/>
    </row>
    <row r="201" spans="2:26" s="275" customFormat="1" outlineLevel="1">
      <c r="B201" s="267"/>
      <c r="C201" s="268"/>
      <c r="D201" s="268"/>
      <c r="E201" s="269" t="s">
        <v>139</v>
      </c>
      <c r="F201" s="270"/>
      <c r="G201" s="270"/>
      <c r="H201" s="270"/>
      <c r="I201" s="271"/>
      <c r="J201" s="49" t="s">
        <v>53</v>
      </c>
      <c r="K201" s="272">
        <f>K167</f>
        <v>8.9</v>
      </c>
      <c r="L201" s="92"/>
      <c r="M201" s="92"/>
      <c r="N201" s="273"/>
      <c r="O201" s="273"/>
      <c r="P201" s="273"/>
      <c r="Q201" s="273"/>
      <c r="R201" s="274"/>
      <c r="T201" s="48"/>
      <c r="U201" s="276"/>
      <c r="V201" s="67"/>
      <c r="W201" s="70"/>
      <c r="X201" s="70"/>
      <c r="Y201" s="70">
        <f>SUM(Y274:Y436)</f>
        <v>0</v>
      </c>
      <c r="Z201" s="375"/>
    </row>
    <row r="202" spans="2:26" ht="10.199999999999999" customHeight="1" outlineLevel="1">
      <c r="B202" s="209"/>
      <c r="C202" s="277">
        <f>C199+1</f>
        <v>33</v>
      </c>
      <c r="D202" s="277" t="s">
        <v>52</v>
      </c>
      <c r="E202" s="278">
        <v>978023411</v>
      </c>
      <c r="F202" s="279" t="s">
        <v>514</v>
      </c>
      <c r="G202" s="279"/>
      <c r="H202" s="279"/>
      <c r="I202" s="279"/>
      <c r="J202" s="38" t="s">
        <v>53</v>
      </c>
      <c r="K202" s="281">
        <f>K201</f>
        <v>8.9</v>
      </c>
      <c r="L202" s="91"/>
      <c r="M202" s="91"/>
      <c r="N202" s="280">
        <f>ROUND(L202*K202,2)</f>
        <v>0</v>
      </c>
      <c r="O202" s="280"/>
      <c r="P202" s="280"/>
      <c r="Q202" s="280"/>
      <c r="R202" s="210"/>
      <c r="T202" s="25"/>
    </row>
    <row r="203" spans="2:26" ht="10.199999999999999" customHeight="1" outlineLevel="1">
      <c r="B203" s="209"/>
      <c r="C203" s="277">
        <f t="shared" ref="C203:C206" si="25">C202+1</f>
        <v>34</v>
      </c>
      <c r="D203" s="277" t="s">
        <v>52</v>
      </c>
      <c r="E203" s="278">
        <v>622125101</v>
      </c>
      <c r="F203" s="279" t="s">
        <v>148</v>
      </c>
      <c r="G203" s="279"/>
      <c r="H203" s="279"/>
      <c r="I203" s="279"/>
      <c r="J203" s="38" t="s">
        <v>53</v>
      </c>
      <c r="K203" s="281">
        <f>K201</f>
        <v>8.9</v>
      </c>
      <c r="L203" s="91"/>
      <c r="M203" s="91"/>
      <c r="N203" s="280">
        <f>ROUND(L203*K203,2)</f>
        <v>0</v>
      </c>
      <c r="O203" s="280"/>
      <c r="P203" s="280"/>
      <c r="Q203" s="280"/>
      <c r="R203" s="210"/>
      <c r="T203" s="25"/>
    </row>
    <row r="204" spans="2:26" outlineLevel="1">
      <c r="B204" s="209"/>
      <c r="C204" s="277">
        <f t="shared" si="25"/>
        <v>35</v>
      </c>
      <c r="D204" s="277" t="s">
        <v>52</v>
      </c>
      <c r="E204" s="278">
        <v>622131151</v>
      </c>
      <c r="F204" s="279" t="s">
        <v>156</v>
      </c>
      <c r="G204" s="279"/>
      <c r="H204" s="279"/>
      <c r="I204" s="279"/>
      <c r="J204" s="38" t="s">
        <v>53</v>
      </c>
      <c r="K204" s="281">
        <f>K201</f>
        <v>8.9</v>
      </c>
      <c r="L204" s="91"/>
      <c r="M204" s="91"/>
      <c r="N204" s="280">
        <f>ROUND(L204*K204,2)</f>
        <v>0</v>
      </c>
      <c r="O204" s="280"/>
      <c r="P204" s="280"/>
      <c r="Q204" s="280"/>
      <c r="R204" s="210"/>
      <c r="T204" s="25"/>
    </row>
    <row r="205" spans="2:26" outlineLevel="1">
      <c r="B205" s="209"/>
      <c r="C205" s="277">
        <f t="shared" si="25"/>
        <v>36</v>
      </c>
      <c r="D205" s="277" t="s">
        <v>52</v>
      </c>
      <c r="E205" s="278">
        <v>622326121</v>
      </c>
      <c r="F205" s="279" t="s">
        <v>157</v>
      </c>
      <c r="G205" s="279"/>
      <c r="H205" s="279"/>
      <c r="I205" s="279"/>
      <c r="J205" s="38" t="s">
        <v>53</v>
      </c>
      <c r="K205" s="281">
        <f>K201</f>
        <v>8.9</v>
      </c>
      <c r="L205" s="91"/>
      <c r="M205" s="91"/>
      <c r="N205" s="280">
        <f t="shared" ref="N205:N217" si="26">ROUND(L205*K205,2)</f>
        <v>0</v>
      </c>
      <c r="O205" s="280"/>
      <c r="P205" s="280"/>
      <c r="Q205" s="280"/>
      <c r="R205" s="210"/>
      <c r="T205" s="25"/>
    </row>
    <row r="206" spans="2:26" outlineLevel="1">
      <c r="B206" s="209"/>
      <c r="C206" s="277">
        <f t="shared" si="25"/>
        <v>37</v>
      </c>
      <c r="D206" s="277" t="s">
        <v>52</v>
      </c>
      <c r="E206" s="278">
        <v>212312111</v>
      </c>
      <c r="F206" s="279" t="s">
        <v>515</v>
      </c>
      <c r="G206" s="279"/>
      <c r="H206" s="279"/>
      <c r="I206" s="279"/>
      <c r="J206" s="38" t="s">
        <v>54</v>
      </c>
      <c r="K206" s="281">
        <f>SUM(K207)</f>
        <v>0.504</v>
      </c>
      <c r="L206" s="91"/>
      <c r="M206" s="91"/>
      <c r="N206" s="280">
        <f t="shared" si="26"/>
        <v>0</v>
      </c>
      <c r="O206" s="280"/>
      <c r="P206" s="280"/>
      <c r="Q206" s="280"/>
      <c r="R206" s="210"/>
      <c r="T206" s="25"/>
    </row>
    <row r="207" spans="2:26" s="360" customFormat="1" outlineLevel="1">
      <c r="B207" s="359"/>
      <c r="E207" s="361" t="s">
        <v>516</v>
      </c>
      <c r="F207" s="362" t="s">
        <v>517</v>
      </c>
      <c r="G207" s="363">
        <f t="shared" ref="G207:I207" si="27">9.6*0.6*(0.1+0.075)/2</f>
        <v>0.504</v>
      </c>
      <c r="H207" s="363">
        <f t="shared" si="27"/>
        <v>0.504</v>
      </c>
      <c r="I207" s="363">
        <f t="shared" si="27"/>
        <v>0.504</v>
      </c>
      <c r="J207" s="50"/>
      <c r="K207" s="364">
        <f>9.6*0.6*(0.1+0.075)/2</f>
        <v>0.504</v>
      </c>
      <c r="L207" s="157"/>
      <c r="M207" s="157"/>
      <c r="R207" s="365"/>
      <c r="T207" s="51"/>
      <c r="W207" s="141"/>
      <c r="X207" s="141"/>
      <c r="Y207" s="141"/>
      <c r="Z207" s="141"/>
    </row>
    <row r="208" spans="2:26" outlineLevel="1">
      <c r="B208" s="209"/>
      <c r="C208" s="277">
        <f>C206+1</f>
        <v>38</v>
      </c>
      <c r="D208" s="277" t="s">
        <v>52</v>
      </c>
      <c r="E208" s="278">
        <v>711111001</v>
      </c>
      <c r="F208" s="279" t="s">
        <v>165</v>
      </c>
      <c r="G208" s="279"/>
      <c r="H208" s="279"/>
      <c r="I208" s="279"/>
      <c r="J208" s="38" t="s">
        <v>53</v>
      </c>
      <c r="K208" s="281">
        <f>SUM(K209:K209)</f>
        <v>5.76</v>
      </c>
      <c r="L208" s="91"/>
      <c r="M208" s="91"/>
      <c r="N208" s="280">
        <f t="shared" si="26"/>
        <v>0</v>
      </c>
      <c r="O208" s="280"/>
      <c r="P208" s="280"/>
      <c r="Q208" s="280"/>
      <c r="R208" s="210"/>
      <c r="T208" s="25"/>
    </row>
    <row r="209" spans="1:37" s="360" customFormat="1" outlineLevel="1">
      <c r="B209" s="359"/>
      <c r="E209" s="361" t="s">
        <v>518</v>
      </c>
      <c r="F209" s="362" t="s">
        <v>519</v>
      </c>
      <c r="G209" s="363">
        <f t="shared" ref="G209:I209" si="28">9.6*0.6</f>
        <v>5.76</v>
      </c>
      <c r="H209" s="363">
        <f t="shared" si="28"/>
        <v>5.76</v>
      </c>
      <c r="I209" s="363">
        <f t="shared" si="28"/>
        <v>5.76</v>
      </c>
      <c r="J209" s="50"/>
      <c r="K209" s="364">
        <f>9.6*0.6</f>
        <v>5.76</v>
      </c>
      <c r="L209" s="157"/>
      <c r="M209" s="157"/>
      <c r="R209" s="365"/>
      <c r="T209" s="51"/>
      <c r="W209" s="141"/>
      <c r="X209" s="141"/>
      <c r="Y209" s="141"/>
      <c r="Z209" s="141"/>
    </row>
    <row r="210" spans="1:37" outlineLevel="1">
      <c r="B210" s="209"/>
      <c r="C210" s="277">
        <f>C208+1</f>
        <v>39</v>
      </c>
      <c r="D210" s="277" t="s">
        <v>52</v>
      </c>
      <c r="E210" s="278">
        <v>711112001</v>
      </c>
      <c r="F210" s="279" t="s">
        <v>166</v>
      </c>
      <c r="G210" s="279"/>
      <c r="H210" s="279"/>
      <c r="I210" s="279"/>
      <c r="J210" s="38" t="s">
        <v>53</v>
      </c>
      <c r="K210" s="281">
        <f>K201</f>
        <v>8.9</v>
      </c>
      <c r="L210" s="91"/>
      <c r="M210" s="91"/>
      <c r="N210" s="280">
        <f t="shared" si="26"/>
        <v>0</v>
      </c>
      <c r="O210" s="280"/>
      <c r="P210" s="280"/>
      <c r="Q210" s="280"/>
      <c r="R210" s="210"/>
      <c r="T210" s="25"/>
    </row>
    <row r="211" spans="1:37" outlineLevel="1">
      <c r="B211" s="209"/>
      <c r="C211" s="367">
        <f>C208+1</f>
        <v>39</v>
      </c>
      <c r="D211" s="367" t="s">
        <v>59</v>
      </c>
      <c r="E211" s="368" t="s">
        <v>169</v>
      </c>
      <c r="F211" s="377" t="s">
        <v>170</v>
      </c>
      <c r="G211" s="378"/>
      <c r="H211" s="378"/>
      <c r="I211" s="379"/>
      <c r="J211" s="39" t="s">
        <v>98</v>
      </c>
      <c r="K211" s="370">
        <f>SUM(K212)</f>
        <v>2.9320000000000004</v>
      </c>
      <c r="L211" s="99"/>
      <c r="M211" s="100"/>
      <c r="N211" s="380">
        <f>ROUND(L211*K211,2)</f>
        <v>0</v>
      </c>
      <c r="O211" s="381"/>
      <c r="P211" s="381"/>
      <c r="Q211" s="382"/>
      <c r="R211" s="210"/>
      <c r="V211" s="66"/>
      <c r="W211" s="22"/>
      <c r="X211" s="22"/>
      <c r="Y211" s="22"/>
      <c r="Z211" s="22"/>
      <c r="AA211" s="22"/>
      <c r="AB211" s="22"/>
      <c r="AC211" s="22"/>
      <c r="AD211" s="366"/>
      <c r="AE211" s="141"/>
      <c r="AF211" s="141"/>
      <c r="AG211" s="22"/>
      <c r="AH211" s="22"/>
      <c r="AI211" s="22"/>
      <c r="AJ211" s="22"/>
      <c r="AK211" s="22"/>
    </row>
    <row r="212" spans="1:37" s="360" customFormat="1" outlineLevel="1">
      <c r="A212" s="142"/>
      <c r="B212" s="209"/>
      <c r="E212" s="361" t="s">
        <v>167</v>
      </c>
      <c r="F212" s="362" t="s">
        <v>171</v>
      </c>
      <c r="G212" s="363"/>
      <c r="H212" s="363"/>
      <c r="I212" s="363"/>
      <c r="J212" s="50">
        <v>0.2</v>
      </c>
      <c r="K212" s="364">
        <f>(K208+K210)*J212</f>
        <v>2.9320000000000004</v>
      </c>
      <c r="L212" s="157"/>
      <c r="M212" s="157"/>
      <c r="R212" s="210"/>
      <c r="S212" s="142"/>
    </row>
    <row r="213" spans="1:37" ht="27" customHeight="1" outlineLevel="1">
      <c r="B213" s="209"/>
      <c r="C213" s="277">
        <f>C210+1</f>
        <v>40</v>
      </c>
      <c r="D213" s="277" t="s">
        <v>52</v>
      </c>
      <c r="E213" s="278">
        <v>711413111</v>
      </c>
      <c r="F213" s="388" t="s">
        <v>161</v>
      </c>
      <c r="G213" s="389"/>
      <c r="H213" s="389"/>
      <c r="I213" s="390"/>
      <c r="J213" s="38" t="s">
        <v>53</v>
      </c>
      <c r="K213" s="281">
        <f>K208</f>
        <v>5.76</v>
      </c>
      <c r="L213" s="97"/>
      <c r="M213" s="98"/>
      <c r="N213" s="393">
        <f t="shared" si="26"/>
        <v>0</v>
      </c>
      <c r="O213" s="394"/>
      <c r="P213" s="394"/>
      <c r="Q213" s="395"/>
      <c r="R213" s="210"/>
      <c r="T213" s="25"/>
    </row>
    <row r="214" spans="1:37" ht="27" customHeight="1" outlineLevel="1">
      <c r="B214" s="209"/>
      <c r="C214" s="277">
        <f t="shared" ref="C214:C218" si="29">C213+1</f>
        <v>41</v>
      </c>
      <c r="D214" s="277" t="s">
        <v>52</v>
      </c>
      <c r="E214" s="278">
        <v>711413121</v>
      </c>
      <c r="F214" s="388" t="s">
        <v>162</v>
      </c>
      <c r="G214" s="389"/>
      <c r="H214" s="389"/>
      <c r="I214" s="390"/>
      <c r="J214" s="38" t="s">
        <v>53</v>
      </c>
      <c r="K214" s="281">
        <f>K210</f>
        <v>8.9</v>
      </c>
      <c r="L214" s="97"/>
      <c r="M214" s="98"/>
      <c r="N214" s="393">
        <f t="shared" si="26"/>
        <v>0</v>
      </c>
      <c r="O214" s="394"/>
      <c r="P214" s="394"/>
      <c r="Q214" s="395"/>
      <c r="R214" s="210"/>
      <c r="T214" s="25"/>
    </row>
    <row r="215" spans="1:37" ht="27" customHeight="1" outlineLevel="1">
      <c r="B215" s="209"/>
      <c r="C215" s="277">
        <f>C214+1</f>
        <v>42</v>
      </c>
      <c r="D215" s="277" t="s">
        <v>52</v>
      </c>
      <c r="E215" s="278">
        <v>711161122</v>
      </c>
      <c r="F215" s="388" t="s">
        <v>174</v>
      </c>
      <c r="G215" s="389"/>
      <c r="H215" s="389"/>
      <c r="I215" s="390"/>
      <c r="J215" s="38" t="s">
        <v>53</v>
      </c>
      <c r="K215" s="281">
        <f>K213</f>
        <v>5.76</v>
      </c>
      <c r="L215" s="97"/>
      <c r="M215" s="98"/>
      <c r="N215" s="393">
        <f t="shared" si="26"/>
        <v>0</v>
      </c>
      <c r="O215" s="394"/>
      <c r="P215" s="394"/>
      <c r="Q215" s="395"/>
      <c r="R215" s="210"/>
      <c r="T215" s="25"/>
    </row>
    <row r="216" spans="1:37" ht="27" customHeight="1" outlineLevel="1">
      <c r="B216" s="209"/>
      <c r="C216" s="277">
        <f t="shared" si="29"/>
        <v>43</v>
      </c>
      <c r="D216" s="277" t="s">
        <v>52</v>
      </c>
      <c r="E216" s="278">
        <v>711161222</v>
      </c>
      <c r="F216" s="388" t="s">
        <v>175</v>
      </c>
      <c r="G216" s="389"/>
      <c r="H216" s="389"/>
      <c r="I216" s="390"/>
      <c r="J216" s="38" t="s">
        <v>53</v>
      </c>
      <c r="K216" s="281">
        <f>K214</f>
        <v>8.9</v>
      </c>
      <c r="L216" s="97"/>
      <c r="M216" s="98"/>
      <c r="N216" s="393">
        <f t="shared" si="26"/>
        <v>0</v>
      </c>
      <c r="O216" s="394"/>
      <c r="P216" s="394"/>
      <c r="Q216" s="395"/>
      <c r="R216" s="210"/>
      <c r="T216" s="25"/>
    </row>
    <row r="217" spans="1:37" ht="10.199999999999999" customHeight="1" outlineLevel="1">
      <c r="B217" s="209"/>
      <c r="C217" s="277">
        <f t="shared" si="29"/>
        <v>44</v>
      </c>
      <c r="D217" s="277" t="s">
        <v>52</v>
      </c>
      <c r="E217" s="278">
        <v>711161383</v>
      </c>
      <c r="F217" s="279" t="s">
        <v>177</v>
      </c>
      <c r="G217" s="279"/>
      <c r="H217" s="279"/>
      <c r="I217" s="279"/>
      <c r="J217" s="38" t="s">
        <v>58</v>
      </c>
      <c r="K217" s="281">
        <f>9.6</f>
        <v>9.6</v>
      </c>
      <c r="L217" s="91"/>
      <c r="M217" s="91"/>
      <c r="N217" s="280">
        <f t="shared" si="26"/>
        <v>0</v>
      </c>
      <c r="O217" s="280"/>
      <c r="P217" s="280"/>
      <c r="Q217" s="280"/>
      <c r="R217" s="210"/>
      <c r="T217" s="25"/>
    </row>
    <row r="218" spans="1:37" ht="10.199999999999999" customHeight="1" outlineLevel="1">
      <c r="B218" s="209"/>
      <c r="C218" s="277">
        <f t="shared" si="29"/>
        <v>45</v>
      </c>
      <c r="D218" s="277" t="s">
        <v>52</v>
      </c>
      <c r="E218" s="278">
        <v>172152101</v>
      </c>
      <c r="F218" s="279" t="s">
        <v>180</v>
      </c>
      <c r="G218" s="279"/>
      <c r="H218" s="279"/>
      <c r="I218" s="279"/>
      <c r="J218" s="38" t="s">
        <v>54</v>
      </c>
      <c r="K218" s="281">
        <f>SUM(K219:K219)</f>
        <v>4.45</v>
      </c>
      <c r="L218" s="91"/>
      <c r="M218" s="91"/>
      <c r="N218" s="280">
        <f>ROUND(L218*K218,2)</f>
        <v>0</v>
      </c>
      <c r="O218" s="280"/>
      <c r="P218" s="280"/>
      <c r="Q218" s="280"/>
      <c r="R218" s="210"/>
      <c r="T218" s="25"/>
    </row>
    <row r="219" spans="1:37" s="360" customFormat="1" outlineLevel="1">
      <c r="B219" s="359"/>
      <c r="E219" s="361" t="s">
        <v>178</v>
      </c>
      <c r="F219" s="362" t="s">
        <v>520</v>
      </c>
      <c r="G219" s="363">
        <f>13.3+5*2</f>
        <v>23.3</v>
      </c>
      <c r="H219" s="363">
        <f>13.3+5*2</f>
        <v>23.3</v>
      </c>
      <c r="I219" s="363">
        <f>13.3+5*2</f>
        <v>23.3</v>
      </c>
      <c r="J219" s="50">
        <v>0.5</v>
      </c>
      <c r="K219" s="364">
        <f>K201*J219</f>
        <v>4.45</v>
      </c>
      <c r="L219" s="157"/>
      <c r="M219" s="157"/>
      <c r="R219" s="365"/>
      <c r="T219" s="51"/>
      <c r="W219" s="141"/>
      <c r="X219" s="141"/>
      <c r="Y219" s="141"/>
      <c r="Z219" s="141"/>
    </row>
    <row r="220" spans="1:37" ht="10.199999999999999" customHeight="1" outlineLevel="1">
      <c r="B220" s="209"/>
      <c r="C220" s="367">
        <f>C217+1</f>
        <v>45</v>
      </c>
      <c r="D220" s="367" t="s">
        <v>55</v>
      </c>
      <c r="E220" s="368">
        <v>58125110</v>
      </c>
      <c r="F220" s="369" t="s">
        <v>181</v>
      </c>
      <c r="G220" s="369"/>
      <c r="H220" s="369"/>
      <c r="I220" s="369"/>
      <c r="J220" s="39" t="s">
        <v>56</v>
      </c>
      <c r="K220" s="370">
        <f>K218*1.8</f>
        <v>8.01</v>
      </c>
      <c r="L220" s="99"/>
      <c r="M220" s="100"/>
      <c r="N220" s="380">
        <f>ROUND(L220*K220,2)</f>
        <v>0</v>
      </c>
      <c r="O220" s="381"/>
      <c r="P220" s="381"/>
      <c r="Q220" s="382"/>
      <c r="R220" s="210"/>
      <c r="V220" s="66"/>
      <c r="W220" s="22"/>
      <c r="X220" s="22"/>
      <c r="Y220" s="22"/>
      <c r="Z220" s="22"/>
      <c r="AA220" s="22"/>
      <c r="AB220" s="22"/>
      <c r="AC220" s="22"/>
      <c r="AD220" s="366"/>
      <c r="AE220" s="141"/>
      <c r="AF220" s="141"/>
      <c r="AG220" s="22"/>
      <c r="AH220" s="22"/>
      <c r="AI220" s="22"/>
      <c r="AJ220" s="22"/>
      <c r="AK220" s="22"/>
    </row>
    <row r="221" spans="1:37" s="354" customFormat="1" outlineLevel="1">
      <c r="B221" s="353"/>
      <c r="E221" s="358"/>
      <c r="F221" s="358"/>
      <c r="G221" s="358"/>
      <c r="H221" s="358"/>
      <c r="I221" s="358"/>
      <c r="J221" s="358"/>
      <c r="K221" s="358"/>
      <c r="L221" s="156"/>
      <c r="M221" s="156"/>
      <c r="R221" s="356"/>
      <c r="T221" s="52"/>
      <c r="U221" s="276"/>
      <c r="V221" s="67"/>
      <c r="W221" s="22"/>
      <c r="X221" s="70"/>
      <c r="Y221" s="70"/>
      <c r="Z221" s="375"/>
    </row>
    <row r="222" spans="1:37" s="275" customFormat="1" outlineLevel="1">
      <c r="B222" s="267"/>
      <c r="C222" s="268"/>
      <c r="D222" s="268"/>
      <c r="E222" s="269" t="s">
        <v>183</v>
      </c>
      <c r="F222" s="270"/>
      <c r="G222" s="270"/>
      <c r="H222" s="270"/>
      <c r="I222" s="271"/>
      <c r="J222" s="49" t="s">
        <v>58</v>
      </c>
      <c r="K222" s="272">
        <f>K168</f>
        <v>21.5</v>
      </c>
      <c r="L222" s="92"/>
      <c r="M222" s="92"/>
      <c r="N222" s="273"/>
      <c r="O222" s="273"/>
      <c r="P222" s="273"/>
      <c r="Q222" s="273"/>
      <c r="R222" s="274"/>
      <c r="T222" s="48"/>
      <c r="U222" s="276"/>
      <c r="V222" s="67"/>
      <c r="W222" s="70"/>
      <c r="X222" s="70"/>
      <c r="Y222" s="70">
        <f>SUM(Y247:Y394)</f>
        <v>0</v>
      </c>
      <c r="Z222" s="375"/>
    </row>
    <row r="223" spans="1:37" ht="10.199999999999999" customHeight="1" outlineLevel="1">
      <c r="B223" s="209"/>
      <c r="C223" s="277">
        <f>C220+1</f>
        <v>46</v>
      </c>
      <c r="D223" s="277" t="s">
        <v>52</v>
      </c>
      <c r="E223" s="278">
        <v>978023411</v>
      </c>
      <c r="F223" s="279" t="s">
        <v>514</v>
      </c>
      <c r="G223" s="279"/>
      <c r="H223" s="279"/>
      <c r="I223" s="279"/>
      <c r="J223" s="38" t="s">
        <v>53</v>
      </c>
      <c r="K223" s="281">
        <f>SUM(K224)</f>
        <v>10.75</v>
      </c>
      <c r="L223" s="91"/>
      <c r="M223" s="91"/>
      <c r="N223" s="280">
        <f>ROUND(L223*K223,2)</f>
        <v>0</v>
      </c>
      <c r="O223" s="280"/>
      <c r="P223" s="280"/>
      <c r="Q223" s="280"/>
      <c r="R223" s="210"/>
      <c r="T223" s="25"/>
    </row>
    <row r="224" spans="1:37" s="360" customFormat="1" outlineLevel="1">
      <c r="B224" s="359"/>
      <c r="E224" s="361" t="s">
        <v>523</v>
      </c>
      <c r="F224" s="362" t="s">
        <v>524</v>
      </c>
      <c r="G224" s="363">
        <f t="shared" ref="G224:I224" si="30">9.6*0.6*(0.1+0.075)/2</f>
        <v>0.504</v>
      </c>
      <c r="H224" s="363">
        <f t="shared" si="30"/>
        <v>0.504</v>
      </c>
      <c r="I224" s="363">
        <f t="shared" si="30"/>
        <v>0.504</v>
      </c>
      <c r="J224" s="50">
        <v>0.5</v>
      </c>
      <c r="K224" s="364">
        <f>K222*J224</f>
        <v>10.75</v>
      </c>
      <c r="L224" s="157"/>
      <c r="M224" s="157"/>
      <c r="R224" s="365"/>
      <c r="T224" s="51"/>
      <c r="W224" s="141"/>
      <c r="X224" s="141"/>
      <c r="Y224" s="141"/>
      <c r="Z224" s="141"/>
    </row>
    <row r="225" spans="1:37" ht="10.199999999999999" customHeight="1" outlineLevel="1">
      <c r="B225" s="209"/>
      <c r="C225" s="277">
        <f>C223+1</f>
        <v>47</v>
      </c>
      <c r="D225" s="277" t="s">
        <v>52</v>
      </c>
      <c r="E225" s="278">
        <v>622125101</v>
      </c>
      <c r="F225" s="279" t="s">
        <v>148</v>
      </c>
      <c r="G225" s="279"/>
      <c r="H225" s="279"/>
      <c r="I225" s="279"/>
      <c r="J225" s="38" t="s">
        <v>53</v>
      </c>
      <c r="K225" s="281">
        <f>K223</f>
        <v>10.75</v>
      </c>
      <c r="L225" s="91"/>
      <c r="M225" s="91"/>
      <c r="N225" s="280">
        <f>ROUND(L225*K225,2)</f>
        <v>0</v>
      </c>
      <c r="O225" s="280"/>
      <c r="P225" s="280"/>
      <c r="Q225" s="280"/>
      <c r="R225" s="210"/>
      <c r="T225" s="25"/>
    </row>
    <row r="226" spans="1:37" outlineLevel="1">
      <c r="B226" s="209"/>
      <c r="C226" s="277">
        <f t="shared" ref="C226:C228" si="31">C225+1</f>
        <v>48</v>
      </c>
      <c r="D226" s="277" t="s">
        <v>52</v>
      </c>
      <c r="E226" s="278">
        <v>622131151</v>
      </c>
      <c r="F226" s="279" t="s">
        <v>156</v>
      </c>
      <c r="G226" s="279"/>
      <c r="H226" s="279"/>
      <c r="I226" s="279"/>
      <c r="J226" s="38" t="s">
        <v>53</v>
      </c>
      <c r="K226" s="281">
        <f>K225</f>
        <v>10.75</v>
      </c>
      <c r="L226" s="91"/>
      <c r="M226" s="91"/>
      <c r="N226" s="280">
        <f>ROUND(L226*K226,2)</f>
        <v>0</v>
      </c>
      <c r="O226" s="280"/>
      <c r="P226" s="280"/>
      <c r="Q226" s="280"/>
      <c r="R226" s="210"/>
      <c r="T226" s="25"/>
    </row>
    <row r="227" spans="1:37" outlineLevel="1">
      <c r="B227" s="209"/>
      <c r="C227" s="277">
        <f t="shared" si="31"/>
        <v>49</v>
      </c>
      <c r="D227" s="277" t="s">
        <v>52</v>
      </c>
      <c r="E227" s="278">
        <v>622326121</v>
      </c>
      <c r="F227" s="279" t="s">
        <v>157</v>
      </c>
      <c r="G227" s="279"/>
      <c r="H227" s="279"/>
      <c r="I227" s="279"/>
      <c r="J227" s="38" t="s">
        <v>53</v>
      </c>
      <c r="K227" s="281">
        <f>K226</f>
        <v>10.75</v>
      </c>
      <c r="L227" s="91"/>
      <c r="M227" s="91"/>
      <c r="N227" s="280">
        <f t="shared" ref="N227:N228" si="32">ROUND(L227*K227,2)</f>
        <v>0</v>
      </c>
      <c r="O227" s="280"/>
      <c r="P227" s="280"/>
      <c r="Q227" s="280"/>
      <c r="R227" s="210"/>
      <c r="T227" s="25"/>
    </row>
    <row r="228" spans="1:37" outlineLevel="1">
      <c r="B228" s="209"/>
      <c r="C228" s="277">
        <f t="shared" si="31"/>
        <v>50</v>
      </c>
      <c r="D228" s="277" t="s">
        <v>52</v>
      </c>
      <c r="E228" s="278">
        <v>212312111</v>
      </c>
      <c r="F228" s="279" t="s">
        <v>515</v>
      </c>
      <c r="G228" s="279"/>
      <c r="H228" s="279"/>
      <c r="I228" s="279"/>
      <c r="J228" s="38" t="s">
        <v>54</v>
      </c>
      <c r="K228" s="281">
        <f>SUM(K229)</f>
        <v>1.1287499999999999</v>
      </c>
      <c r="L228" s="91"/>
      <c r="M228" s="91"/>
      <c r="N228" s="280">
        <f t="shared" si="32"/>
        <v>0</v>
      </c>
      <c r="O228" s="280"/>
      <c r="P228" s="280"/>
      <c r="Q228" s="280"/>
      <c r="R228" s="210"/>
      <c r="T228" s="25"/>
    </row>
    <row r="229" spans="1:37" s="360" customFormat="1" outlineLevel="1">
      <c r="B229" s="359"/>
      <c r="E229" s="361" t="s">
        <v>516</v>
      </c>
      <c r="F229" s="362" t="s">
        <v>525</v>
      </c>
      <c r="G229" s="363">
        <f t="shared" ref="G229:I229" si="33">9.6*0.6*(0.1+0.075)/2</f>
        <v>0.504</v>
      </c>
      <c r="H229" s="363">
        <f t="shared" si="33"/>
        <v>0.504</v>
      </c>
      <c r="I229" s="363">
        <f t="shared" si="33"/>
        <v>0.504</v>
      </c>
      <c r="J229" s="50"/>
      <c r="K229" s="364">
        <f>21.5*0.6*(0.1+0.075)/2</f>
        <v>1.1287499999999999</v>
      </c>
      <c r="L229" s="157"/>
      <c r="M229" s="157"/>
      <c r="R229" s="365"/>
      <c r="T229" s="51"/>
      <c r="W229" s="141"/>
      <c r="X229" s="141"/>
      <c r="Y229" s="141"/>
      <c r="Z229" s="141"/>
    </row>
    <row r="230" spans="1:37" ht="27" customHeight="1" outlineLevel="1">
      <c r="B230" s="209"/>
      <c r="C230" s="277">
        <f>C228+1</f>
        <v>51</v>
      </c>
      <c r="D230" s="277" t="s">
        <v>52</v>
      </c>
      <c r="E230" s="278">
        <v>711111053</v>
      </c>
      <c r="F230" s="388" t="s">
        <v>527</v>
      </c>
      <c r="G230" s="389"/>
      <c r="H230" s="389"/>
      <c r="I230" s="390"/>
      <c r="J230" s="38" t="s">
        <v>53</v>
      </c>
      <c r="K230" s="281">
        <f>SUM(K231:K231)</f>
        <v>12.9</v>
      </c>
      <c r="L230" s="97"/>
      <c r="M230" s="98"/>
      <c r="N230" s="393">
        <f t="shared" ref="N230" si="34">ROUND(L230*K230,2)</f>
        <v>0</v>
      </c>
      <c r="O230" s="394"/>
      <c r="P230" s="394"/>
      <c r="Q230" s="395"/>
      <c r="R230" s="210"/>
      <c r="T230" s="25"/>
    </row>
    <row r="231" spans="1:37" s="360" customFormat="1" outlineLevel="1">
      <c r="B231" s="359"/>
      <c r="E231" s="361" t="s">
        <v>518</v>
      </c>
      <c r="F231" s="362" t="s">
        <v>526</v>
      </c>
      <c r="G231" s="363">
        <f t="shared" ref="G231:I233" si="35">9.6*0.6</f>
        <v>5.76</v>
      </c>
      <c r="H231" s="363">
        <f t="shared" si="35"/>
        <v>5.76</v>
      </c>
      <c r="I231" s="363">
        <f t="shared" si="35"/>
        <v>5.76</v>
      </c>
      <c r="J231" s="50"/>
      <c r="K231" s="364">
        <f>21.5*0.6</f>
        <v>12.9</v>
      </c>
      <c r="L231" s="157"/>
      <c r="M231" s="157"/>
      <c r="R231" s="365"/>
      <c r="T231" s="51"/>
      <c r="W231" s="141"/>
      <c r="X231" s="141"/>
      <c r="Y231" s="141"/>
      <c r="Z231" s="141"/>
    </row>
    <row r="232" spans="1:37" ht="27" customHeight="1" outlineLevel="1">
      <c r="B232" s="209"/>
      <c r="C232" s="277">
        <f>C230+1</f>
        <v>52</v>
      </c>
      <c r="D232" s="277" t="s">
        <v>52</v>
      </c>
      <c r="E232" s="278">
        <v>711112053</v>
      </c>
      <c r="F232" s="388" t="s">
        <v>528</v>
      </c>
      <c r="G232" s="389"/>
      <c r="H232" s="389"/>
      <c r="I232" s="390"/>
      <c r="J232" s="38" t="s">
        <v>53</v>
      </c>
      <c r="K232" s="281">
        <f>SUM(K233)</f>
        <v>10.75</v>
      </c>
      <c r="L232" s="97"/>
      <c r="M232" s="98"/>
      <c r="N232" s="393">
        <f t="shared" ref="N232" si="36">ROUND(L232*K232,2)</f>
        <v>0</v>
      </c>
      <c r="O232" s="394"/>
      <c r="P232" s="394"/>
      <c r="Q232" s="395"/>
      <c r="R232" s="210"/>
      <c r="T232" s="25"/>
    </row>
    <row r="233" spans="1:37" s="360" customFormat="1" outlineLevel="1">
      <c r="B233" s="359"/>
      <c r="E233" s="361" t="s">
        <v>543</v>
      </c>
      <c r="F233" s="362" t="s">
        <v>748</v>
      </c>
      <c r="G233" s="363">
        <f t="shared" si="35"/>
        <v>5.76</v>
      </c>
      <c r="H233" s="363">
        <f t="shared" si="35"/>
        <v>5.76</v>
      </c>
      <c r="I233" s="363">
        <f t="shared" si="35"/>
        <v>5.76</v>
      </c>
      <c r="J233" s="50"/>
      <c r="K233" s="364">
        <f>21.5*0.5</f>
        <v>10.75</v>
      </c>
      <c r="L233" s="157"/>
      <c r="M233" s="157"/>
      <c r="R233" s="365"/>
      <c r="T233" s="51"/>
      <c r="W233" s="141"/>
      <c r="X233" s="141"/>
      <c r="Y233" s="141"/>
      <c r="Z233" s="141"/>
    </row>
    <row r="234" spans="1:37" outlineLevel="1">
      <c r="B234" s="209"/>
      <c r="C234" s="367">
        <f>C230+1</f>
        <v>52</v>
      </c>
      <c r="D234" s="367" t="s">
        <v>59</v>
      </c>
      <c r="E234" s="368" t="s">
        <v>172</v>
      </c>
      <c r="F234" s="377" t="s">
        <v>529</v>
      </c>
      <c r="G234" s="378"/>
      <c r="H234" s="378"/>
      <c r="I234" s="379"/>
      <c r="J234" s="39" t="s">
        <v>98</v>
      </c>
      <c r="K234" s="370">
        <f>SUM(K235)</f>
        <v>70.949999999999989</v>
      </c>
      <c r="L234" s="99"/>
      <c r="M234" s="100"/>
      <c r="N234" s="380">
        <f>ROUND(L234*K234,2)</f>
        <v>0</v>
      </c>
      <c r="O234" s="381"/>
      <c r="P234" s="381"/>
      <c r="Q234" s="382"/>
      <c r="R234" s="210"/>
      <c r="V234" s="66"/>
      <c r="W234" s="22"/>
      <c r="X234" s="22"/>
      <c r="Y234" s="22"/>
      <c r="Z234" s="22"/>
      <c r="AA234" s="22"/>
      <c r="AB234" s="22"/>
      <c r="AC234" s="22"/>
      <c r="AD234" s="366"/>
      <c r="AE234" s="141"/>
      <c r="AF234" s="141"/>
      <c r="AG234" s="22"/>
      <c r="AH234" s="22"/>
      <c r="AI234" s="22"/>
      <c r="AJ234" s="22"/>
      <c r="AK234" s="22"/>
    </row>
    <row r="235" spans="1:37" s="360" customFormat="1" outlineLevel="1">
      <c r="A235" s="142"/>
      <c r="B235" s="209"/>
      <c r="E235" s="361" t="s">
        <v>167</v>
      </c>
      <c r="F235" s="362" t="s">
        <v>171</v>
      </c>
      <c r="G235" s="363"/>
      <c r="H235" s="363"/>
      <c r="I235" s="363"/>
      <c r="J235" s="50">
        <v>3</v>
      </c>
      <c r="K235" s="364">
        <f>(K230+K232)*J235</f>
        <v>70.949999999999989</v>
      </c>
      <c r="L235" s="157"/>
      <c r="M235" s="157"/>
      <c r="R235" s="210"/>
      <c r="S235" s="142"/>
    </row>
    <row r="236" spans="1:37" ht="27" customHeight="1" outlineLevel="1">
      <c r="B236" s="209"/>
      <c r="C236" s="277">
        <f>C234+1</f>
        <v>53</v>
      </c>
      <c r="D236" s="277" t="s">
        <v>52</v>
      </c>
      <c r="E236" s="278">
        <v>711161122</v>
      </c>
      <c r="F236" s="388" t="s">
        <v>174</v>
      </c>
      <c r="G236" s="389"/>
      <c r="H236" s="389"/>
      <c r="I236" s="390"/>
      <c r="J236" s="38" t="s">
        <v>53</v>
      </c>
      <c r="K236" s="281">
        <f>K230</f>
        <v>12.9</v>
      </c>
      <c r="L236" s="97"/>
      <c r="M236" s="98"/>
      <c r="N236" s="393">
        <f t="shared" ref="N236:N238" si="37">ROUND(L236*K236,2)</f>
        <v>0</v>
      </c>
      <c r="O236" s="394"/>
      <c r="P236" s="394"/>
      <c r="Q236" s="395"/>
      <c r="R236" s="210"/>
      <c r="T236" s="25"/>
    </row>
    <row r="237" spans="1:37" ht="27" customHeight="1" outlineLevel="1">
      <c r="B237" s="209"/>
      <c r="C237" s="277">
        <f t="shared" ref="C237:C238" si="38">C236+1</f>
        <v>54</v>
      </c>
      <c r="D237" s="277" t="s">
        <v>52</v>
      </c>
      <c r="E237" s="278">
        <v>711161222</v>
      </c>
      <c r="F237" s="388" t="s">
        <v>175</v>
      </c>
      <c r="G237" s="389"/>
      <c r="H237" s="389"/>
      <c r="I237" s="390"/>
      <c r="J237" s="38" t="s">
        <v>53</v>
      </c>
      <c r="K237" s="281">
        <f>K232</f>
        <v>10.75</v>
      </c>
      <c r="L237" s="97"/>
      <c r="M237" s="98"/>
      <c r="N237" s="393">
        <f t="shared" si="37"/>
        <v>0</v>
      </c>
      <c r="O237" s="394"/>
      <c r="P237" s="394"/>
      <c r="Q237" s="395"/>
      <c r="R237" s="210"/>
      <c r="T237" s="25"/>
    </row>
    <row r="238" spans="1:37" ht="10.199999999999999" customHeight="1" outlineLevel="1">
      <c r="B238" s="209"/>
      <c r="C238" s="277">
        <f t="shared" si="38"/>
        <v>55</v>
      </c>
      <c r="D238" s="277" t="s">
        <v>52</v>
      </c>
      <c r="E238" s="278">
        <v>711161383</v>
      </c>
      <c r="F238" s="279" t="s">
        <v>177</v>
      </c>
      <c r="G238" s="279"/>
      <c r="H238" s="279"/>
      <c r="I238" s="279"/>
      <c r="J238" s="38" t="s">
        <v>58</v>
      </c>
      <c r="K238" s="281">
        <f>K222</f>
        <v>21.5</v>
      </c>
      <c r="L238" s="91"/>
      <c r="M238" s="91"/>
      <c r="N238" s="280">
        <f t="shared" si="37"/>
        <v>0</v>
      </c>
      <c r="O238" s="280"/>
      <c r="P238" s="280"/>
      <c r="Q238" s="280"/>
      <c r="R238" s="210"/>
      <c r="T238" s="25"/>
    </row>
    <row r="239" spans="1:37" s="354" customFormat="1" outlineLevel="1">
      <c r="B239" s="353"/>
      <c r="E239" s="358"/>
      <c r="F239" s="358"/>
      <c r="G239" s="358"/>
      <c r="H239" s="358"/>
      <c r="I239" s="358"/>
      <c r="J239" s="358"/>
      <c r="K239" s="358"/>
      <c r="L239" s="156"/>
      <c r="M239" s="156"/>
      <c r="R239" s="356"/>
      <c r="T239" s="52"/>
      <c r="U239" s="276"/>
      <c r="V239" s="67"/>
      <c r="W239" s="22"/>
      <c r="X239" s="70"/>
      <c r="Y239" s="70"/>
      <c r="Z239" s="375"/>
    </row>
    <row r="240" spans="1:37" s="275" customFormat="1" outlineLevel="1">
      <c r="B240" s="267"/>
      <c r="C240" s="268"/>
      <c r="D240" s="268"/>
      <c r="E240" s="269" t="s">
        <v>500</v>
      </c>
      <c r="F240" s="270"/>
      <c r="G240" s="270"/>
      <c r="H240" s="270"/>
      <c r="I240" s="271"/>
      <c r="J240" s="49" t="s">
        <v>53</v>
      </c>
      <c r="K240" s="272">
        <f>K169</f>
        <v>24.241249999999997</v>
      </c>
      <c r="L240" s="92"/>
      <c r="M240" s="92"/>
      <c r="N240" s="273"/>
      <c r="O240" s="273"/>
      <c r="P240" s="273"/>
      <c r="Q240" s="273"/>
      <c r="R240" s="274"/>
      <c r="T240" s="48"/>
      <c r="U240" s="276"/>
      <c r="V240" s="67"/>
      <c r="W240" s="70"/>
      <c r="X240" s="70"/>
      <c r="Y240" s="70">
        <f>SUM(Y256:Y415)</f>
        <v>0</v>
      </c>
      <c r="Z240" s="375"/>
    </row>
    <row r="241" spans="2:26" ht="10.199999999999999" customHeight="1" outlineLevel="1">
      <c r="B241" s="209"/>
      <c r="C241" s="277">
        <f>C238+1</f>
        <v>56</v>
      </c>
      <c r="D241" s="277" t="s">
        <v>52</v>
      </c>
      <c r="E241" s="278">
        <v>978023411</v>
      </c>
      <c r="F241" s="279" t="s">
        <v>514</v>
      </c>
      <c r="G241" s="279"/>
      <c r="H241" s="279"/>
      <c r="I241" s="279"/>
      <c r="J241" s="38" t="s">
        <v>53</v>
      </c>
      <c r="K241" s="281">
        <f>K240</f>
        <v>24.241249999999997</v>
      </c>
      <c r="L241" s="91"/>
      <c r="M241" s="91"/>
      <c r="N241" s="280">
        <f>ROUND(L241*K241,2)</f>
        <v>0</v>
      </c>
      <c r="O241" s="280"/>
      <c r="P241" s="280"/>
      <c r="Q241" s="280"/>
      <c r="R241" s="210"/>
      <c r="T241" s="25"/>
    </row>
    <row r="242" spans="2:26" ht="10.199999999999999" customHeight="1" outlineLevel="1">
      <c r="B242" s="209"/>
      <c r="C242" s="277">
        <f t="shared" ref="C242:C245" si="39">C241+1</f>
        <v>57</v>
      </c>
      <c r="D242" s="277" t="s">
        <v>52</v>
      </c>
      <c r="E242" s="278">
        <v>622125101</v>
      </c>
      <c r="F242" s="279" t="s">
        <v>148</v>
      </c>
      <c r="G242" s="279"/>
      <c r="H242" s="279"/>
      <c r="I242" s="279"/>
      <c r="J242" s="38" t="s">
        <v>53</v>
      </c>
      <c r="K242" s="281">
        <f>K240</f>
        <v>24.241249999999997</v>
      </c>
      <c r="L242" s="91"/>
      <c r="M242" s="91"/>
      <c r="N242" s="280">
        <f>ROUND(L242*K242,2)</f>
        <v>0</v>
      </c>
      <c r="O242" s="280"/>
      <c r="P242" s="280"/>
      <c r="Q242" s="280"/>
      <c r="R242" s="210"/>
      <c r="T242" s="25"/>
    </row>
    <row r="243" spans="2:26" outlineLevel="1">
      <c r="B243" s="209"/>
      <c r="C243" s="277">
        <f t="shared" si="39"/>
        <v>58</v>
      </c>
      <c r="D243" s="277" t="s">
        <v>52</v>
      </c>
      <c r="E243" s="278">
        <v>622131151</v>
      </c>
      <c r="F243" s="279" t="s">
        <v>156</v>
      </c>
      <c r="G243" s="279"/>
      <c r="H243" s="279"/>
      <c r="I243" s="279"/>
      <c r="J243" s="38" t="s">
        <v>53</v>
      </c>
      <c r="K243" s="281">
        <f>K240</f>
        <v>24.241249999999997</v>
      </c>
      <c r="L243" s="91"/>
      <c r="M243" s="91"/>
      <c r="N243" s="280">
        <f>ROUND(L243*K243,2)</f>
        <v>0</v>
      </c>
      <c r="O243" s="280"/>
      <c r="P243" s="280"/>
      <c r="Q243" s="280"/>
      <c r="R243" s="210"/>
      <c r="T243" s="25"/>
    </row>
    <row r="244" spans="2:26" outlineLevel="1">
      <c r="B244" s="209"/>
      <c r="C244" s="277">
        <f t="shared" si="39"/>
        <v>59</v>
      </c>
      <c r="D244" s="277" t="s">
        <v>52</v>
      </c>
      <c r="E244" s="278">
        <v>622326121</v>
      </c>
      <c r="F244" s="279" t="s">
        <v>157</v>
      </c>
      <c r="G244" s="279"/>
      <c r="H244" s="279"/>
      <c r="I244" s="279"/>
      <c r="J244" s="38" t="s">
        <v>53</v>
      </c>
      <c r="K244" s="281">
        <f>K240</f>
        <v>24.241249999999997</v>
      </c>
      <c r="L244" s="91"/>
      <c r="M244" s="91"/>
      <c r="N244" s="280">
        <f t="shared" ref="N244" si="40">ROUND(L244*K244,2)</f>
        <v>0</v>
      </c>
      <c r="O244" s="280"/>
      <c r="P244" s="280"/>
      <c r="Q244" s="280"/>
      <c r="R244" s="210"/>
      <c r="T244" s="25"/>
    </row>
    <row r="245" spans="2:26" ht="10.199999999999999" customHeight="1" outlineLevel="1">
      <c r="B245" s="209"/>
      <c r="C245" s="277">
        <f t="shared" si="39"/>
        <v>60</v>
      </c>
      <c r="D245" s="277" t="s">
        <v>52</v>
      </c>
      <c r="E245" s="278">
        <v>783823133</v>
      </c>
      <c r="F245" s="279" t="s">
        <v>197</v>
      </c>
      <c r="G245" s="279"/>
      <c r="H245" s="279"/>
      <c r="I245" s="279"/>
      <c r="J245" s="38" t="s">
        <v>53</v>
      </c>
      <c r="K245" s="281">
        <f>K244</f>
        <v>24.241249999999997</v>
      </c>
      <c r="L245" s="91"/>
      <c r="M245" s="91"/>
      <c r="N245" s="280">
        <f t="shared" ref="N245:N246" si="41">ROUND(L245*K245,2)</f>
        <v>0</v>
      </c>
      <c r="O245" s="280"/>
      <c r="P245" s="280"/>
      <c r="Q245" s="280"/>
      <c r="R245" s="210"/>
      <c r="T245" s="25"/>
    </row>
    <row r="246" spans="2:26" ht="10.199999999999999" customHeight="1" outlineLevel="1">
      <c r="B246" s="209"/>
      <c r="C246" s="277">
        <f t="shared" ref="C246" si="42">C245+1</f>
        <v>61</v>
      </c>
      <c r="D246" s="277" t="s">
        <v>52</v>
      </c>
      <c r="E246" s="278">
        <v>783827423</v>
      </c>
      <c r="F246" s="279" t="s">
        <v>199</v>
      </c>
      <c r="G246" s="279"/>
      <c r="H246" s="279"/>
      <c r="I246" s="279"/>
      <c r="J246" s="38" t="s">
        <v>53</v>
      </c>
      <c r="K246" s="281">
        <f>K245</f>
        <v>24.241249999999997</v>
      </c>
      <c r="L246" s="91"/>
      <c r="M246" s="91"/>
      <c r="N246" s="280">
        <f t="shared" si="41"/>
        <v>0</v>
      </c>
      <c r="O246" s="280"/>
      <c r="P246" s="280"/>
      <c r="Q246" s="280"/>
      <c r="R246" s="210"/>
      <c r="T246" s="25"/>
    </row>
    <row r="247" spans="2:26" s="354" customFormat="1" outlineLevel="1">
      <c r="B247" s="353"/>
      <c r="E247" s="358"/>
      <c r="F247" s="358"/>
      <c r="G247" s="358"/>
      <c r="H247" s="358"/>
      <c r="I247" s="358"/>
      <c r="J247" s="358"/>
      <c r="K247" s="358"/>
      <c r="L247" s="156"/>
      <c r="M247" s="156"/>
      <c r="R247" s="356"/>
      <c r="T247" s="52"/>
      <c r="U247" s="276"/>
      <c r="V247" s="67"/>
      <c r="W247" s="22"/>
      <c r="X247" s="70"/>
      <c r="Y247" s="70"/>
      <c r="Z247" s="375"/>
    </row>
    <row r="248" spans="2:26" s="275" customFormat="1" outlineLevel="1">
      <c r="B248" s="267"/>
      <c r="C248" s="268"/>
      <c r="D248" s="268"/>
      <c r="E248" s="269" t="s">
        <v>503</v>
      </c>
      <c r="F248" s="270"/>
      <c r="G248" s="270"/>
      <c r="H248" s="270"/>
      <c r="I248" s="271"/>
      <c r="J248" s="49" t="s">
        <v>53</v>
      </c>
      <c r="K248" s="272">
        <f>K170</f>
        <v>10.9</v>
      </c>
      <c r="L248" s="92"/>
      <c r="M248" s="92"/>
      <c r="N248" s="273"/>
      <c r="O248" s="273"/>
      <c r="P248" s="273"/>
      <c r="Q248" s="273"/>
      <c r="R248" s="274"/>
      <c r="T248" s="48"/>
      <c r="U248" s="276"/>
      <c r="V248" s="67"/>
      <c r="W248" s="70"/>
      <c r="X248" s="70"/>
      <c r="Y248" s="70">
        <f>SUM(Y274:Y436)</f>
        <v>0</v>
      </c>
      <c r="Z248" s="375"/>
    </row>
    <row r="249" spans="2:26" ht="10.199999999999999" customHeight="1" outlineLevel="1">
      <c r="B249" s="209"/>
      <c r="C249" s="277">
        <f>C246+1</f>
        <v>62</v>
      </c>
      <c r="D249" s="277" t="s">
        <v>52</v>
      </c>
      <c r="E249" s="278">
        <v>978023411</v>
      </c>
      <c r="F249" s="279" t="s">
        <v>514</v>
      </c>
      <c r="G249" s="279"/>
      <c r="H249" s="279"/>
      <c r="I249" s="279"/>
      <c r="J249" s="38" t="s">
        <v>53</v>
      </c>
      <c r="K249" s="281">
        <f>K248</f>
        <v>10.9</v>
      </c>
      <c r="L249" s="91"/>
      <c r="M249" s="91"/>
      <c r="N249" s="280">
        <f>ROUND(L249*K249,2)</f>
        <v>0</v>
      </c>
      <c r="O249" s="280"/>
      <c r="P249" s="280"/>
      <c r="Q249" s="280"/>
      <c r="R249" s="210"/>
      <c r="T249" s="25"/>
    </row>
    <row r="250" spans="2:26" ht="10.199999999999999" customHeight="1" outlineLevel="1">
      <c r="B250" s="209"/>
      <c r="C250" s="277">
        <f t="shared" ref="C250:C255" si="43">C249+1</f>
        <v>63</v>
      </c>
      <c r="D250" s="277" t="s">
        <v>52</v>
      </c>
      <c r="E250" s="278">
        <v>622125101</v>
      </c>
      <c r="F250" s="279" t="s">
        <v>148</v>
      </c>
      <c r="G250" s="279"/>
      <c r="H250" s="279"/>
      <c r="I250" s="279"/>
      <c r="J250" s="38" t="s">
        <v>53</v>
      </c>
      <c r="K250" s="281">
        <f>K248</f>
        <v>10.9</v>
      </c>
      <c r="L250" s="91"/>
      <c r="M250" s="91"/>
      <c r="N250" s="280">
        <f>ROUND(L250*K250,2)</f>
        <v>0</v>
      </c>
      <c r="O250" s="280"/>
      <c r="P250" s="280"/>
      <c r="Q250" s="280"/>
      <c r="R250" s="210"/>
      <c r="T250" s="25"/>
    </row>
    <row r="251" spans="2:26" outlineLevel="1">
      <c r="B251" s="209"/>
      <c r="C251" s="277">
        <f t="shared" si="43"/>
        <v>64</v>
      </c>
      <c r="D251" s="277" t="s">
        <v>52</v>
      </c>
      <c r="E251" s="278">
        <v>622131151</v>
      </c>
      <c r="F251" s="279" t="s">
        <v>156</v>
      </c>
      <c r="G251" s="279"/>
      <c r="H251" s="279"/>
      <c r="I251" s="279"/>
      <c r="J251" s="38" t="s">
        <v>53</v>
      </c>
      <c r="K251" s="281">
        <f>K248</f>
        <v>10.9</v>
      </c>
      <c r="L251" s="91"/>
      <c r="M251" s="91"/>
      <c r="N251" s="280">
        <f>ROUND(L251*K251,2)</f>
        <v>0</v>
      </c>
      <c r="O251" s="280"/>
      <c r="P251" s="280"/>
      <c r="Q251" s="280"/>
      <c r="R251" s="210"/>
      <c r="T251" s="25"/>
    </row>
    <row r="252" spans="2:26" outlineLevel="1">
      <c r="B252" s="209"/>
      <c r="C252" s="277">
        <f t="shared" si="43"/>
        <v>65</v>
      </c>
      <c r="D252" s="277" t="s">
        <v>52</v>
      </c>
      <c r="E252" s="278">
        <v>622326121</v>
      </c>
      <c r="F252" s="279" t="s">
        <v>157</v>
      </c>
      <c r="G252" s="279"/>
      <c r="H252" s="279"/>
      <c r="I252" s="279"/>
      <c r="J252" s="38" t="s">
        <v>53</v>
      </c>
      <c r="K252" s="281">
        <f>K248</f>
        <v>10.9</v>
      </c>
      <c r="L252" s="91"/>
      <c r="M252" s="91"/>
      <c r="N252" s="280">
        <f t="shared" ref="N252:N254" si="44">ROUND(L252*K252,2)</f>
        <v>0</v>
      </c>
      <c r="O252" s="280"/>
      <c r="P252" s="280"/>
      <c r="Q252" s="280"/>
      <c r="R252" s="210"/>
      <c r="T252" s="25"/>
    </row>
    <row r="253" spans="2:26" ht="10.199999999999999" customHeight="1" outlineLevel="1">
      <c r="B253" s="209"/>
      <c r="C253" s="277">
        <f t="shared" si="43"/>
        <v>66</v>
      </c>
      <c r="D253" s="277" t="s">
        <v>52</v>
      </c>
      <c r="E253" s="278">
        <v>783823133</v>
      </c>
      <c r="F253" s="279" t="s">
        <v>197</v>
      </c>
      <c r="G253" s="279"/>
      <c r="H253" s="279"/>
      <c r="I253" s="279"/>
      <c r="J253" s="38" t="s">
        <v>53</v>
      </c>
      <c r="K253" s="281">
        <f>K252</f>
        <v>10.9</v>
      </c>
      <c r="L253" s="91"/>
      <c r="M253" s="91"/>
      <c r="N253" s="280">
        <f t="shared" si="44"/>
        <v>0</v>
      </c>
      <c r="O253" s="280"/>
      <c r="P253" s="280"/>
      <c r="Q253" s="280"/>
      <c r="R253" s="210"/>
      <c r="T253" s="25"/>
    </row>
    <row r="254" spans="2:26" ht="10.199999999999999" customHeight="1" outlineLevel="1">
      <c r="B254" s="209"/>
      <c r="C254" s="277">
        <f t="shared" si="43"/>
        <v>67</v>
      </c>
      <c r="D254" s="277" t="s">
        <v>52</v>
      </c>
      <c r="E254" s="278">
        <v>783827423</v>
      </c>
      <c r="F254" s="279" t="s">
        <v>199</v>
      </c>
      <c r="G254" s="279"/>
      <c r="H254" s="279"/>
      <c r="I254" s="279"/>
      <c r="J254" s="38" t="s">
        <v>53</v>
      </c>
      <c r="K254" s="281">
        <f>K253</f>
        <v>10.9</v>
      </c>
      <c r="L254" s="91"/>
      <c r="M254" s="91"/>
      <c r="N254" s="280">
        <f t="shared" si="44"/>
        <v>0</v>
      </c>
      <c r="O254" s="280"/>
      <c r="P254" s="280"/>
      <c r="Q254" s="280"/>
      <c r="R254" s="210"/>
      <c r="T254" s="25"/>
    </row>
    <row r="255" spans="2:26" outlineLevel="1">
      <c r="B255" s="209"/>
      <c r="C255" s="277">
        <f t="shared" si="43"/>
        <v>68</v>
      </c>
      <c r="D255" s="277" t="s">
        <v>52</v>
      </c>
      <c r="E255" s="278">
        <v>711161222</v>
      </c>
      <c r="F255" s="388" t="s">
        <v>175</v>
      </c>
      <c r="G255" s="389"/>
      <c r="H255" s="389"/>
      <c r="I255" s="390"/>
      <c r="J255" s="38" t="s">
        <v>53</v>
      </c>
      <c r="K255" s="281">
        <f>K248</f>
        <v>10.9</v>
      </c>
      <c r="L255" s="97"/>
      <c r="M255" s="98"/>
      <c r="N255" s="393">
        <f t="shared" ref="N255" si="45">ROUND(L255*K255,2)</f>
        <v>0</v>
      </c>
      <c r="O255" s="394"/>
      <c r="P255" s="394"/>
      <c r="Q255" s="395"/>
      <c r="R255" s="210"/>
      <c r="T255" s="25"/>
    </row>
    <row r="256" spans="2:26" s="354" customFormat="1" outlineLevel="1">
      <c r="B256" s="353"/>
      <c r="E256" s="358"/>
      <c r="F256" s="358"/>
      <c r="G256" s="358"/>
      <c r="H256" s="358"/>
      <c r="I256" s="358"/>
      <c r="J256" s="358"/>
      <c r="K256" s="358"/>
      <c r="L256" s="156"/>
      <c r="M256" s="156"/>
      <c r="R256" s="356"/>
      <c r="T256" s="52"/>
      <c r="U256" s="276"/>
      <c r="V256" s="67"/>
      <c r="W256" s="22"/>
      <c r="X256" s="70"/>
      <c r="Y256" s="70"/>
      <c r="Z256" s="375"/>
    </row>
    <row r="257" spans="1:37" s="275" customFormat="1" outlineLevel="1">
      <c r="B257" s="267"/>
      <c r="C257" s="268"/>
      <c r="D257" s="268"/>
      <c r="E257" s="269" t="s">
        <v>530</v>
      </c>
      <c r="F257" s="270"/>
      <c r="G257" s="270"/>
      <c r="H257" s="270"/>
      <c r="I257" s="271"/>
      <c r="J257" s="49" t="s">
        <v>53</v>
      </c>
      <c r="K257" s="272">
        <f>K189</f>
        <v>14.060000000000002</v>
      </c>
      <c r="L257" s="92"/>
      <c r="M257" s="92"/>
      <c r="N257" s="273"/>
      <c r="O257" s="273"/>
      <c r="P257" s="273"/>
      <c r="Q257" s="273"/>
      <c r="R257" s="274"/>
      <c r="T257" s="48"/>
      <c r="U257" s="276"/>
      <c r="V257" s="67"/>
      <c r="W257" s="70"/>
      <c r="X257" s="70"/>
      <c r="Y257" s="70">
        <f>SUM(Y278:Y457)</f>
        <v>0</v>
      </c>
      <c r="Z257" s="375"/>
    </row>
    <row r="258" spans="1:37" ht="10.199999999999999" customHeight="1" outlineLevel="1">
      <c r="B258" s="209"/>
      <c r="C258" s="277">
        <f>C255+1</f>
        <v>69</v>
      </c>
      <c r="D258" s="277" t="s">
        <v>52</v>
      </c>
      <c r="E258" s="278">
        <v>783826615</v>
      </c>
      <c r="F258" s="279" t="s">
        <v>200</v>
      </c>
      <c r="G258" s="279"/>
      <c r="H258" s="279"/>
      <c r="I258" s="279"/>
      <c r="J258" s="38" t="s">
        <v>53</v>
      </c>
      <c r="K258" s="281">
        <f>SUM(K259)</f>
        <v>10.9732</v>
      </c>
      <c r="L258" s="91"/>
      <c r="M258" s="91"/>
      <c r="N258" s="280">
        <f>ROUND(L258*K258,2)</f>
        <v>0</v>
      </c>
      <c r="O258" s="280"/>
      <c r="P258" s="280"/>
      <c r="Q258" s="280"/>
      <c r="R258" s="210"/>
      <c r="T258" s="25"/>
    </row>
    <row r="259" spans="1:37" s="360" customFormat="1" ht="10.199999999999999" customHeight="1" outlineLevel="1">
      <c r="B259" s="359"/>
      <c r="E259" s="361" t="s">
        <v>531</v>
      </c>
      <c r="F259" s="362" t="s">
        <v>532</v>
      </c>
      <c r="G259" s="363">
        <f t="shared" ref="G259:I259" si="46">(10.45+9.25+9.65+9.84)*0.3*0.28</f>
        <v>3.2919600000000004</v>
      </c>
      <c r="H259" s="363">
        <f t="shared" si="46"/>
        <v>3.2919600000000004</v>
      </c>
      <c r="I259" s="363">
        <f t="shared" si="46"/>
        <v>3.2919600000000004</v>
      </c>
      <c r="J259" s="50"/>
      <c r="K259" s="364">
        <f>(10.45+9.25+9.65+9.84)*0.28</f>
        <v>10.9732</v>
      </c>
      <c r="L259" s="157"/>
      <c r="M259" s="157"/>
      <c r="R259" s="365"/>
      <c r="T259" s="51"/>
      <c r="W259" s="141"/>
      <c r="X259" s="141"/>
      <c r="Y259" s="141"/>
      <c r="Z259" s="141"/>
    </row>
    <row r="260" spans="1:37" outlineLevel="1">
      <c r="B260" s="209"/>
      <c r="C260" s="277">
        <f>C258+1</f>
        <v>70</v>
      </c>
      <c r="D260" s="277" t="s">
        <v>59</v>
      </c>
      <c r="E260" s="278" t="s">
        <v>534</v>
      </c>
      <c r="F260" s="279" t="s">
        <v>536</v>
      </c>
      <c r="G260" s="279"/>
      <c r="H260" s="279"/>
      <c r="I260" s="279"/>
      <c r="J260" s="38" t="s">
        <v>58</v>
      </c>
      <c r="K260" s="281">
        <f>SUM(K261:K261)</f>
        <v>16.2</v>
      </c>
      <c r="L260" s="91"/>
      <c r="M260" s="91"/>
      <c r="N260" s="280">
        <f>ROUND(L260*K260,2)</f>
        <v>0</v>
      </c>
      <c r="O260" s="280"/>
      <c r="P260" s="280"/>
      <c r="Q260" s="280"/>
      <c r="R260" s="210"/>
      <c r="T260" s="25"/>
    </row>
    <row r="261" spans="1:37" s="360" customFormat="1" outlineLevel="1">
      <c r="B261" s="359"/>
      <c r="E261" s="361" t="s">
        <v>535</v>
      </c>
      <c r="F261" s="362" t="s">
        <v>537</v>
      </c>
      <c r="G261" s="363"/>
      <c r="H261" s="363"/>
      <c r="I261" s="363"/>
      <c r="J261" s="50"/>
      <c r="K261" s="364">
        <v>16.2</v>
      </c>
      <c r="L261" s="157"/>
      <c r="M261" s="157"/>
      <c r="R261" s="365"/>
      <c r="T261" s="51"/>
      <c r="U261" s="22"/>
      <c r="V261" s="22"/>
      <c r="W261" s="22"/>
      <c r="X261" s="22"/>
      <c r="Y261" s="22"/>
      <c r="Z261" s="141"/>
    </row>
    <row r="262" spans="1:37" outlineLevel="1">
      <c r="B262" s="209"/>
      <c r="C262" s="277">
        <f>C260+1</f>
        <v>71</v>
      </c>
      <c r="D262" s="277" t="s">
        <v>59</v>
      </c>
      <c r="E262" s="278" t="s">
        <v>538</v>
      </c>
      <c r="F262" s="279" t="s">
        <v>540</v>
      </c>
      <c r="G262" s="279"/>
      <c r="H262" s="279"/>
      <c r="I262" s="279"/>
      <c r="J262" s="38" t="s">
        <v>58</v>
      </c>
      <c r="K262" s="281">
        <f>SUM(K263:K263)</f>
        <v>36.1</v>
      </c>
      <c r="L262" s="91"/>
      <c r="M262" s="91"/>
      <c r="N262" s="280">
        <f>ROUND(L262*K262,2)</f>
        <v>0</v>
      </c>
      <c r="O262" s="280"/>
      <c r="P262" s="280"/>
      <c r="Q262" s="280"/>
      <c r="R262" s="210"/>
      <c r="T262" s="25"/>
    </row>
    <row r="263" spans="1:37" s="360" customFormat="1" outlineLevel="1">
      <c r="B263" s="359"/>
      <c r="E263" s="361" t="s">
        <v>539</v>
      </c>
      <c r="F263" s="362" t="s">
        <v>541</v>
      </c>
      <c r="G263" s="363">
        <f t="shared" ref="G263:I263" si="47">4.2+9.6+9.2+7.8+2.7+2.6</f>
        <v>36.1</v>
      </c>
      <c r="H263" s="363">
        <f t="shared" si="47"/>
        <v>36.1</v>
      </c>
      <c r="I263" s="363">
        <f t="shared" si="47"/>
        <v>36.1</v>
      </c>
      <c r="J263" s="50"/>
      <c r="K263" s="364">
        <f>4.2+9.6+9.2+7.8+2.7+2.6</f>
        <v>36.1</v>
      </c>
      <c r="L263" s="157"/>
      <c r="M263" s="157"/>
      <c r="R263" s="365"/>
      <c r="T263" s="51"/>
      <c r="U263" s="22"/>
      <c r="V263" s="22"/>
      <c r="W263" s="22"/>
      <c r="X263" s="22"/>
      <c r="Y263" s="22"/>
      <c r="Z263" s="141"/>
    </row>
    <row r="264" spans="1:37" outlineLevel="1">
      <c r="B264" s="209"/>
      <c r="C264" s="277">
        <f>C262+1</f>
        <v>72</v>
      </c>
      <c r="D264" s="277" t="s">
        <v>52</v>
      </c>
      <c r="E264" s="278">
        <v>711111001</v>
      </c>
      <c r="F264" s="279" t="s">
        <v>165</v>
      </c>
      <c r="G264" s="279"/>
      <c r="H264" s="279"/>
      <c r="I264" s="279"/>
      <c r="J264" s="38" t="s">
        <v>53</v>
      </c>
      <c r="K264" s="281">
        <f>SUM(K265:K265)</f>
        <v>14.440000000000001</v>
      </c>
      <c r="L264" s="91"/>
      <c r="M264" s="91"/>
      <c r="N264" s="280">
        <f t="shared" ref="N264" si="48">ROUND(L264*K264,2)</f>
        <v>0</v>
      </c>
      <c r="O264" s="280"/>
      <c r="P264" s="280"/>
      <c r="Q264" s="280"/>
      <c r="R264" s="210"/>
      <c r="T264" s="25"/>
    </row>
    <row r="265" spans="1:37" s="360" customFormat="1" outlineLevel="1">
      <c r="B265" s="359"/>
      <c r="E265" s="361" t="s">
        <v>518</v>
      </c>
      <c r="F265" s="362" t="s">
        <v>542</v>
      </c>
      <c r="G265" s="363">
        <f t="shared" ref="G265:I267" si="49">(4.2+9.6+9.2+7.8+2.7+2.6)*0.4</f>
        <v>14.440000000000001</v>
      </c>
      <c r="H265" s="363">
        <f t="shared" si="49"/>
        <v>14.440000000000001</v>
      </c>
      <c r="I265" s="363">
        <f t="shared" si="49"/>
        <v>14.440000000000001</v>
      </c>
      <c r="J265" s="50"/>
      <c r="K265" s="364">
        <f>(4.2+9.6+9.2+7.8+2.7+2.6)*0.4</f>
        <v>14.440000000000001</v>
      </c>
      <c r="L265" s="157"/>
      <c r="M265" s="157"/>
      <c r="R265" s="365"/>
      <c r="T265" s="51"/>
      <c r="W265" s="141"/>
      <c r="X265" s="141"/>
      <c r="Y265" s="141"/>
      <c r="Z265" s="141"/>
    </row>
    <row r="266" spans="1:37" outlineLevel="1">
      <c r="B266" s="209"/>
      <c r="C266" s="277">
        <f>C264+1</f>
        <v>73</v>
      </c>
      <c r="D266" s="277" t="s">
        <v>52</v>
      </c>
      <c r="E266" s="278">
        <v>711112001</v>
      </c>
      <c r="F266" s="279" t="s">
        <v>166</v>
      </c>
      <c r="G266" s="279"/>
      <c r="H266" s="279"/>
      <c r="I266" s="279"/>
      <c r="J266" s="38" t="s">
        <v>53</v>
      </c>
      <c r="K266" s="281">
        <f>SUM(K267:K267)</f>
        <v>18.05</v>
      </c>
      <c r="L266" s="91"/>
      <c r="M266" s="91"/>
      <c r="N266" s="280">
        <f t="shared" ref="N266" si="50">ROUND(L266*K266,2)</f>
        <v>0</v>
      </c>
      <c r="O266" s="280"/>
      <c r="P266" s="280"/>
      <c r="Q266" s="280"/>
      <c r="R266" s="210"/>
      <c r="T266" s="25"/>
    </row>
    <row r="267" spans="1:37" s="360" customFormat="1" outlineLevel="1">
      <c r="B267" s="359"/>
      <c r="E267" s="361" t="s">
        <v>543</v>
      </c>
      <c r="F267" s="362" t="s">
        <v>544</v>
      </c>
      <c r="G267" s="363">
        <f t="shared" si="49"/>
        <v>14.440000000000001</v>
      </c>
      <c r="H267" s="363">
        <f t="shared" si="49"/>
        <v>14.440000000000001</v>
      </c>
      <c r="I267" s="363">
        <f t="shared" si="49"/>
        <v>14.440000000000001</v>
      </c>
      <c r="J267" s="50"/>
      <c r="K267" s="364">
        <f>(4.2+9.6+9.2+7.8+2.7+2.6)*0.5</f>
        <v>18.05</v>
      </c>
      <c r="L267" s="157"/>
      <c r="M267" s="157"/>
      <c r="R267" s="365"/>
      <c r="T267" s="51"/>
      <c r="W267" s="141"/>
      <c r="X267" s="141"/>
      <c r="Y267" s="141"/>
      <c r="Z267" s="141"/>
    </row>
    <row r="268" spans="1:37" outlineLevel="1">
      <c r="B268" s="209"/>
      <c r="C268" s="367">
        <f>C264+1</f>
        <v>73</v>
      </c>
      <c r="D268" s="367" t="s">
        <v>59</v>
      </c>
      <c r="E268" s="368" t="s">
        <v>169</v>
      </c>
      <c r="F268" s="377" t="s">
        <v>170</v>
      </c>
      <c r="G268" s="378"/>
      <c r="H268" s="378"/>
      <c r="I268" s="379"/>
      <c r="J268" s="39" t="s">
        <v>98</v>
      </c>
      <c r="K268" s="370">
        <f>SUM(K269)</f>
        <v>6.4980000000000011</v>
      </c>
      <c r="L268" s="99"/>
      <c r="M268" s="100"/>
      <c r="N268" s="380">
        <f>ROUND(L268*K268,2)</f>
        <v>0</v>
      </c>
      <c r="O268" s="381"/>
      <c r="P268" s="381"/>
      <c r="Q268" s="382"/>
      <c r="R268" s="210"/>
      <c r="V268" s="66"/>
      <c r="W268" s="22"/>
      <c r="X268" s="22"/>
      <c r="Y268" s="22"/>
      <c r="Z268" s="22"/>
      <c r="AA268" s="22"/>
      <c r="AB268" s="22"/>
      <c r="AC268" s="22"/>
      <c r="AD268" s="366"/>
      <c r="AE268" s="141"/>
      <c r="AF268" s="141"/>
      <c r="AG268" s="22"/>
      <c r="AH268" s="22"/>
      <c r="AI268" s="22"/>
      <c r="AJ268" s="22"/>
      <c r="AK268" s="22"/>
    </row>
    <row r="269" spans="1:37" s="360" customFormat="1" outlineLevel="1">
      <c r="A269" s="142"/>
      <c r="B269" s="209"/>
      <c r="E269" s="361" t="s">
        <v>167</v>
      </c>
      <c r="F269" s="362" t="s">
        <v>171</v>
      </c>
      <c r="G269" s="363"/>
      <c r="H269" s="363"/>
      <c r="I269" s="363"/>
      <c r="J269" s="50">
        <v>0.2</v>
      </c>
      <c r="K269" s="364">
        <f>(K264+K266)*J269</f>
        <v>6.4980000000000011</v>
      </c>
      <c r="L269" s="157"/>
      <c r="M269" s="157"/>
      <c r="R269" s="210"/>
      <c r="S269" s="142"/>
    </row>
    <row r="270" spans="1:37" ht="27" customHeight="1" outlineLevel="1">
      <c r="B270" s="209"/>
      <c r="C270" s="277">
        <f>C266+1</f>
        <v>74</v>
      </c>
      <c r="D270" s="277" t="s">
        <v>52</v>
      </c>
      <c r="E270" s="278">
        <v>711413111</v>
      </c>
      <c r="F270" s="388" t="s">
        <v>161</v>
      </c>
      <c r="G270" s="389"/>
      <c r="H270" s="389"/>
      <c r="I270" s="390"/>
      <c r="J270" s="38" t="s">
        <v>53</v>
      </c>
      <c r="K270" s="281">
        <f>K264</f>
        <v>14.440000000000001</v>
      </c>
      <c r="L270" s="97"/>
      <c r="M270" s="98"/>
      <c r="N270" s="393">
        <f t="shared" ref="N270:N271" si="51">ROUND(L270*K270,2)</f>
        <v>0</v>
      </c>
      <c r="O270" s="394"/>
      <c r="P270" s="394"/>
      <c r="Q270" s="395"/>
      <c r="R270" s="210"/>
      <c r="T270" s="25"/>
    </row>
    <row r="271" spans="1:37" ht="27" customHeight="1" outlineLevel="1">
      <c r="B271" s="209"/>
      <c r="C271" s="277">
        <f t="shared" ref="C271:C272" si="52">C270+1</f>
        <v>75</v>
      </c>
      <c r="D271" s="277" t="s">
        <v>52</v>
      </c>
      <c r="E271" s="278">
        <v>711413121</v>
      </c>
      <c r="F271" s="388" t="s">
        <v>162</v>
      </c>
      <c r="G271" s="389"/>
      <c r="H271" s="389"/>
      <c r="I271" s="390"/>
      <c r="J271" s="38" t="s">
        <v>53</v>
      </c>
      <c r="K271" s="281">
        <f>K266</f>
        <v>18.05</v>
      </c>
      <c r="L271" s="97"/>
      <c r="M271" s="98"/>
      <c r="N271" s="393">
        <f t="shared" si="51"/>
        <v>0</v>
      </c>
      <c r="O271" s="394"/>
      <c r="P271" s="394"/>
      <c r="Q271" s="395"/>
      <c r="R271" s="210"/>
      <c r="T271" s="25"/>
    </row>
    <row r="272" spans="1:37" ht="10.199999999999999" customHeight="1" outlineLevel="1">
      <c r="B272" s="209"/>
      <c r="C272" s="277">
        <f t="shared" si="52"/>
        <v>76</v>
      </c>
      <c r="D272" s="277" t="s">
        <v>52</v>
      </c>
      <c r="E272" s="278">
        <v>637121111</v>
      </c>
      <c r="F272" s="279" t="s">
        <v>547</v>
      </c>
      <c r="G272" s="279"/>
      <c r="H272" s="279"/>
      <c r="I272" s="279"/>
      <c r="J272" s="38" t="s">
        <v>53</v>
      </c>
      <c r="K272" s="281">
        <f>SUM(K273:K273)</f>
        <v>12.635</v>
      </c>
      <c r="L272" s="91"/>
      <c r="M272" s="91"/>
      <c r="N272" s="280">
        <f>ROUND(L272*K272,2)</f>
        <v>0</v>
      </c>
      <c r="O272" s="280"/>
      <c r="P272" s="280"/>
      <c r="Q272" s="280"/>
      <c r="R272" s="210"/>
      <c r="T272" s="25"/>
    </row>
    <row r="273" spans="2:26" s="360" customFormat="1" outlineLevel="1">
      <c r="B273" s="359"/>
      <c r="E273" s="361" t="s">
        <v>545</v>
      </c>
      <c r="F273" s="362" t="s">
        <v>546</v>
      </c>
      <c r="G273" s="363">
        <f t="shared" ref="G273:I273" si="53">(4.2+9.6+9.2+7.8+2.7+2.6)*0.4</f>
        <v>14.440000000000001</v>
      </c>
      <c r="H273" s="363">
        <f t="shared" si="53"/>
        <v>14.440000000000001</v>
      </c>
      <c r="I273" s="363">
        <f t="shared" si="53"/>
        <v>14.440000000000001</v>
      </c>
      <c r="J273" s="50"/>
      <c r="K273" s="364">
        <f>(4.2+9.6+9.2+7.8+2.7+2.6)*0.35</f>
        <v>12.635</v>
      </c>
      <c r="L273" s="157"/>
      <c r="M273" s="157"/>
      <c r="R273" s="365"/>
      <c r="T273" s="51"/>
      <c r="W273" s="141"/>
      <c r="X273" s="141"/>
      <c r="Y273" s="141"/>
      <c r="Z273" s="141"/>
    </row>
    <row r="274" spans="2:26" s="354" customFormat="1">
      <c r="B274" s="353"/>
      <c r="E274" s="358"/>
      <c r="F274" s="358"/>
      <c r="G274" s="358"/>
      <c r="H274" s="358"/>
      <c r="I274" s="358"/>
      <c r="J274" s="358"/>
      <c r="K274" s="358"/>
      <c r="L274" s="156"/>
      <c r="M274" s="156"/>
      <c r="R274" s="356"/>
      <c r="T274" s="52"/>
      <c r="W274" s="375"/>
      <c r="X274" s="375"/>
      <c r="Y274" s="375"/>
      <c r="Z274" s="375"/>
    </row>
    <row r="275" spans="2:26" s="266" customFormat="1" ht="13.2">
      <c r="B275" s="262"/>
      <c r="C275" s="263"/>
      <c r="D275" s="263" t="s">
        <v>195</v>
      </c>
      <c r="E275" s="263"/>
      <c r="F275" s="263"/>
      <c r="G275" s="263"/>
      <c r="H275" s="263"/>
      <c r="I275" s="263"/>
      <c r="J275" s="36"/>
      <c r="K275" s="263"/>
      <c r="L275" s="155"/>
      <c r="M275" s="155"/>
      <c r="N275" s="264">
        <f>SUM(N276)</f>
        <v>0</v>
      </c>
      <c r="O275" s="264"/>
      <c r="P275" s="264"/>
      <c r="Q275" s="264"/>
      <c r="R275" s="265"/>
      <c r="T275" s="25">
        <f>SUM(N275:Q276)/2</f>
        <v>0</v>
      </c>
      <c r="W275" s="141"/>
      <c r="X275" s="141"/>
      <c r="Y275" s="141"/>
      <c r="Z275" s="141"/>
    </row>
    <row r="276" spans="2:26" ht="11.25" customHeight="1" outlineLevel="1">
      <c r="B276" s="209"/>
      <c r="C276" s="277">
        <f>C272+1</f>
        <v>77</v>
      </c>
      <c r="D276" s="277" t="s">
        <v>59</v>
      </c>
      <c r="E276" s="278" t="s">
        <v>521</v>
      </c>
      <c r="F276" s="279" t="s">
        <v>522</v>
      </c>
      <c r="G276" s="279"/>
      <c r="H276" s="279"/>
      <c r="I276" s="279"/>
      <c r="J276" s="38" t="s">
        <v>60</v>
      </c>
      <c r="K276" s="40">
        <f>N113+N161</f>
        <v>0</v>
      </c>
      <c r="L276" s="95"/>
      <c r="M276" s="95"/>
      <c r="N276" s="280">
        <f>ROUND(L276*K276,2)</f>
        <v>0</v>
      </c>
      <c r="O276" s="280"/>
      <c r="P276" s="280"/>
      <c r="Q276" s="280"/>
      <c r="R276" s="210"/>
      <c r="T276" s="25"/>
    </row>
    <row r="277" spans="2:26" s="354" customFormat="1">
      <c r="B277" s="353"/>
      <c r="C277" s="372"/>
      <c r="D277" s="372"/>
      <c r="E277" s="373"/>
      <c r="F277" s="373"/>
      <c r="G277" s="373"/>
      <c r="H277" s="373"/>
      <c r="I277" s="373"/>
      <c r="J277" s="373"/>
      <c r="K277" s="373"/>
      <c r="L277" s="159"/>
      <c r="M277" s="159"/>
      <c r="N277" s="372"/>
      <c r="O277" s="372"/>
      <c r="P277" s="372"/>
      <c r="Q277" s="372"/>
      <c r="R277" s="356"/>
      <c r="T277" s="52"/>
      <c r="W277" s="375"/>
      <c r="X277" s="375"/>
      <c r="Y277" s="375"/>
      <c r="Z277" s="375"/>
    </row>
    <row r="278" spans="2:26">
      <c r="B278" s="231"/>
      <c r="C278" s="232"/>
      <c r="D278" s="232"/>
      <c r="E278" s="232"/>
      <c r="F278" s="232"/>
      <c r="G278" s="232"/>
      <c r="H278" s="232"/>
      <c r="I278" s="232"/>
      <c r="J278" s="62"/>
      <c r="K278" s="232"/>
      <c r="L278" s="232"/>
      <c r="M278" s="232"/>
      <c r="N278" s="232"/>
      <c r="O278" s="232"/>
      <c r="P278" s="232"/>
      <c r="Q278" s="232"/>
      <c r="R278" s="233"/>
    </row>
  </sheetData>
  <sheetProtection algorithmName="SHA-512" hashValue="+zL/nm4yG2mEeZyoG1+q+6iQMgfY1wFkizskU7aWqaQnFfKbYjdEyTVk6OOxNMjXQg/hGx227QFnYky0RDT5gA==" saltValue="9B9g+Ngn7ErxZLNlTXiEZg==" spinCount="100000" sheet="1" objects="1" scenarios="1"/>
  <mergeCells count="394">
    <mergeCell ref="E22:P22"/>
    <mergeCell ref="O10:P10"/>
    <mergeCell ref="F12:I12"/>
    <mergeCell ref="O12:P12"/>
    <mergeCell ref="O13:P13"/>
    <mergeCell ref="O15:P15"/>
    <mergeCell ref="O16:P16"/>
    <mergeCell ref="C2:Q2"/>
    <mergeCell ref="F4:P4"/>
    <mergeCell ref="F5:P5"/>
    <mergeCell ref="O7:P7"/>
    <mergeCell ref="F9:L9"/>
    <mergeCell ref="O9:P9"/>
    <mergeCell ref="O18:P18"/>
    <mergeCell ref="O19:P19"/>
    <mergeCell ref="O21:P21"/>
    <mergeCell ref="H33:J33"/>
    <mergeCell ref="M33:P33"/>
    <mergeCell ref="L35:P35"/>
    <mergeCell ref="C73:Q73"/>
    <mergeCell ref="F75:P75"/>
    <mergeCell ref="F76:P76"/>
    <mergeCell ref="D25:E25"/>
    <mergeCell ref="G25:P25"/>
    <mergeCell ref="M28:P28"/>
    <mergeCell ref="M30:P30"/>
    <mergeCell ref="H32:J32"/>
    <mergeCell ref="M32:P32"/>
    <mergeCell ref="N85:Q85"/>
    <mergeCell ref="N86:Q86"/>
    <mergeCell ref="N87:Q87"/>
    <mergeCell ref="N88:Q88"/>
    <mergeCell ref="N89:Q89"/>
    <mergeCell ref="M78:P78"/>
    <mergeCell ref="F80:J80"/>
    <mergeCell ref="M80:Q80"/>
    <mergeCell ref="M81:Q81"/>
    <mergeCell ref="C83:G83"/>
    <mergeCell ref="N83:Q83"/>
    <mergeCell ref="F100:P100"/>
    <mergeCell ref="M102:P102"/>
    <mergeCell ref="F104:J104"/>
    <mergeCell ref="M104:Q104"/>
    <mergeCell ref="M105:Q105"/>
    <mergeCell ref="F106:P106"/>
    <mergeCell ref="L91:Q91"/>
    <mergeCell ref="C97:Q97"/>
    <mergeCell ref="F99:P99"/>
    <mergeCell ref="N113:Q113"/>
    <mergeCell ref="F116:I116"/>
    <mergeCell ref="L116:M116"/>
    <mergeCell ref="N116:Q116"/>
    <mergeCell ref="F107:P107"/>
    <mergeCell ref="F109:I109"/>
    <mergeCell ref="L109:M109"/>
    <mergeCell ref="N109:Q109"/>
    <mergeCell ref="N110:Q110"/>
    <mergeCell ref="N111:Q111"/>
    <mergeCell ref="E115:I115"/>
    <mergeCell ref="L115:M115"/>
    <mergeCell ref="N115:Q115"/>
    <mergeCell ref="E112:K112"/>
    <mergeCell ref="F123:I123"/>
    <mergeCell ref="L123:M123"/>
    <mergeCell ref="N123:Q123"/>
    <mergeCell ref="F124:I124"/>
    <mergeCell ref="F125:I125"/>
    <mergeCell ref="L125:M125"/>
    <mergeCell ref="N125:Q125"/>
    <mergeCell ref="F117:I117"/>
    <mergeCell ref="F121:I121"/>
    <mergeCell ref="L121:M121"/>
    <mergeCell ref="N121:Q121"/>
    <mergeCell ref="F122:I122"/>
    <mergeCell ref="F120:I120"/>
    <mergeCell ref="F118:I118"/>
    <mergeCell ref="F119:I119"/>
    <mergeCell ref="F134:I134"/>
    <mergeCell ref="F129:I129"/>
    <mergeCell ref="L129:M129"/>
    <mergeCell ref="N129:Q129"/>
    <mergeCell ref="F131:I131"/>
    <mergeCell ref="F133:I133"/>
    <mergeCell ref="L133:M133"/>
    <mergeCell ref="N133:Q133"/>
    <mergeCell ref="F126:I126"/>
    <mergeCell ref="F127:I127"/>
    <mergeCell ref="L127:M127"/>
    <mergeCell ref="N127:Q127"/>
    <mergeCell ref="F128:I128"/>
    <mergeCell ref="F132:I132"/>
    <mergeCell ref="E130:I130"/>
    <mergeCell ref="F138:I138"/>
    <mergeCell ref="F140:I140"/>
    <mergeCell ref="L140:M140"/>
    <mergeCell ref="N140:Q140"/>
    <mergeCell ref="F141:I141"/>
    <mergeCell ref="F142:I142"/>
    <mergeCell ref="L142:M142"/>
    <mergeCell ref="N142:Q142"/>
    <mergeCell ref="E136:I136"/>
    <mergeCell ref="L136:M136"/>
    <mergeCell ref="N136:Q136"/>
    <mergeCell ref="F137:I137"/>
    <mergeCell ref="L137:M137"/>
    <mergeCell ref="N137:Q137"/>
    <mergeCell ref="L141:M141"/>
    <mergeCell ref="N141:Q141"/>
    <mergeCell ref="F139:I139"/>
    <mergeCell ref="F143:I143"/>
    <mergeCell ref="F146:I146"/>
    <mergeCell ref="L146:M146"/>
    <mergeCell ref="N146:Q146"/>
    <mergeCell ref="F147:I147"/>
    <mergeCell ref="F148:I148"/>
    <mergeCell ref="L148:M148"/>
    <mergeCell ref="N148:Q148"/>
    <mergeCell ref="F152:I152"/>
    <mergeCell ref="L152:M152"/>
    <mergeCell ref="N152:Q152"/>
    <mergeCell ref="F151:I151"/>
    <mergeCell ref="L144:M144"/>
    <mergeCell ref="F144:I144"/>
    <mergeCell ref="F145:I145"/>
    <mergeCell ref="N144:Q144"/>
    <mergeCell ref="F157:I157"/>
    <mergeCell ref="L157:M157"/>
    <mergeCell ref="N157:Q157"/>
    <mergeCell ref="F158:I158"/>
    <mergeCell ref="F149:I149"/>
    <mergeCell ref="F150:I150"/>
    <mergeCell ref="L150:M150"/>
    <mergeCell ref="N150:Q150"/>
    <mergeCell ref="E156:I156"/>
    <mergeCell ref="L156:M156"/>
    <mergeCell ref="N156:Q156"/>
    <mergeCell ref="F153:I153"/>
    <mergeCell ref="L153:M153"/>
    <mergeCell ref="N153:Q153"/>
    <mergeCell ref="F154:I154"/>
    <mergeCell ref="F159:I159"/>
    <mergeCell ref="L159:M159"/>
    <mergeCell ref="N159:Q159"/>
    <mergeCell ref="N161:Q161"/>
    <mergeCell ref="F169:I169"/>
    <mergeCell ref="F170:I170"/>
    <mergeCell ref="F162:I162"/>
    <mergeCell ref="F163:I163"/>
    <mergeCell ref="F164:I164"/>
    <mergeCell ref="F165:I165"/>
    <mergeCell ref="F167:I167"/>
    <mergeCell ref="F168:I168"/>
    <mergeCell ref="E192:I192"/>
    <mergeCell ref="L192:M192"/>
    <mergeCell ref="L197:M197"/>
    <mergeCell ref="N197:Q197"/>
    <mergeCell ref="F198:I198"/>
    <mergeCell ref="E201:I201"/>
    <mergeCell ref="L201:M201"/>
    <mergeCell ref="N201:Q201"/>
    <mergeCell ref="F204:I204"/>
    <mergeCell ref="L204:M204"/>
    <mergeCell ref="N204:Q204"/>
    <mergeCell ref="F211:I211"/>
    <mergeCell ref="L211:M211"/>
    <mergeCell ref="N211:Q211"/>
    <mergeCell ref="L215:M215"/>
    <mergeCell ref="N215:Q215"/>
    <mergeCell ref="F215:I215"/>
    <mergeCell ref="F216:I216"/>
    <mergeCell ref="F212:I212"/>
    <mergeCell ref="L213:M213"/>
    <mergeCell ref="N213:Q213"/>
    <mergeCell ref="N275:Q275"/>
    <mergeCell ref="F276:I276"/>
    <mergeCell ref="L276:M276"/>
    <mergeCell ref="N276:Q276"/>
    <mergeCell ref="F219:I219"/>
    <mergeCell ref="F272:I272"/>
    <mergeCell ref="F220:I220"/>
    <mergeCell ref="L220:M220"/>
    <mergeCell ref="N220:Q220"/>
    <mergeCell ref="E257:I257"/>
    <mergeCell ref="L257:M257"/>
    <mergeCell ref="N257:Q257"/>
    <mergeCell ref="L258:M258"/>
    <mergeCell ref="N258:Q258"/>
    <mergeCell ref="L272:M272"/>
    <mergeCell ref="N272:Q272"/>
    <mergeCell ref="F273:I273"/>
    <mergeCell ref="F261:I261"/>
    <mergeCell ref="N241:Q241"/>
    <mergeCell ref="F242:I242"/>
    <mergeCell ref="L242:M242"/>
    <mergeCell ref="N242:Q242"/>
    <mergeCell ref="F243:I243"/>
    <mergeCell ref="L243:M243"/>
    <mergeCell ref="E171:I171"/>
    <mergeCell ref="L171:M171"/>
    <mergeCell ref="N171:Q171"/>
    <mergeCell ref="F172:I172"/>
    <mergeCell ref="L172:M172"/>
    <mergeCell ref="N172:Q172"/>
    <mergeCell ref="F173:I173"/>
    <mergeCell ref="F174:I174"/>
    <mergeCell ref="L174:M174"/>
    <mergeCell ref="N174:Q174"/>
    <mergeCell ref="F175:I175"/>
    <mergeCell ref="L175:M175"/>
    <mergeCell ref="N175:Q175"/>
    <mergeCell ref="E177:I177"/>
    <mergeCell ref="L177:M177"/>
    <mergeCell ref="N177:Q177"/>
    <mergeCell ref="F178:I178"/>
    <mergeCell ref="L178:M178"/>
    <mergeCell ref="N178:Q178"/>
    <mergeCell ref="F176:I176"/>
    <mergeCell ref="F179:I179"/>
    <mergeCell ref="F180:I180"/>
    <mergeCell ref="L180:M180"/>
    <mergeCell ref="N180:Q180"/>
    <mergeCell ref="F181:I181"/>
    <mergeCell ref="F182:I182"/>
    <mergeCell ref="L182:M182"/>
    <mergeCell ref="N182:Q182"/>
    <mergeCell ref="F183:I183"/>
    <mergeCell ref="F184:I184"/>
    <mergeCell ref="L184:M184"/>
    <mergeCell ref="N184:Q184"/>
    <mergeCell ref="F185:I185"/>
    <mergeCell ref="F186:I186"/>
    <mergeCell ref="L186:M186"/>
    <mergeCell ref="N186:Q186"/>
    <mergeCell ref="F187:I187"/>
    <mergeCell ref="E188:I188"/>
    <mergeCell ref="L188:M188"/>
    <mergeCell ref="N188:Q188"/>
    <mergeCell ref="F189:I189"/>
    <mergeCell ref="L189:M189"/>
    <mergeCell ref="N189:Q189"/>
    <mergeCell ref="F191:I191"/>
    <mergeCell ref="E190:I190"/>
    <mergeCell ref="L205:M205"/>
    <mergeCell ref="N205:Q205"/>
    <mergeCell ref="L208:M208"/>
    <mergeCell ref="N208:Q208"/>
    <mergeCell ref="N199:Q199"/>
    <mergeCell ref="F199:I199"/>
    <mergeCell ref="L199:M199"/>
    <mergeCell ref="F197:I197"/>
    <mergeCell ref="F206:I206"/>
    <mergeCell ref="F208:I208"/>
    <mergeCell ref="F195:I195"/>
    <mergeCell ref="L195:M195"/>
    <mergeCell ref="N195:Q195"/>
    <mergeCell ref="F196:I196"/>
    <mergeCell ref="N192:Q192"/>
    <mergeCell ref="F193:I193"/>
    <mergeCell ref="L193:M193"/>
    <mergeCell ref="N193:Q193"/>
    <mergeCell ref="F194:I194"/>
    <mergeCell ref="L210:M210"/>
    <mergeCell ref="N210:Q210"/>
    <mergeCell ref="F202:I202"/>
    <mergeCell ref="L202:M202"/>
    <mergeCell ref="N202:Q202"/>
    <mergeCell ref="F203:I203"/>
    <mergeCell ref="L203:M203"/>
    <mergeCell ref="N203:Q203"/>
    <mergeCell ref="F210:I210"/>
    <mergeCell ref="F207:I207"/>
    <mergeCell ref="L206:M206"/>
    <mergeCell ref="N206:Q206"/>
    <mergeCell ref="F205:I205"/>
    <mergeCell ref="F209:I209"/>
    <mergeCell ref="F259:I259"/>
    <mergeCell ref="F260:I260"/>
    <mergeCell ref="L260:M260"/>
    <mergeCell ref="N260:Q260"/>
    <mergeCell ref="F251:I251"/>
    <mergeCell ref="L251:M251"/>
    <mergeCell ref="N251:Q251"/>
    <mergeCell ref="F252:I252"/>
    <mergeCell ref="L252:M252"/>
    <mergeCell ref="N252:Q252"/>
    <mergeCell ref="F254:I254"/>
    <mergeCell ref="L254:M254"/>
    <mergeCell ref="N254:Q254"/>
    <mergeCell ref="F258:I258"/>
    <mergeCell ref="F213:I213"/>
    <mergeCell ref="F214:I214"/>
    <mergeCell ref="L214:M214"/>
    <mergeCell ref="N214:Q214"/>
    <mergeCell ref="L230:M230"/>
    <mergeCell ref="N230:Q230"/>
    <mergeCell ref="F226:I226"/>
    <mergeCell ref="L226:M226"/>
    <mergeCell ref="N226:Q226"/>
    <mergeCell ref="F227:I227"/>
    <mergeCell ref="L227:M227"/>
    <mergeCell ref="N227:Q227"/>
    <mergeCell ref="F228:I228"/>
    <mergeCell ref="L228:M228"/>
    <mergeCell ref="N228:Q228"/>
    <mergeCell ref="E222:I222"/>
    <mergeCell ref="L222:M222"/>
    <mergeCell ref="N222:Q222"/>
    <mergeCell ref="F223:I223"/>
    <mergeCell ref="L216:M216"/>
    <mergeCell ref="N216:Q216"/>
    <mergeCell ref="F217:I217"/>
    <mergeCell ref="F218:I218"/>
    <mergeCell ref="L218:M218"/>
    <mergeCell ref="N218:Q218"/>
    <mergeCell ref="L217:M217"/>
    <mergeCell ref="N217:Q217"/>
    <mergeCell ref="F229:I229"/>
    <mergeCell ref="F230:I230"/>
    <mergeCell ref="F245:I245"/>
    <mergeCell ref="L245:M245"/>
    <mergeCell ref="N245:Q245"/>
    <mergeCell ref="E240:I240"/>
    <mergeCell ref="L240:M240"/>
    <mergeCell ref="N240:Q240"/>
    <mergeCell ref="F241:I241"/>
    <mergeCell ref="L241:M241"/>
    <mergeCell ref="L250:M250"/>
    <mergeCell ref="N250:Q250"/>
    <mergeCell ref="F235:I235"/>
    <mergeCell ref="F236:I236"/>
    <mergeCell ref="L236:M236"/>
    <mergeCell ref="N236:Q236"/>
    <mergeCell ref="N244:Q244"/>
    <mergeCell ref="F255:I255"/>
    <mergeCell ref="L255:M255"/>
    <mergeCell ref="N255:Q255"/>
    <mergeCell ref="E248:I248"/>
    <mergeCell ref="L248:M248"/>
    <mergeCell ref="F246:I246"/>
    <mergeCell ref="L246:M246"/>
    <mergeCell ref="N246:Q246"/>
    <mergeCell ref="F253:I253"/>
    <mergeCell ref="L253:M253"/>
    <mergeCell ref="N253:Q253"/>
    <mergeCell ref="N248:Q248"/>
    <mergeCell ref="L223:M223"/>
    <mergeCell ref="N223:Q223"/>
    <mergeCell ref="F225:I225"/>
    <mergeCell ref="L225:M225"/>
    <mergeCell ref="N225:Q225"/>
    <mergeCell ref="F224:I224"/>
    <mergeCell ref="F231:I231"/>
    <mergeCell ref="F232:I232"/>
    <mergeCell ref="L232:M232"/>
    <mergeCell ref="N232:Q232"/>
    <mergeCell ref="F234:I234"/>
    <mergeCell ref="L234:M234"/>
    <mergeCell ref="N234:Q234"/>
    <mergeCell ref="F269:I269"/>
    <mergeCell ref="F270:I270"/>
    <mergeCell ref="L270:M270"/>
    <mergeCell ref="N270:Q270"/>
    <mergeCell ref="F233:I233"/>
    <mergeCell ref="F262:I262"/>
    <mergeCell ref="L262:M262"/>
    <mergeCell ref="N262:Q262"/>
    <mergeCell ref="F237:I237"/>
    <mergeCell ref="L237:M237"/>
    <mergeCell ref="N237:Q237"/>
    <mergeCell ref="F238:I238"/>
    <mergeCell ref="L238:M238"/>
    <mergeCell ref="N238:Q238"/>
    <mergeCell ref="N243:Q243"/>
    <mergeCell ref="F244:I244"/>
    <mergeCell ref="L244:M244"/>
    <mergeCell ref="F249:I249"/>
    <mergeCell ref="L249:M249"/>
    <mergeCell ref="N249:Q249"/>
    <mergeCell ref="F250:I250"/>
    <mergeCell ref="F271:I271"/>
    <mergeCell ref="L271:M271"/>
    <mergeCell ref="N271:Q271"/>
    <mergeCell ref="F267:I267"/>
    <mergeCell ref="F263:I263"/>
    <mergeCell ref="F264:I264"/>
    <mergeCell ref="L264:M264"/>
    <mergeCell ref="N264:Q264"/>
    <mergeCell ref="F265:I265"/>
    <mergeCell ref="F266:I266"/>
    <mergeCell ref="L266:M266"/>
    <mergeCell ref="N266:Q266"/>
    <mergeCell ref="F268:I268"/>
    <mergeCell ref="L268:M268"/>
    <mergeCell ref="N268:Q2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4F99F-5FE7-469F-A634-284031EA598F}">
  <sheetPr>
    <pageSetUpPr fitToPage="1"/>
  </sheetPr>
  <dimension ref="A1:AK171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5" width="11.42578125" style="141" hidden="1" customWidth="1" outlineLevel="1"/>
    <col min="26" max="26" width="11.42578125" style="142" hidden="1" customWidth="1" outlineLevel="1"/>
    <col min="27" max="27" width="11.42578125" style="142" customWidth="1" collapsed="1"/>
    <col min="28" max="30" width="11.42578125" style="142" customWidth="1"/>
    <col min="31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548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SO.05 oprava ohradní zdi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5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5">
      <c r="B82" s="209"/>
      <c r="J82" s="26"/>
      <c r="R82" s="210"/>
    </row>
    <row r="83" spans="2:25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K113</f>
        <v>21.75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5">
      <c r="B84" s="209"/>
      <c r="J84" s="26"/>
      <c r="R84" s="210"/>
    </row>
    <row r="85" spans="2:25" ht="15.6">
      <c r="B85" s="209"/>
      <c r="C85" s="237" t="s">
        <v>44</v>
      </c>
      <c r="J85" s="26"/>
      <c r="K85" s="42">
        <f t="shared" ref="K85:K89" si="0">N85/$I$83</f>
        <v>0</v>
      </c>
      <c r="N85" s="179">
        <f>N86</f>
        <v>0</v>
      </c>
      <c r="O85" s="238"/>
      <c r="P85" s="238"/>
      <c r="Q85" s="238"/>
      <c r="R85" s="210"/>
      <c r="T85" s="31">
        <f>SUM(N85:Q89)/3</f>
        <v>0</v>
      </c>
    </row>
    <row r="86" spans="2:25" s="348" customFormat="1" ht="15">
      <c r="B86" s="347"/>
      <c r="D86" s="349" t="str">
        <f>D111</f>
        <v>Stavební práce a dodávky</v>
      </c>
      <c r="J86" s="32"/>
      <c r="K86" s="43">
        <f t="shared" si="0"/>
        <v>0</v>
      </c>
      <c r="N86" s="350">
        <f>SUM(N87:Q89)</f>
        <v>0</v>
      </c>
      <c r="O86" s="351"/>
      <c r="P86" s="351"/>
      <c r="Q86" s="351"/>
      <c r="R86" s="352"/>
      <c r="T86" s="31">
        <f>SUM(N86:Q89)/2</f>
        <v>0</v>
      </c>
      <c r="W86" s="383"/>
      <c r="X86" s="383"/>
      <c r="Y86" s="383"/>
    </row>
    <row r="87" spans="2:25" s="246" customFormat="1" ht="13.2">
      <c r="B87" s="245"/>
      <c r="D87" s="247" t="str">
        <f>D113</f>
        <v xml:space="preserve">    1 - Stavební práce a dodávky</v>
      </c>
      <c r="J87" s="33"/>
      <c r="K87" s="44">
        <f t="shared" si="0"/>
        <v>0</v>
      </c>
      <c r="N87" s="248">
        <f>N113</f>
        <v>0</v>
      </c>
      <c r="O87" s="249"/>
      <c r="P87" s="249"/>
      <c r="Q87" s="249"/>
      <c r="R87" s="250"/>
      <c r="T87" s="23"/>
      <c r="W87" s="192"/>
      <c r="X87" s="192"/>
      <c r="Y87" s="192"/>
    </row>
    <row r="88" spans="2:25" s="246" customFormat="1" ht="13.2">
      <c r="B88" s="245"/>
      <c r="D88" s="247" t="str">
        <f>D131</f>
        <v xml:space="preserve">    2 - Povrchové úpravy dle skladeb</v>
      </c>
      <c r="J88" s="33"/>
      <c r="K88" s="44">
        <f t="shared" si="0"/>
        <v>0</v>
      </c>
      <c r="N88" s="248">
        <f>N131</f>
        <v>0</v>
      </c>
      <c r="O88" s="249"/>
      <c r="P88" s="249"/>
      <c r="Q88" s="249"/>
      <c r="R88" s="250"/>
      <c r="T88" s="23"/>
      <c r="W88" s="192"/>
      <c r="X88" s="192"/>
      <c r="Y88" s="192"/>
    </row>
    <row r="89" spans="2:25" s="246" customFormat="1" ht="13.2">
      <c r="B89" s="245"/>
      <c r="D89" s="247" t="str">
        <f>D168</f>
        <v xml:space="preserve">    998 - Přesuny hmot</v>
      </c>
      <c r="J89" s="33"/>
      <c r="K89" s="44">
        <f t="shared" si="0"/>
        <v>0</v>
      </c>
      <c r="N89" s="248">
        <f>N168</f>
        <v>0</v>
      </c>
      <c r="O89" s="249"/>
      <c r="P89" s="249"/>
      <c r="Q89" s="249"/>
      <c r="R89" s="250"/>
      <c r="T89" s="23"/>
      <c r="W89" s="192"/>
      <c r="X89" s="192"/>
      <c r="Y89" s="192"/>
    </row>
    <row r="90" spans="2:25">
      <c r="B90" s="209"/>
      <c r="J90" s="26"/>
      <c r="R90" s="210"/>
    </row>
    <row r="91" spans="2:25" ht="15.6">
      <c r="B91" s="209"/>
      <c r="C91" s="202" t="s">
        <v>64</v>
      </c>
      <c r="D91" s="203"/>
      <c r="E91" s="203"/>
      <c r="F91" s="203"/>
      <c r="G91" s="203"/>
      <c r="H91" s="203"/>
      <c r="I91" s="203"/>
      <c r="J91" s="30"/>
      <c r="K91" s="45">
        <f>L91/$I$83</f>
        <v>0</v>
      </c>
      <c r="L91" s="204">
        <f>ROUND(N85,2)</f>
        <v>0</v>
      </c>
      <c r="M91" s="204"/>
      <c r="N91" s="204"/>
      <c r="O91" s="204"/>
      <c r="P91" s="204"/>
      <c r="Q91" s="204"/>
      <c r="R91" s="210"/>
    </row>
    <row r="92" spans="2:25">
      <c r="B92" s="231"/>
      <c r="C92" s="232"/>
      <c r="D92" s="232"/>
      <c r="E92" s="232"/>
      <c r="F92" s="232"/>
      <c r="G92" s="232"/>
      <c r="H92" s="232"/>
      <c r="I92" s="232"/>
      <c r="J92" s="62"/>
      <c r="K92" s="232"/>
      <c r="L92" s="232"/>
      <c r="M92" s="232"/>
      <c r="N92" s="232"/>
      <c r="O92" s="232"/>
      <c r="P92" s="232"/>
      <c r="Q92" s="232"/>
      <c r="R92" s="233"/>
    </row>
    <row r="96" spans="2:25">
      <c r="B96" s="206"/>
      <c r="C96" s="207"/>
      <c r="D96" s="207"/>
      <c r="E96" s="207"/>
      <c r="F96" s="207"/>
      <c r="G96" s="207"/>
      <c r="H96" s="207"/>
      <c r="I96" s="207"/>
      <c r="J96" s="61"/>
      <c r="K96" s="207"/>
      <c r="L96" s="207"/>
      <c r="M96" s="207"/>
      <c r="N96" s="207"/>
      <c r="O96" s="207"/>
      <c r="P96" s="207"/>
      <c r="Q96" s="207"/>
      <c r="R96" s="208"/>
    </row>
    <row r="97" spans="2:26" ht="21">
      <c r="B97" s="209"/>
      <c r="C97" s="146" t="s">
        <v>45</v>
      </c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210"/>
    </row>
    <row r="98" spans="2:26" ht="2.25" customHeight="1">
      <c r="B98" s="209"/>
      <c r="J98" s="26"/>
      <c r="R98" s="210"/>
    </row>
    <row r="99" spans="2:26" ht="11.4">
      <c r="B99" s="209"/>
      <c r="C99" s="140" t="s">
        <v>3</v>
      </c>
      <c r="F99" s="211" t="str">
        <f>F4</f>
        <v>Revitalizace veřejného prostoru v proluce mezi ZUŠ a domem čp. 23 vč. přilehlých prostor ul. Radniční</v>
      </c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R99" s="210"/>
    </row>
    <row r="100" spans="2:26" ht="15.6">
      <c r="B100" s="209"/>
      <c r="C100" s="135" t="s">
        <v>39</v>
      </c>
      <c r="F100" s="109" t="str">
        <f>F5</f>
        <v>SO.05 oprava ohradní zdi</v>
      </c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R100" s="210"/>
    </row>
    <row r="101" spans="2:26">
      <c r="B101" s="209"/>
      <c r="J101" s="26"/>
      <c r="R101" s="210"/>
    </row>
    <row r="102" spans="2:26" ht="11.4">
      <c r="B102" s="209"/>
      <c r="C102" s="140" t="s">
        <v>6</v>
      </c>
      <c r="F102" s="145" t="str">
        <f>F7</f>
        <v>Radniční ul. Bílina
p.č. 107, 120/1, 122, 125/1, 125/2, 125/3, 126, k.ú. Bílina [604208]</v>
      </c>
      <c r="J102" s="26"/>
      <c r="K102" s="140" t="s">
        <v>7</v>
      </c>
      <c r="M102" s="166">
        <f>IF(O7="","",O7)</f>
        <v>0</v>
      </c>
      <c r="N102" s="166"/>
      <c r="O102" s="166"/>
      <c r="P102" s="166"/>
      <c r="R102" s="210"/>
    </row>
    <row r="103" spans="2:26">
      <c r="B103" s="209"/>
      <c r="J103" s="26"/>
      <c r="R103" s="210"/>
    </row>
    <row r="104" spans="2:26" ht="48.75" customHeight="1">
      <c r="B104" s="209"/>
      <c r="C104" s="140" t="s">
        <v>8</v>
      </c>
      <c r="F104" s="127" t="str">
        <f>F80</f>
        <v>město Bílina
Břežanská 50/4, 418 31 Bílina</v>
      </c>
      <c r="G104" s="127"/>
      <c r="H104" s="127"/>
      <c r="I104" s="127"/>
      <c r="J104" s="127"/>
      <c r="K104" s="140" t="s">
        <v>13</v>
      </c>
      <c r="M104" s="136" t="str">
        <f>E16</f>
        <v xml:space="preserve">Ing. arch. MgA. Bořek Peška </v>
      </c>
      <c r="N104" s="136"/>
      <c r="O104" s="136"/>
      <c r="P104" s="136"/>
      <c r="Q104" s="136"/>
      <c r="R104" s="210"/>
    </row>
    <row r="105" spans="2:26" ht="11.4">
      <c r="B105" s="209"/>
      <c r="C105" s="140" t="s">
        <v>11</v>
      </c>
      <c r="F105" s="145">
        <f>F81</f>
        <v>0</v>
      </c>
      <c r="J105" s="26"/>
      <c r="K105" s="140" t="s">
        <v>14</v>
      </c>
      <c r="M105" s="136" t="str">
        <f>E19</f>
        <v>Jakub Kulhavý</v>
      </c>
      <c r="N105" s="136"/>
      <c r="O105" s="136"/>
      <c r="P105" s="136"/>
      <c r="Q105" s="136"/>
      <c r="R105" s="210"/>
    </row>
    <row r="106" spans="2:26" ht="11.4">
      <c r="B106" s="209"/>
      <c r="C106" s="140"/>
      <c r="F106" s="211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R106" s="210"/>
    </row>
    <row r="107" spans="2:26" ht="28.5" customHeight="1">
      <c r="B107" s="209"/>
      <c r="C107" s="140" t="s">
        <v>67</v>
      </c>
      <c r="F107" s="139" t="s">
        <v>103</v>
      </c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R107" s="210"/>
    </row>
    <row r="108" spans="2:26" ht="3.75" customHeight="1">
      <c r="B108" s="209"/>
      <c r="J108" s="26"/>
      <c r="R108" s="210"/>
    </row>
    <row r="109" spans="2:26" s="258" customFormat="1" ht="22.8">
      <c r="B109" s="251"/>
      <c r="C109" s="252" t="s">
        <v>46</v>
      </c>
      <c r="D109" s="253" t="s">
        <v>47</v>
      </c>
      <c r="E109" s="253" t="s">
        <v>34</v>
      </c>
      <c r="F109" s="254" t="s">
        <v>48</v>
      </c>
      <c r="G109" s="254"/>
      <c r="H109" s="254"/>
      <c r="I109" s="254"/>
      <c r="J109" s="34" t="s">
        <v>49</v>
      </c>
      <c r="K109" s="253" t="s">
        <v>50</v>
      </c>
      <c r="L109" s="255" t="s">
        <v>51</v>
      </c>
      <c r="M109" s="255"/>
      <c r="N109" s="254" t="s">
        <v>43</v>
      </c>
      <c r="O109" s="254"/>
      <c r="P109" s="254"/>
      <c r="Q109" s="256"/>
      <c r="R109" s="257"/>
      <c r="T109" s="24"/>
      <c r="U109" s="259"/>
      <c r="V109" s="259"/>
      <c r="W109" s="259"/>
      <c r="X109" s="259"/>
      <c r="Y109" s="259"/>
    </row>
    <row r="110" spans="2:26" ht="15.6">
      <c r="B110" s="209"/>
      <c r="C110" s="176" t="s">
        <v>40</v>
      </c>
      <c r="J110" s="26"/>
      <c r="N110" s="260">
        <f>N111</f>
        <v>0</v>
      </c>
      <c r="O110" s="261"/>
      <c r="P110" s="261"/>
      <c r="Q110" s="261"/>
      <c r="R110" s="210"/>
      <c r="T110" s="22">
        <f>T111</f>
        <v>0</v>
      </c>
    </row>
    <row r="111" spans="2:26" s="266" customFormat="1" ht="15">
      <c r="B111" s="262"/>
      <c r="D111" s="349" t="s">
        <v>191</v>
      </c>
      <c r="E111" s="349"/>
      <c r="F111" s="349"/>
      <c r="G111" s="349"/>
      <c r="H111" s="349"/>
      <c r="I111" s="349"/>
      <c r="J111" s="35"/>
      <c r="K111" s="349"/>
      <c r="L111" s="349"/>
      <c r="M111" s="349"/>
      <c r="N111" s="350">
        <f>N113+N131+N168</f>
        <v>0</v>
      </c>
      <c r="O111" s="350"/>
      <c r="P111" s="350"/>
      <c r="Q111" s="350"/>
      <c r="R111" s="265"/>
      <c r="T111" s="25">
        <f>SUM(N111:Q170)/3</f>
        <v>0</v>
      </c>
      <c r="U111" s="141"/>
      <c r="V111" s="384"/>
      <c r="W111" s="385" t="s">
        <v>108</v>
      </c>
      <c r="X111" s="385" t="s">
        <v>118</v>
      </c>
      <c r="Y111" s="385" t="s">
        <v>109</v>
      </c>
    </row>
    <row r="112" spans="2:26" s="354" customFormat="1">
      <c r="B112" s="353"/>
      <c r="E112" s="355" t="s">
        <v>407</v>
      </c>
      <c r="F112" s="355"/>
      <c r="G112" s="355"/>
      <c r="H112" s="355"/>
      <c r="I112" s="355"/>
      <c r="J112" s="355"/>
      <c r="K112" s="355"/>
      <c r="R112" s="356"/>
      <c r="T112" s="52"/>
      <c r="U112" s="67"/>
      <c r="V112" s="69"/>
      <c r="W112" s="69"/>
      <c r="X112" s="69"/>
      <c r="Y112" s="69"/>
      <c r="Z112" s="375"/>
    </row>
    <row r="113" spans="2:26" s="266" customFormat="1" ht="13.2">
      <c r="B113" s="262"/>
      <c r="C113" s="263"/>
      <c r="D113" s="263" t="s">
        <v>450</v>
      </c>
      <c r="E113" s="263"/>
      <c r="F113" s="263"/>
      <c r="G113" s="263"/>
      <c r="H113" s="263"/>
      <c r="I113" s="263"/>
      <c r="J113" s="36"/>
      <c r="K113" s="357">
        <f>K131</f>
        <v>21.75</v>
      </c>
      <c r="L113" s="155"/>
      <c r="M113" s="155"/>
      <c r="N113" s="264">
        <f>SUM(N116:Q130)</f>
        <v>0</v>
      </c>
      <c r="O113" s="264"/>
      <c r="P113" s="264"/>
      <c r="Q113" s="264"/>
      <c r="R113" s="265"/>
      <c r="T113" s="37">
        <f>SUM(N113:Q129)/2</f>
        <v>0</v>
      </c>
      <c r="U113" s="384"/>
      <c r="V113" s="141"/>
      <c r="W113" s="386">
        <f>SUM(W115:W170)</f>
        <v>0.65249999999999997</v>
      </c>
      <c r="X113" s="386">
        <f>SUM(X115:X170)</f>
        <v>0.83520000000000005</v>
      </c>
      <c r="Y113" s="386">
        <f>SUM(Y115:Y170)</f>
        <v>1.0875000000000001</v>
      </c>
      <c r="Z113" s="141"/>
    </row>
    <row r="114" spans="2:26" s="354" customFormat="1" outlineLevel="1">
      <c r="B114" s="353"/>
      <c r="E114" s="358"/>
      <c r="F114" s="358"/>
      <c r="G114" s="358"/>
      <c r="H114" s="358"/>
      <c r="I114" s="358"/>
      <c r="J114" s="358"/>
      <c r="K114" s="358"/>
      <c r="L114" s="156"/>
      <c r="M114" s="156"/>
      <c r="R114" s="356"/>
      <c r="T114" s="52"/>
      <c r="U114" s="276"/>
      <c r="V114" s="67"/>
      <c r="W114" s="22"/>
      <c r="X114" s="22"/>
      <c r="Y114" s="22"/>
      <c r="Z114" s="375"/>
    </row>
    <row r="115" spans="2:26" s="275" customFormat="1" outlineLevel="1">
      <c r="B115" s="267"/>
      <c r="C115" s="268"/>
      <c r="D115" s="268"/>
      <c r="E115" s="269" t="s">
        <v>549</v>
      </c>
      <c r="F115" s="270"/>
      <c r="G115" s="270"/>
      <c r="H115" s="270"/>
      <c r="I115" s="271"/>
      <c r="J115" s="49"/>
      <c r="K115" s="272"/>
      <c r="L115" s="92"/>
      <c r="M115" s="92"/>
      <c r="N115" s="273"/>
      <c r="O115" s="273"/>
      <c r="P115" s="273"/>
      <c r="Q115" s="273"/>
      <c r="R115" s="274"/>
      <c r="T115" s="48"/>
      <c r="U115" s="276"/>
      <c r="V115" s="67"/>
      <c r="W115" s="70"/>
      <c r="X115" s="70"/>
      <c r="Y115" s="70"/>
      <c r="Z115" s="375"/>
    </row>
    <row r="116" spans="2:26" outlineLevel="1">
      <c r="B116" s="209"/>
      <c r="C116" s="277">
        <v>1</v>
      </c>
      <c r="D116" s="277" t="s">
        <v>52</v>
      </c>
      <c r="E116" s="278">
        <v>122211101</v>
      </c>
      <c r="F116" s="279" t="s">
        <v>445</v>
      </c>
      <c r="G116" s="279"/>
      <c r="H116" s="279"/>
      <c r="I116" s="279"/>
      <c r="J116" s="38" t="s">
        <v>54</v>
      </c>
      <c r="K116" s="281">
        <f>SUM(K117:K117)</f>
        <v>0.52200000000000002</v>
      </c>
      <c r="L116" s="91"/>
      <c r="M116" s="91"/>
      <c r="N116" s="280">
        <f>ROUND(L116*K116,2)</f>
        <v>0</v>
      </c>
      <c r="O116" s="280"/>
      <c r="P116" s="280"/>
      <c r="Q116" s="280"/>
      <c r="R116" s="210"/>
      <c r="T116" s="25"/>
      <c r="V116" s="141">
        <v>1.6</v>
      </c>
      <c r="X116" s="141">
        <f>V116*K116</f>
        <v>0.83520000000000005</v>
      </c>
      <c r="Z116" s="141"/>
    </row>
    <row r="117" spans="2:26" s="360" customFormat="1" ht="20.399999999999999" outlineLevel="1">
      <c r="B117" s="359"/>
      <c r="E117" s="361" t="s">
        <v>473</v>
      </c>
      <c r="F117" s="362" t="s">
        <v>551</v>
      </c>
      <c r="G117" s="363">
        <f t="shared" ref="G117:I117" si="1">(5.5+0.6+2.6)*0.6*0.1</f>
        <v>0.52200000000000002</v>
      </c>
      <c r="H117" s="363">
        <f t="shared" si="1"/>
        <v>0.52200000000000002</v>
      </c>
      <c r="I117" s="363">
        <f t="shared" si="1"/>
        <v>0.52200000000000002</v>
      </c>
      <c r="J117" s="50">
        <v>0.1</v>
      </c>
      <c r="K117" s="364">
        <f>(5.5+0.6+2.6)*0.6*0.1</f>
        <v>0.52200000000000002</v>
      </c>
      <c r="L117" s="157"/>
      <c r="M117" s="157"/>
      <c r="R117" s="365"/>
      <c r="T117" s="51"/>
      <c r="U117" s="141"/>
      <c r="V117" s="22"/>
      <c r="W117" s="22"/>
      <c r="X117" s="22"/>
      <c r="Y117" s="22"/>
      <c r="Z117" s="141"/>
    </row>
    <row r="118" spans="2:26" s="354" customFormat="1" outlineLevel="1">
      <c r="B118" s="353"/>
      <c r="E118" s="358"/>
      <c r="F118" s="358"/>
      <c r="G118" s="358"/>
      <c r="H118" s="358"/>
      <c r="I118" s="358"/>
      <c r="J118" s="358"/>
      <c r="K118" s="358"/>
      <c r="L118" s="156"/>
      <c r="M118" s="156"/>
      <c r="R118" s="356"/>
      <c r="T118" s="52"/>
      <c r="U118" s="276"/>
      <c r="V118" s="67"/>
      <c r="W118" s="22"/>
      <c r="X118" s="22"/>
      <c r="Y118" s="22"/>
      <c r="Z118" s="375"/>
    </row>
    <row r="119" spans="2:26" s="275" customFormat="1" outlineLevel="1">
      <c r="B119" s="267"/>
      <c r="C119" s="268"/>
      <c r="D119" s="268"/>
      <c r="E119" s="269" t="s">
        <v>458</v>
      </c>
      <c r="F119" s="270"/>
      <c r="G119" s="270"/>
      <c r="H119" s="270"/>
      <c r="I119" s="271"/>
      <c r="J119" s="49"/>
      <c r="K119" s="272"/>
      <c r="L119" s="92"/>
      <c r="M119" s="92"/>
      <c r="N119" s="273"/>
      <c r="O119" s="273"/>
      <c r="P119" s="273"/>
      <c r="Q119" s="273"/>
      <c r="R119" s="274"/>
      <c r="T119" s="48"/>
      <c r="U119" s="276"/>
      <c r="V119" s="67"/>
      <c r="W119" s="70"/>
      <c r="X119" s="70"/>
      <c r="Y119" s="70"/>
      <c r="Z119" s="375"/>
    </row>
    <row r="120" spans="2:26" ht="27" customHeight="1" outlineLevel="1">
      <c r="B120" s="209"/>
      <c r="C120" s="277">
        <f>C116+1</f>
        <v>2</v>
      </c>
      <c r="D120" s="277" t="s">
        <v>52</v>
      </c>
      <c r="E120" s="278">
        <v>978015391</v>
      </c>
      <c r="F120" s="279" t="s">
        <v>477</v>
      </c>
      <c r="G120" s="279"/>
      <c r="H120" s="279"/>
      <c r="I120" s="279"/>
      <c r="J120" s="38" t="s">
        <v>53</v>
      </c>
      <c r="K120" s="281">
        <f>SUM(K121:K121)</f>
        <v>21.75</v>
      </c>
      <c r="L120" s="91"/>
      <c r="M120" s="91"/>
      <c r="N120" s="280">
        <f>ROUND(L120*K120,2)</f>
        <v>0</v>
      </c>
      <c r="O120" s="280"/>
      <c r="P120" s="280"/>
      <c r="Q120" s="280"/>
      <c r="R120" s="210"/>
      <c r="T120" s="25"/>
      <c r="V120" s="141">
        <v>0.05</v>
      </c>
      <c r="Y120" s="141">
        <f>V120*K120</f>
        <v>1.0875000000000001</v>
      </c>
      <c r="Z120" s="141"/>
    </row>
    <row r="121" spans="2:26" s="360" customFormat="1" ht="10.199999999999999" customHeight="1" outlineLevel="1">
      <c r="B121" s="359"/>
      <c r="E121" s="361" t="s">
        <v>550</v>
      </c>
      <c r="F121" s="362" t="s">
        <v>552</v>
      </c>
      <c r="G121" s="363">
        <f t="shared" ref="G121:I121" si="2">(5.5+0.6+2.6)*0.6*0.1</f>
        <v>0.52200000000000002</v>
      </c>
      <c r="H121" s="363">
        <f t="shared" si="2"/>
        <v>0.52200000000000002</v>
      </c>
      <c r="I121" s="363">
        <f t="shared" si="2"/>
        <v>0.52200000000000002</v>
      </c>
      <c r="J121" s="50"/>
      <c r="K121" s="364">
        <f>(5.5+0.6+2.6)*2.5</f>
        <v>21.75</v>
      </c>
      <c r="L121" s="157"/>
      <c r="M121" s="157"/>
      <c r="R121" s="365"/>
      <c r="T121" s="51"/>
      <c r="U121" s="141"/>
      <c r="V121" s="22"/>
      <c r="W121" s="22"/>
      <c r="X121" s="22"/>
      <c r="Y121" s="22"/>
      <c r="Z121" s="141"/>
    </row>
    <row r="122" spans="2:26" outlineLevel="1">
      <c r="B122" s="209"/>
      <c r="C122" s="277">
        <f>C120+1</f>
        <v>3</v>
      </c>
      <c r="D122" s="277" t="s">
        <v>52</v>
      </c>
      <c r="E122" s="278">
        <v>985131311</v>
      </c>
      <c r="F122" s="279" t="s">
        <v>144</v>
      </c>
      <c r="G122" s="279"/>
      <c r="H122" s="279"/>
      <c r="I122" s="279"/>
      <c r="J122" s="38" t="s">
        <v>53</v>
      </c>
      <c r="K122" s="281">
        <f>K120</f>
        <v>21.75</v>
      </c>
      <c r="L122" s="91"/>
      <c r="M122" s="91"/>
      <c r="N122" s="280">
        <f>ROUND(L122*K122,2)</f>
        <v>0</v>
      </c>
      <c r="O122" s="280"/>
      <c r="P122" s="280"/>
      <c r="Q122" s="280"/>
      <c r="R122" s="210"/>
      <c r="T122" s="25"/>
      <c r="Z122" s="141"/>
    </row>
    <row r="123" spans="2:26" outlineLevel="1">
      <c r="B123" s="209"/>
      <c r="C123" s="277">
        <f>C122+1</f>
        <v>4</v>
      </c>
      <c r="D123" s="277" t="s">
        <v>52</v>
      </c>
      <c r="E123" s="278">
        <v>985139112</v>
      </c>
      <c r="F123" s="279" t="s">
        <v>478</v>
      </c>
      <c r="G123" s="279">
        <f t="shared" ref="G123:I123" si="3">0.25*0.6*2.5*2</f>
        <v>0.75</v>
      </c>
      <c r="H123" s="279">
        <f t="shared" si="3"/>
        <v>0.75</v>
      </c>
      <c r="I123" s="279">
        <f t="shared" si="3"/>
        <v>0.75</v>
      </c>
      <c r="J123" s="38" t="s">
        <v>53</v>
      </c>
      <c r="K123" s="281">
        <f>K122</f>
        <v>21.75</v>
      </c>
      <c r="L123" s="91"/>
      <c r="M123" s="91"/>
      <c r="N123" s="280">
        <f t="shared" ref="N123:N124" si="4">ROUND(L123*K123,2)</f>
        <v>0</v>
      </c>
      <c r="O123" s="280"/>
      <c r="P123" s="280"/>
      <c r="Q123" s="280"/>
      <c r="R123" s="210"/>
      <c r="T123" s="25"/>
      <c r="Z123" s="141"/>
    </row>
    <row r="124" spans="2:26" outlineLevel="1">
      <c r="B124" s="209"/>
      <c r="C124" s="277">
        <f>C123+1</f>
        <v>5</v>
      </c>
      <c r="D124" s="277" t="s">
        <v>52</v>
      </c>
      <c r="E124" s="278">
        <v>985223110</v>
      </c>
      <c r="F124" s="279" t="s">
        <v>185</v>
      </c>
      <c r="G124" s="279"/>
      <c r="H124" s="279"/>
      <c r="I124" s="279"/>
      <c r="J124" s="38" t="s">
        <v>54</v>
      </c>
      <c r="K124" s="281">
        <f>SUM(K125:K125)</f>
        <v>0.32624999999999998</v>
      </c>
      <c r="L124" s="91"/>
      <c r="M124" s="91"/>
      <c r="N124" s="280">
        <f t="shared" si="4"/>
        <v>0</v>
      </c>
      <c r="O124" s="280"/>
      <c r="P124" s="280"/>
      <c r="Q124" s="280"/>
      <c r="R124" s="210"/>
      <c r="T124" s="25"/>
      <c r="V124" s="141">
        <v>2</v>
      </c>
      <c r="W124" s="141">
        <f>V124*K124</f>
        <v>0.65249999999999997</v>
      </c>
      <c r="Z124" s="141"/>
    </row>
    <row r="125" spans="2:26" s="360" customFormat="1" outlineLevel="1">
      <c r="B125" s="359"/>
      <c r="E125" s="361" t="s">
        <v>186</v>
      </c>
      <c r="F125" s="362" t="s">
        <v>187</v>
      </c>
      <c r="G125" s="363"/>
      <c r="H125" s="363"/>
      <c r="I125" s="363"/>
      <c r="J125" s="152">
        <v>0.05</v>
      </c>
      <c r="K125" s="364">
        <f>(5.5+0.6+2.6)*2.5*0.3*J125</f>
        <v>0.32624999999999998</v>
      </c>
      <c r="L125" s="157"/>
      <c r="M125" s="157"/>
      <c r="R125" s="365"/>
      <c r="T125" s="51"/>
      <c r="U125" s="141"/>
      <c r="V125" s="22"/>
      <c r="W125" s="22"/>
      <c r="X125" s="22"/>
      <c r="Y125" s="22"/>
      <c r="Z125" s="141"/>
    </row>
    <row r="126" spans="2:26" ht="11.25" customHeight="1" outlineLevel="1">
      <c r="B126" s="209"/>
      <c r="C126" s="367">
        <f t="shared" ref="C126" si="5">C124+1</f>
        <v>6</v>
      </c>
      <c r="D126" s="367" t="s">
        <v>55</v>
      </c>
      <c r="E126" s="368">
        <v>59610001</v>
      </c>
      <c r="F126" s="369" t="s">
        <v>190</v>
      </c>
      <c r="G126" s="369"/>
      <c r="H126" s="369"/>
      <c r="I126" s="369"/>
      <c r="J126" s="39" t="s">
        <v>57</v>
      </c>
      <c r="K126" s="370">
        <f>SUM(K127)</f>
        <v>96.896249999999995</v>
      </c>
      <c r="L126" s="96"/>
      <c r="M126" s="96"/>
      <c r="N126" s="371">
        <f>ROUND(L126*K126,2)</f>
        <v>0</v>
      </c>
      <c r="O126" s="280"/>
      <c r="P126" s="280"/>
      <c r="Q126" s="280"/>
      <c r="R126" s="210"/>
      <c r="T126" s="25"/>
    </row>
    <row r="127" spans="2:26" s="360" customFormat="1" outlineLevel="1">
      <c r="B127" s="359"/>
      <c r="E127" s="361" t="s">
        <v>186</v>
      </c>
      <c r="F127" s="362" t="s">
        <v>189</v>
      </c>
      <c r="G127" s="363"/>
      <c r="H127" s="363"/>
      <c r="I127" s="363"/>
      <c r="J127" s="54">
        <v>297</v>
      </c>
      <c r="K127" s="364">
        <f>K124*J127</f>
        <v>96.896249999999995</v>
      </c>
      <c r="L127" s="157"/>
      <c r="M127" s="157"/>
      <c r="R127" s="365"/>
      <c r="T127" s="51"/>
      <c r="U127" s="141"/>
      <c r="V127" s="22"/>
      <c r="W127" s="22"/>
      <c r="X127" s="22"/>
      <c r="Y127" s="22"/>
      <c r="Z127" s="141"/>
    </row>
    <row r="128" spans="2:26" outlineLevel="1">
      <c r="B128" s="209"/>
      <c r="C128" s="277">
        <f>C126+1</f>
        <v>7</v>
      </c>
      <c r="D128" s="277" t="s">
        <v>52</v>
      </c>
      <c r="E128" s="278">
        <v>985311311</v>
      </c>
      <c r="F128" s="279" t="s">
        <v>555</v>
      </c>
      <c r="G128" s="279"/>
      <c r="H128" s="279"/>
      <c r="I128" s="279"/>
      <c r="J128" s="38" t="s">
        <v>53</v>
      </c>
      <c r="K128" s="281">
        <f>SUM(K129:K129)</f>
        <v>1.3049999999999999</v>
      </c>
      <c r="L128" s="91"/>
      <c r="M128" s="91"/>
      <c r="N128" s="280">
        <f>ROUND(L128*K128,2)</f>
        <v>0</v>
      </c>
      <c r="O128" s="280"/>
      <c r="P128" s="280"/>
      <c r="Q128" s="280"/>
      <c r="R128" s="210"/>
      <c r="T128" s="25"/>
      <c r="Z128" s="141"/>
    </row>
    <row r="129" spans="2:26" s="360" customFormat="1" outlineLevel="1">
      <c r="B129" s="359"/>
      <c r="E129" s="361" t="s">
        <v>553</v>
      </c>
      <c r="F129" s="362" t="s">
        <v>554</v>
      </c>
      <c r="G129" s="363">
        <f t="shared" ref="G129:I129" si="6">(2.2+5.9+5.1)*1.5</f>
        <v>19.8</v>
      </c>
      <c r="H129" s="363">
        <f t="shared" si="6"/>
        <v>19.8</v>
      </c>
      <c r="I129" s="363">
        <f t="shared" si="6"/>
        <v>19.8</v>
      </c>
      <c r="J129" s="53">
        <v>0.3</v>
      </c>
      <c r="K129" s="364">
        <f>(5.5+0.6+2.6)*0.5*J129</f>
        <v>1.3049999999999999</v>
      </c>
      <c r="L129" s="157"/>
      <c r="M129" s="157"/>
      <c r="R129" s="365"/>
      <c r="T129" s="51"/>
      <c r="U129" s="141"/>
      <c r="V129" s="22"/>
      <c r="W129" s="22"/>
      <c r="X129" s="22"/>
      <c r="Y129" s="22"/>
      <c r="Z129" s="141"/>
    </row>
    <row r="130" spans="2:26" s="354" customFormat="1">
      <c r="B130" s="353"/>
      <c r="E130" s="358"/>
      <c r="F130" s="358"/>
      <c r="G130" s="358"/>
      <c r="H130" s="358"/>
      <c r="I130" s="358"/>
      <c r="J130" s="358"/>
      <c r="K130" s="358"/>
      <c r="L130" s="156"/>
      <c r="M130" s="156"/>
      <c r="R130" s="356"/>
      <c r="T130" s="52"/>
      <c r="U130" s="276"/>
      <c r="V130" s="68"/>
      <c r="W130" s="70"/>
      <c r="X130" s="70"/>
      <c r="Y130" s="70"/>
      <c r="Z130" s="375"/>
    </row>
    <row r="131" spans="2:26" s="266" customFormat="1" ht="13.2">
      <c r="B131" s="262"/>
      <c r="C131" s="263"/>
      <c r="D131" s="263" t="s">
        <v>461</v>
      </c>
      <c r="E131" s="263"/>
      <c r="F131" s="263"/>
      <c r="G131" s="263"/>
      <c r="H131" s="263"/>
      <c r="I131" s="263"/>
      <c r="J131" s="36"/>
      <c r="K131" s="357">
        <f>K133</f>
        <v>21.75</v>
      </c>
      <c r="L131" s="155"/>
      <c r="M131" s="155"/>
      <c r="N131" s="264">
        <f>SUM(N132:Q167)</f>
        <v>0</v>
      </c>
      <c r="O131" s="264"/>
      <c r="P131" s="264"/>
      <c r="Q131" s="264"/>
      <c r="R131" s="265"/>
      <c r="T131" s="37">
        <f>SUM(N131:Q167)/2</f>
        <v>0</v>
      </c>
      <c r="U131" s="384"/>
      <c r="V131" s="384"/>
      <c r="W131" s="384"/>
      <c r="X131" s="384"/>
      <c r="Y131" s="384"/>
      <c r="Z131" s="141"/>
    </row>
    <row r="132" spans="2:26" s="360" customFormat="1" ht="10.199999999999999" customHeight="1" outlineLevel="1">
      <c r="B132" s="359"/>
      <c r="E132" s="361" t="s">
        <v>183</v>
      </c>
      <c r="F132" s="362" t="s">
        <v>559</v>
      </c>
      <c r="G132" s="363"/>
      <c r="H132" s="363"/>
      <c r="I132" s="363"/>
      <c r="J132" s="50" t="s">
        <v>58</v>
      </c>
      <c r="K132" s="364">
        <f>(5.5+0.6+2.6)</f>
        <v>8.6999999999999993</v>
      </c>
      <c r="L132" s="157"/>
      <c r="M132" s="157"/>
      <c r="R132" s="365"/>
      <c r="T132" s="51"/>
      <c r="U132" s="66"/>
      <c r="V132" s="66"/>
      <c r="W132" s="66"/>
      <c r="X132" s="66"/>
      <c r="Y132" s="66"/>
    </row>
    <row r="133" spans="2:26" s="360" customFormat="1" ht="10.199999999999999" customHeight="1" outlineLevel="1">
      <c r="B133" s="359"/>
      <c r="E133" s="361" t="s">
        <v>505</v>
      </c>
      <c r="F133" s="362" t="s">
        <v>502</v>
      </c>
      <c r="G133" s="363"/>
      <c r="H133" s="363"/>
      <c r="I133" s="363"/>
      <c r="J133" s="50" t="s">
        <v>53</v>
      </c>
      <c r="K133" s="364">
        <f>(5.5+0.6+2.6)*2.5</f>
        <v>21.75</v>
      </c>
      <c r="L133" s="157"/>
      <c r="M133" s="157"/>
      <c r="R133" s="365"/>
      <c r="T133" s="51"/>
      <c r="U133" s="66"/>
      <c r="V133" s="66"/>
      <c r="W133" s="66"/>
      <c r="X133" s="66"/>
      <c r="Y133" s="66"/>
    </row>
    <row r="134" spans="2:26" s="275" customFormat="1" outlineLevel="1">
      <c r="B134" s="267"/>
      <c r="C134" s="268"/>
      <c r="D134" s="268"/>
      <c r="E134" s="269" t="s">
        <v>183</v>
      </c>
      <c r="F134" s="270"/>
      <c r="G134" s="270"/>
      <c r="H134" s="270"/>
      <c r="I134" s="271"/>
      <c r="J134" s="49" t="s">
        <v>58</v>
      </c>
      <c r="K134" s="272">
        <f>K132</f>
        <v>8.6999999999999993</v>
      </c>
      <c r="L134" s="92"/>
      <c r="M134" s="92"/>
      <c r="N134" s="273"/>
      <c r="O134" s="273"/>
      <c r="P134" s="273"/>
      <c r="Q134" s="273"/>
      <c r="R134" s="274"/>
      <c r="T134" s="48"/>
      <c r="U134" s="276"/>
      <c r="V134" s="67"/>
      <c r="W134" s="70"/>
      <c r="X134" s="70"/>
      <c r="Y134" s="70"/>
      <c r="Z134" s="375"/>
    </row>
    <row r="135" spans="2:26" ht="10.199999999999999" customHeight="1" outlineLevel="1">
      <c r="B135" s="209"/>
      <c r="C135" s="277">
        <f>C128+1</f>
        <v>8</v>
      </c>
      <c r="D135" s="277" t="s">
        <v>52</v>
      </c>
      <c r="E135" s="278">
        <v>978023411</v>
      </c>
      <c r="F135" s="279" t="s">
        <v>514</v>
      </c>
      <c r="G135" s="279"/>
      <c r="H135" s="279"/>
      <c r="I135" s="279"/>
      <c r="J135" s="38" t="s">
        <v>53</v>
      </c>
      <c r="K135" s="281">
        <f>SUM(K136)</f>
        <v>4.3499999999999996</v>
      </c>
      <c r="L135" s="91"/>
      <c r="M135" s="91"/>
      <c r="N135" s="280">
        <f>ROUND(L135*K135,2)</f>
        <v>0</v>
      </c>
      <c r="O135" s="280"/>
      <c r="P135" s="280"/>
      <c r="Q135" s="280"/>
      <c r="R135" s="210"/>
      <c r="T135" s="25"/>
      <c r="Z135" s="141"/>
    </row>
    <row r="136" spans="2:26" s="360" customFormat="1" outlineLevel="1">
      <c r="B136" s="359"/>
      <c r="E136" s="361" t="s">
        <v>523</v>
      </c>
      <c r="F136" s="362" t="s">
        <v>524</v>
      </c>
      <c r="G136" s="363">
        <f t="shared" ref="G136:I136" si="7">9.6*0.6*(0.1+0.075)/2</f>
        <v>0.504</v>
      </c>
      <c r="H136" s="363">
        <f t="shared" si="7"/>
        <v>0.504</v>
      </c>
      <c r="I136" s="363">
        <f t="shared" si="7"/>
        <v>0.504</v>
      </c>
      <c r="J136" s="50">
        <v>0.5</v>
      </c>
      <c r="K136" s="364">
        <f>K134*J136</f>
        <v>4.3499999999999996</v>
      </c>
      <c r="L136" s="157"/>
      <c r="M136" s="157"/>
      <c r="R136" s="365"/>
      <c r="T136" s="51"/>
      <c r="W136" s="141"/>
      <c r="X136" s="141"/>
      <c r="Y136" s="141"/>
      <c r="Z136" s="141"/>
    </row>
    <row r="137" spans="2:26" ht="10.199999999999999" customHeight="1" outlineLevel="1">
      <c r="B137" s="209"/>
      <c r="C137" s="277">
        <f>C135+1</f>
        <v>9</v>
      </c>
      <c r="D137" s="277" t="s">
        <v>52</v>
      </c>
      <c r="E137" s="278">
        <v>622125101</v>
      </c>
      <c r="F137" s="279" t="s">
        <v>148</v>
      </c>
      <c r="G137" s="279"/>
      <c r="H137" s="279"/>
      <c r="I137" s="279"/>
      <c r="J137" s="38" t="s">
        <v>53</v>
      </c>
      <c r="K137" s="281">
        <f>K135</f>
        <v>4.3499999999999996</v>
      </c>
      <c r="L137" s="91"/>
      <c r="M137" s="91"/>
      <c r="N137" s="280">
        <f>ROUND(L137*K137,2)</f>
        <v>0</v>
      </c>
      <c r="O137" s="280"/>
      <c r="P137" s="280"/>
      <c r="Q137" s="280"/>
      <c r="R137" s="210"/>
      <c r="T137" s="25"/>
      <c r="Z137" s="141"/>
    </row>
    <row r="138" spans="2:26" outlineLevel="1">
      <c r="B138" s="209"/>
      <c r="C138" s="277">
        <f t="shared" ref="C138:C140" si="8">C137+1</f>
        <v>10</v>
      </c>
      <c r="D138" s="277" t="s">
        <v>52</v>
      </c>
      <c r="E138" s="278">
        <v>622131151</v>
      </c>
      <c r="F138" s="279" t="s">
        <v>156</v>
      </c>
      <c r="G138" s="279"/>
      <c r="H138" s="279"/>
      <c r="I138" s="279"/>
      <c r="J138" s="38" t="s">
        <v>53</v>
      </c>
      <c r="K138" s="281">
        <f>K137</f>
        <v>4.3499999999999996</v>
      </c>
      <c r="L138" s="91"/>
      <c r="M138" s="91"/>
      <c r="N138" s="280">
        <f>ROUND(L138*K138,2)</f>
        <v>0</v>
      </c>
      <c r="O138" s="280"/>
      <c r="P138" s="280"/>
      <c r="Q138" s="280"/>
      <c r="R138" s="210"/>
      <c r="T138" s="25"/>
      <c r="Z138" s="141"/>
    </row>
    <row r="139" spans="2:26" outlineLevel="1">
      <c r="B139" s="209"/>
      <c r="C139" s="277">
        <f t="shared" si="8"/>
        <v>11</v>
      </c>
      <c r="D139" s="277" t="s">
        <v>52</v>
      </c>
      <c r="E139" s="278">
        <v>622326121</v>
      </c>
      <c r="F139" s="279" t="s">
        <v>157</v>
      </c>
      <c r="G139" s="279"/>
      <c r="H139" s="279"/>
      <c r="I139" s="279"/>
      <c r="J139" s="38" t="s">
        <v>53</v>
      </c>
      <c r="K139" s="281">
        <f>K138</f>
        <v>4.3499999999999996</v>
      </c>
      <c r="L139" s="91"/>
      <c r="M139" s="91"/>
      <c r="N139" s="280">
        <f t="shared" ref="N139:N140" si="9">ROUND(L139*K139,2)</f>
        <v>0</v>
      </c>
      <c r="O139" s="280"/>
      <c r="P139" s="280"/>
      <c r="Q139" s="280"/>
      <c r="R139" s="210"/>
      <c r="T139" s="25"/>
      <c r="Z139" s="141"/>
    </row>
    <row r="140" spans="2:26" outlineLevel="1">
      <c r="B140" s="209"/>
      <c r="C140" s="277">
        <f t="shared" si="8"/>
        <v>12</v>
      </c>
      <c r="D140" s="277" t="s">
        <v>52</v>
      </c>
      <c r="E140" s="278">
        <v>212312111</v>
      </c>
      <c r="F140" s="279" t="s">
        <v>515</v>
      </c>
      <c r="G140" s="279"/>
      <c r="H140" s="279"/>
      <c r="I140" s="279"/>
      <c r="J140" s="38" t="s">
        <v>54</v>
      </c>
      <c r="K140" s="281">
        <f>SUM(K141)</f>
        <v>0.45674999999999993</v>
      </c>
      <c r="L140" s="91"/>
      <c r="M140" s="91"/>
      <c r="N140" s="280">
        <f t="shared" si="9"/>
        <v>0</v>
      </c>
      <c r="O140" s="280"/>
      <c r="P140" s="280"/>
      <c r="Q140" s="280"/>
      <c r="R140" s="210"/>
      <c r="T140" s="25"/>
      <c r="Z140" s="141"/>
    </row>
    <row r="141" spans="2:26" s="360" customFormat="1" outlineLevel="1">
      <c r="B141" s="359"/>
      <c r="E141" s="361" t="s">
        <v>516</v>
      </c>
      <c r="F141" s="362" t="s">
        <v>560</v>
      </c>
      <c r="G141" s="363">
        <f t="shared" ref="G141:I141" si="10">9.6*0.6*(0.1+0.075)/2</f>
        <v>0.504</v>
      </c>
      <c r="H141" s="363">
        <f t="shared" si="10"/>
        <v>0.504</v>
      </c>
      <c r="I141" s="363">
        <f t="shared" si="10"/>
        <v>0.504</v>
      </c>
      <c r="J141" s="50"/>
      <c r="K141" s="364">
        <f>8.7*0.6*(0.1+0.075)/2</f>
        <v>0.45674999999999993</v>
      </c>
      <c r="L141" s="157"/>
      <c r="M141" s="157"/>
      <c r="R141" s="365"/>
      <c r="T141" s="51"/>
      <c r="W141" s="141"/>
      <c r="X141" s="141"/>
      <c r="Y141" s="141"/>
      <c r="Z141" s="141"/>
    </row>
    <row r="142" spans="2:26" ht="27" customHeight="1" outlineLevel="1">
      <c r="B142" s="209"/>
      <c r="C142" s="277">
        <f>C140+1</f>
        <v>13</v>
      </c>
      <c r="D142" s="277" t="s">
        <v>52</v>
      </c>
      <c r="E142" s="278">
        <v>711111053</v>
      </c>
      <c r="F142" s="279" t="s">
        <v>527</v>
      </c>
      <c r="G142" s="279"/>
      <c r="H142" s="279"/>
      <c r="I142" s="279"/>
      <c r="J142" s="38" t="s">
        <v>53</v>
      </c>
      <c r="K142" s="281">
        <f>SUM(K143:K143)</f>
        <v>5.22</v>
      </c>
      <c r="L142" s="97"/>
      <c r="M142" s="98"/>
      <c r="N142" s="280">
        <f t="shared" ref="N142" si="11">ROUND(L142*K142,2)</f>
        <v>0</v>
      </c>
      <c r="O142" s="280"/>
      <c r="P142" s="280"/>
      <c r="Q142" s="280"/>
      <c r="R142" s="210"/>
      <c r="T142" s="25"/>
      <c r="Z142" s="141"/>
    </row>
    <row r="143" spans="2:26" s="360" customFormat="1" outlineLevel="1">
      <c r="B143" s="359"/>
      <c r="E143" s="361" t="s">
        <v>518</v>
      </c>
      <c r="F143" s="362" t="s">
        <v>561</v>
      </c>
      <c r="G143" s="363">
        <f t="shared" ref="G143:I143" si="12">9.6*0.6</f>
        <v>5.76</v>
      </c>
      <c r="H143" s="363">
        <f t="shared" si="12"/>
        <v>5.76</v>
      </c>
      <c r="I143" s="363">
        <f t="shared" si="12"/>
        <v>5.76</v>
      </c>
      <c r="J143" s="50"/>
      <c r="K143" s="364">
        <f>8.7*0.6</f>
        <v>5.22</v>
      </c>
      <c r="L143" s="157"/>
      <c r="M143" s="157"/>
      <c r="R143" s="365"/>
      <c r="T143" s="51"/>
      <c r="W143" s="141"/>
      <c r="X143" s="141"/>
      <c r="Y143" s="141"/>
      <c r="Z143" s="141"/>
    </row>
    <row r="144" spans="2:26" ht="27" customHeight="1" outlineLevel="1">
      <c r="B144" s="209"/>
      <c r="C144" s="277">
        <f>C142+1</f>
        <v>14</v>
      </c>
      <c r="D144" s="277" t="s">
        <v>52</v>
      </c>
      <c r="E144" s="278">
        <v>711112053</v>
      </c>
      <c r="F144" s="279" t="s">
        <v>528</v>
      </c>
      <c r="G144" s="279"/>
      <c r="H144" s="279"/>
      <c r="I144" s="279"/>
      <c r="J144" s="38" t="s">
        <v>53</v>
      </c>
      <c r="K144" s="281">
        <f>K134</f>
        <v>8.6999999999999993</v>
      </c>
      <c r="L144" s="97"/>
      <c r="M144" s="98"/>
      <c r="N144" s="280">
        <f t="shared" ref="N144" si="13">ROUND(L144*K144,2)</f>
        <v>0</v>
      </c>
      <c r="O144" s="280"/>
      <c r="P144" s="280"/>
      <c r="Q144" s="280"/>
      <c r="R144" s="210"/>
      <c r="T144" s="25"/>
      <c r="Z144" s="141"/>
    </row>
    <row r="145" spans="1:37" outlineLevel="1">
      <c r="B145" s="209"/>
      <c r="C145" s="367">
        <f>C142+1</f>
        <v>14</v>
      </c>
      <c r="D145" s="367" t="s">
        <v>59</v>
      </c>
      <c r="E145" s="368" t="s">
        <v>172</v>
      </c>
      <c r="F145" s="377" t="s">
        <v>529</v>
      </c>
      <c r="G145" s="378"/>
      <c r="H145" s="378"/>
      <c r="I145" s="379"/>
      <c r="J145" s="39" t="s">
        <v>98</v>
      </c>
      <c r="K145" s="370">
        <f>SUM(K146)</f>
        <v>41.759999999999991</v>
      </c>
      <c r="L145" s="157"/>
      <c r="M145" s="157"/>
      <c r="N145" s="380">
        <f>ROUND(L145*K145,2)</f>
        <v>0</v>
      </c>
      <c r="O145" s="381"/>
      <c r="P145" s="381"/>
      <c r="Q145" s="382"/>
      <c r="R145" s="210"/>
      <c r="V145" s="66"/>
      <c r="W145" s="22"/>
      <c r="X145" s="22"/>
      <c r="Y145" s="22"/>
      <c r="Z145" s="22"/>
      <c r="AA145" s="22"/>
      <c r="AB145" s="22"/>
      <c r="AC145" s="22"/>
      <c r="AD145" s="366"/>
      <c r="AE145" s="141"/>
      <c r="AF145" s="141"/>
      <c r="AG145" s="22"/>
      <c r="AH145" s="22"/>
      <c r="AI145" s="22"/>
      <c r="AJ145" s="22"/>
      <c r="AK145" s="22"/>
    </row>
    <row r="146" spans="1:37" s="360" customFormat="1" outlineLevel="1">
      <c r="A146" s="142"/>
      <c r="B146" s="209"/>
      <c r="E146" s="361" t="s">
        <v>167</v>
      </c>
      <c r="F146" s="362" t="s">
        <v>171</v>
      </c>
      <c r="G146" s="363"/>
      <c r="H146" s="363"/>
      <c r="I146" s="363"/>
      <c r="J146" s="50">
        <v>3</v>
      </c>
      <c r="K146" s="364">
        <f>(K142+K144)*J146</f>
        <v>41.759999999999991</v>
      </c>
      <c r="L146" s="99"/>
      <c r="M146" s="100"/>
      <c r="R146" s="210"/>
      <c r="S146" s="142"/>
      <c r="W146" s="141"/>
      <c r="X146" s="141"/>
      <c r="Y146" s="141"/>
    </row>
    <row r="147" spans="1:37" ht="27" customHeight="1" outlineLevel="1">
      <c r="B147" s="209"/>
      <c r="C147" s="277">
        <f>C145+1</f>
        <v>15</v>
      </c>
      <c r="D147" s="277" t="s">
        <v>52</v>
      </c>
      <c r="E147" s="278">
        <v>711161122</v>
      </c>
      <c r="F147" s="279" t="s">
        <v>174</v>
      </c>
      <c r="G147" s="279"/>
      <c r="H147" s="279"/>
      <c r="I147" s="279"/>
      <c r="J147" s="38" t="s">
        <v>53</v>
      </c>
      <c r="K147" s="281">
        <f>K142</f>
        <v>5.22</v>
      </c>
      <c r="L147" s="157"/>
      <c r="M147" s="157"/>
      <c r="N147" s="280">
        <f t="shared" ref="N147:N149" si="14">ROUND(L147*K147,2)</f>
        <v>0</v>
      </c>
      <c r="O147" s="280"/>
      <c r="P147" s="280"/>
      <c r="Q147" s="280"/>
      <c r="R147" s="210"/>
      <c r="T147" s="25"/>
      <c r="Z147" s="141"/>
    </row>
    <row r="148" spans="1:37" ht="27" customHeight="1" outlineLevel="1">
      <c r="B148" s="209"/>
      <c r="C148" s="277">
        <f t="shared" ref="C148:C149" si="15">C147+1</f>
        <v>16</v>
      </c>
      <c r="D148" s="277" t="s">
        <v>52</v>
      </c>
      <c r="E148" s="278">
        <v>711161222</v>
      </c>
      <c r="F148" s="279" t="s">
        <v>175</v>
      </c>
      <c r="G148" s="279"/>
      <c r="H148" s="279"/>
      <c r="I148" s="279"/>
      <c r="J148" s="38" t="s">
        <v>53</v>
      </c>
      <c r="K148" s="281">
        <f>K144</f>
        <v>8.6999999999999993</v>
      </c>
      <c r="L148" s="97"/>
      <c r="M148" s="98"/>
      <c r="N148" s="280">
        <f t="shared" si="14"/>
        <v>0</v>
      </c>
      <c r="O148" s="280"/>
      <c r="P148" s="280"/>
      <c r="Q148" s="280"/>
      <c r="R148" s="210"/>
      <c r="T148" s="25"/>
      <c r="Z148" s="141"/>
    </row>
    <row r="149" spans="1:37" ht="10.199999999999999" customHeight="1" outlineLevel="1">
      <c r="B149" s="209"/>
      <c r="C149" s="277">
        <f t="shared" si="15"/>
        <v>17</v>
      </c>
      <c r="D149" s="277" t="s">
        <v>52</v>
      </c>
      <c r="E149" s="278">
        <v>711161383</v>
      </c>
      <c r="F149" s="279" t="s">
        <v>177</v>
      </c>
      <c r="G149" s="279"/>
      <c r="H149" s="279"/>
      <c r="I149" s="279"/>
      <c r="J149" s="38" t="s">
        <v>58</v>
      </c>
      <c r="K149" s="281">
        <f>K134</f>
        <v>8.6999999999999993</v>
      </c>
      <c r="L149" s="97"/>
      <c r="M149" s="98"/>
      <c r="N149" s="280">
        <f t="shared" si="14"/>
        <v>0</v>
      </c>
      <c r="O149" s="280"/>
      <c r="P149" s="280"/>
      <c r="Q149" s="280"/>
      <c r="R149" s="210"/>
      <c r="T149" s="25"/>
      <c r="Z149" s="141"/>
    </row>
    <row r="150" spans="1:37" s="354" customFormat="1" outlineLevel="1">
      <c r="B150" s="353"/>
      <c r="E150" s="358"/>
      <c r="F150" s="358"/>
      <c r="G150" s="358"/>
      <c r="H150" s="358"/>
      <c r="I150" s="358"/>
      <c r="J150" s="358"/>
      <c r="K150" s="358"/>
      <c r="L150" s="91"/>
      <c r="M150" s="91"/>
      <c r="R150" s="356"/>
      <c r="T150" s="52"/>
      <c r="U150" s="276"/>
      <c r="V150" s="67"/>
      <c r="W150" s="22"/>
      <c r="X150" s="22"/>
      <c r="Y150" s="22"/>
      <c r="Z150" s="375"/>
    </row>
    <row r="151" spans="1:37" s="275" customFormat="1" outlineLevel="1">
      <c r="B151" s="267"/>
      <c r="C151" s="268"/>
      <c r="D151" s="268"/>
      <c r="E151" s="269" t="s">
        <v>505</v>
      </c>
      <c r="F151" s="270"/>
      <c r="G151" s="270"/>
      <c r="H151" s="270"/>
      <c r="I151" s="271"/>
      <c r="J151" s="49" t="s">
        <v>53</v>
      </c>
      <c r="K151" s="272">
        <f>K133</f>
        <v>21.75</v>
      </c>
      <c r="L151" s="92"/>
      <c r="M151" s="92"/>
      <c r="N151" s="273"/>
      <c r="O151" s="273"/>
      <c r="P151" s="273"/>
      <c r="Q151" s="273"/>
      <c r="R151" s="274"/>
      <c r="T151" s="48"/>
      <c r="U151" s="276"/>
      <c r="V151" s="67"/>
      <c r="W151" s="70"/>
      <c r="X151" s="70"/>
      <c r="Y151" s="70"/>
      <c r="Z151" s="375"/>
    </row>
    <row r="152" spans="1:37" ht="10.199999999999999" customHeight="1" outlineLevel="1">
      <c r="B152" s="209"/>
      <c r="C152" s="277">
        <f>C149+1</f>
        <v>18</v>
      </c>
      <c r="D152" s="277" t="s">
        <v>52</v>
      </c>
      <c r="E152" s="278">
        <v>978023411</v>
      </c>
      <c r="F152" s="279" t="s">
        <v>514</v>
      </c>
      <c r="G152" s="279"/>
      <c r="H152" s="279"/>
      <c r="I152" s="279"/>
      <c r="J152" s="38" t="s">
        <v>53</v>
      </c>
      <c r="K152" s="281">
        <f>K151</f>
        <v>21.75</v>
      </c>
      <c r="L152" s="91"/>
      <c r="M152" s="91"/>
      <c r="N152" s="280">
        <f>ROUND(L152*K152,2)</f>
        <v>0</v>
      </c>
      <c r="O152" s="280"/>
      <c r="P152" s="280"/>
      <c r="Q152" s="280"/>
      <c r="R152" s="210"/>
      <c r="T152" s="25"/>
      <c r="Z152" s="141"/>
    </row>
    <row r="153" spans="1:37" ht="10.199999999999999" customHeight="1" outlineLevel="1">
      <c r="B153" s="209"/>
      <c r="C153" s="277">
        <f t="shared" ref="C153:C157" si="16">C152+1</f>
        <v>19</v>
      </c>
      <c r="D153" s="277" t="s">
        <v>52</v>
      </c>
      <c r="E153" s="278">
        <v>622125101</v>
      </c>
      <c r="F153" s="279" t="s">
        <v>148</v>
      </c>
      <c r="G153" s="279"/>
      <c r="H153" s="279"/>
      <c r="I153" s="279"/>
      <c r="J153" s="38" t="s">
        <v>53</v>
      </c>
      <c r="K153" s="281">
        <f>K151</f>
        <v>21.75</v>
      </c>
      <c r="L153" s="91"/>
      <c r="M153" s="91"/>
      <c r="N153" s="280">
        <f>ROUND(L153*K153,2)</f>
        <v>0</v>
      </c>
      <c r="O153" s="280"/>
      <c r="P153" s="280"/>
      <c r="Q153" s="280"/>
      <c r="R153" s="210"/>
      <c r="T153" s="25"/>
      <c r="Z153" s="141"/>
    </row>
    <row r="154" spans="1:37" outlineLevel="1">
      <c r="B154" s="209"/>
      <c r="C154" s="277">
        <f t="shared" si="16"/>
        <v>20</v>
      </c>
      <c r="D154" s="277" t="s">
        <v>52</v>
      </c>
      <c r="E154" s="278">
        <v>622131151</v>
      </c>
      <c r="F154" s="279" t="s">
        <v>156</v>
      </c>
      <c r="G154" s="279"/>
      <c r="H154" s="279"/>
      <c r="I154" s="279"/>
      <c r="J154" s="38" t="s">
        <v>53</v>
      </c>
      <c r="K154" s="281">
        <f>K151</f>
        <v>21.75</v>
      </c>
      <c r="L154" s="91"/>
      <c r="M154" s="91"/>
      <c r="N154" s="280">
        <f>ROUND(L154*K154,2)</f>
        <v>0</v>
      </c>
      <c r="O154" s="280"/>
      <c r="P154" s="280"/>
      <c r="Q154" s="280"/>
      <c r="R154" s="210"/>
      <c r="T154" s="25"/>
      <c r="Z154" s="141"/>
    </row>
    <row r="155" spans="1:37" outlineLevel="1">
      <c r="B155" s="209"/>
      <c r="C155" s="277">
        <f t="shared" si="16"/>
        <v>21</v>
      </c>
      <c r="D155" s="277" t="s">
        <v>52</v>
      </c>
      <c r="E155" s="278">
        <v>622326121</v>
      </c>
      <c r="F155" s="279" t="s">
        <v>157</v>
      </c>
      <c r="G155" s="279"/>
      <c r="H155" s="279"/>
      <c r="I155" s="279"/>
      <c r="J155" s="38" t="s">
        <v>53</v>
      </c>
      <c r="K155" s="281">
        <f>K151</f>
        <v>21.75</v>
      </c>
      <c r="L155" s="91"/>
      <c r="M155" s="91"/>
      <c r="N155" s="280">
        <f t="shared" ref="N155:N157" si="17">ROUND(L155*K155,2)</f>
        <v>0</v>
      </c>
      <c r="O155" s="280"/>
      <c r="P155" s="280"/>
      <c r="Q155" s="280"/>
      <c r="R155" s="210"/>
      <c r="T155" s="25"/>
      <c r="Z155" s="141"/>
    </row>
    <row r="156" spans="1:37" outlineLevel="1">
      <c r="B156" s="209"/>
      <c r="C156" s="277">
        <f t="shared" si="16"/>
        <v>22</v>
      </c>
      <c r="D156" s="277" t="s">
        <v>52</v>
      </c>
      <c r="E156" s="278">
        <v>783823133</v>
      </c>
      <c r="F156" s="279" t="s">
        <v>197</v>
      </c>
      <c r="G156" s="279"/>
      <c r="H156" s="279"/>
      <c r="I156" s="279"/>
      <c r="J156" s="38" t="s">
        <v>53</v>
      </c>
      <c r="K156" s="281">
        <f>K155</f>
        <v>21.75</v>
      </c>
      <c r="L156" s="91"/>
      <c r="M156" s="91"/>
      <c r="N156" s="280">
        <f t="shared" si="17"/>
        <v>0</v>
      </c>
      <c r="O156" s="280"/>
      <c r="P156" s="280"/>
      <c r="Q156" s="280"/>
      <c r="R156" s="210"/>
      <c r="T156" s="25"/>
      <c r="Z156" s="141"/>
    </row>
    <row r="157" spans="1:37" ht="10.199999999999999" customHeight="1" outlineLevel="1">
      <c r="B157" s="209"/>
      <c r="C157" s="277">
        <f t="shared" si="16"/>
        <v>23</v>
      </c>
      <c r="D157" s="277" t="s">
        <v>52</v>
      </c>
      <c r="E157" s="278">
        <v>783827423</v>
      </c>
      <c r="F157" s="279" t="s">
        <v>199</v>
      </c>
      <c r="G157" s="279"/>
      <c r="H157" s="279"/>
      <c r="I157" s="279"/>
      <c r="J157" s="38" t="s">
        <v>53</v>
      </c>
      <c r="K157" s="281">
        <f>K156</f>
        <v>21.75</v>
      </c>
      <c r="L157" s="91"/>
      <c r="M157" s="91"/>
      <c r="N157" s="280">
        <f t="shared" si="17"/>
        <v>0</v>
      </c>
      <c r="O157" s="280"/>
      <c r="P157" s="280"/>
      <c r="Q157" s="280"/>
      <c r="R157" s="210"/>
      <c r="T157" s="25"/>
      <c r="Z157" s="141"/>
    </row>
    <row r="158" spans="1:37" s="354" customFormat="1" outlineLevel="1">
      <c r="B158" s="353"/>
      <c r="E158" s="358"/>
      <c r="F158" s="358"/>
      <c r="G158" s="358"/>
      <c r="H158" s="358"/>
      <c r="I158" s="358"/>
      <c r="J158" s="358"/>
      <c r="K158" s="358"/>
      <c r="L158" s="156"/>
      <c r="M158" s="156"/>
      <c r="R158" s="356"/>
      <c r="T158" s="52"/>
      <c r="U158" s="276"/>
      <c r="V158" s="67"/>
      <c r="W158" s="22"/>
      <c r="X158" s="22"/>
      <c r="Y158" s="22"/>
      <c r="Z158" s="375"/>
    </row>
    <row r="159" spans="1:37" s="275" customFormat="1" outlineLevel="1">
      <c r="B159" s="267"/>
      <c r="C159" s="268"/>
      <c r="D159" s="268"/>
      <c r="E159" s="269" t="s">
        <v>556</v>
      </c>
      <c r="F159" s="270"/>
      <c r="G159" s="270"/>
      <c r="H159" s="270"/>
      <c r="I159" s="271"/>
      <c r="J159" s="49"/>
      <c r="K159" s="272"/>
      <c r="L159" s="92"/>
      <c r="M159" s="92"/>
      <c r="N159" s="273"/>
      <c r="O159" s="273"/>
      <c r="P159" s="273"/>
      <c r="Q159" s="273"/>
      <c r="R159" s="274"/>
      <c r="T159" s="48"/>
      <c r="U159" s="276"/>
      <c r="V159" s="67"/>
      <c r="W159" s="70"/>
      <c r="X159" s="70"/>
      <c r="Y159" s="70"/>
      <c r="Z159" s="375"/>
    </row>
    <row r="160" spans="1:37" outlineLevel="1">
      <c r="B160" s="209"/>
      <c r="C160" s="277">
        <f>C157+1</f>
        <v>24</v>
      </c>
      <c r="D160" s="277" t="s">
        <v>52</v>
      </c>
      <c r="E160" s="278">
        <v>766414223</v>
      </c>
      <c r="F160" s="279" t="s">
        <v>429</v>
      </c>
      <c r="G160" s="279"/>
      <c r="H160" s="279"/>
      <c r="I160" s="279"/>
      <c r="J160" s="38" t="s">
        <v>53</v>
      </c>
      <c r="K160" s="281">
        <f>SUM(K161:K161)</f>
        <v>6.0259999999999998</v>
      </c>
      <c r="L160" s="91"/>
      <c r="M160" s="91"/>
      <c r="N160" s="280">
        <f>ROUND(L160*K160,2)</f>
        <v>0</v>
      </c>
      <c r="O160" s="280"/>
      <c r="P160" s="280"/>
      <c r="Q160" s="280"/>
      <c r="R160" s="210"/>
      <c r="T160" s="25"/>
      <c r="Z160" s="141"/>
    </row>
    <row r="161" spans="2:26" s="360" customFormat="1" outlineLevel="1">
      <c r="B161" s="359"/>
      <c r="E161" s="361" t="s">
        <v>430</v>
      </c>
      <c r="F161" s="362" t="s">
        <v>557</v>
      </c>
      <c r="G161" s="363">
        <f t="shared" ref="G161:I161" si="18">(2.62)*2.3</f>
        <v>6.0259999999999998</v>
      </c>
      <c r="H161" s="363">
        <f t="shared" si="18"/>
        <v>6.0259999999999998</v>
      </c>
      <c r="I161" s="363">
        <f t="shared" si="18"/>
        <v>6.0259999999999998</v>
      </c>
      <c r="J161" s="50"/>
      <c r="K161" s="364">
        <f>(2.62)*2.3</f>
        <v>6.0259999999999998</v>
      </c>
      <c r="L161" s="157"/>
      <c r="M161" s="157"/>
      <c r="R161" s="365"/>
      <c r="T161" s="51"/>
      <c r="U161" s="22"/>
      <c r="V161" s="22"/>
      <c r="W161" s="22"/>
      <c r="X161" s="22"/>
      <c r="Y161" s="22"/>
      <c r="Z161" s="141"/>
    </row>
    <row r="162" spans="2:26" ht="34.799999999999997" customHeight="1" outlineLevel="1">
      <c r="B162" s="209"/>
      <c r="C162" s="367">
        <f>C160+1</f>
        <v>25</v>
      </c>
      <c r="D162" s="367" t="s">
        <v>59</v>
      </c>
      <c r="E162" s="368" t="s">
        <v>434</v>
      </c>
      <c r="F162" s="369" t="s">
        <v>435</v>
      </c>
      <c r="G162" s="369"/>
      <c r="H162" s="369"/>
      <c r="I162" s="369"/>
      <c r="J162" s="39" t="s">
        <v>53</v>
      </c>
      <c r="K162" s="370">
        <f>K160</f>
        <v>6.0259999999999998</v>
      </c>
      <c r="L162" s="96"/>
      <c r="M162" s="96"/>
      <c r="N162" s="371">
        <f t="shared" ref="N162" si="19">ROUND(L162*K162,2)</f>
        <v>0</v>
      </c>
      <c r="O162" s="280"/>
      <c r="P162" s="280"/>
      <c r="Q162" s="280"/>
      <c r="R162" s="210"/>
      <c r="T162" s="25"/>
      <c r="Z162" s="141"/>
    </row>
    <row r="163" spans="2:26" s="354" customFormat="1" outlineLevel="1">
      <c r="B163" s="353"/>
      <c r="E163" s="358"/>
      <c r="F163" s="358"/>
      <c r="G163" s="358"/>
      <c r="H163" s="358"/>
      <c r="I163" s="358"/>
      <c r="J163" s="358"/>
      <c r="K163" s="358"/>
      <c r="L163" s="156"/>
      <c r="M163" s="156"/>
      <c r="R163" s="356"/>
      <c r="T163" s="52"/>
      <c r="U163" s="276"/>
      <c r="V163" s="67"/>
      <c r="W163" s="22"/>
      <c r="X163" s="22"/>
      <c r="Y163" s="22"/>
      <c r="Z163" s="375"/>
    </row>
    <row r="164" spans="2:26" s="275" customFormat="1" outlineLevel="1">
      <c r="B164" s="267"/>
      <c r="C164" s="268"/>
      <c r="D164" s="268"/>
      <c r="E164" s="269" t="s">
        <v>530</v>
      </c>
      <c r="F164" s="270"/>
      <c r="G164" s="270"/>
      <c r="H164" s="270"/>
      <c r="I164" s="271"/>
      <c r="J164" s="49"/>
      <c r="K164" s="272"/>
      <c r="L164" s="92"/>
      <c r="M164" s="92"/>
      <c r="N164" s="273"/>
      <c r="O164" s="273"/>
      <c r="P164" s="273"/>
      <c r="Q164" s="273"/>
      <c r="R164" s="274"/>
      <c r="T164" s="48"/>
      <c r="U164" s="276"/>
      <c r="V164" s="67"/>
      <c r="W164" s="70"/>
      <c r="X164" s="70"/>
      <c r="Y164" s="70"/>
      <c r="Z164" s="375"/>
    </row>
    <row r="165" spans="2:26" ht="10.199999999999999" customHeight="1" outlineLevel="1">
      <c r="B165" s="209"/>
      <c r="C165" s="277">
        <f>C162+1</f>
        <v>26</v>
      </c>
      <c r="D165" s="277" t="s">
        <v>52</v>
      </c>
      <c r="E165" s="278">
        <v>783826615</v>
      </c>
      <c r="F165" s="279" t="s">
        <v>200</v>
      </c>
      <c r="G165" s="279"/>
      <c r="H165" s="279"/>
      <c r="I165" s="279"/>
      <c r="J165" s="38" t="s">
        <v>53</v>
      </c>
      <c r="K165" s="281">
        <f>SUM(K166)</f>
        <v>4.3499999999999996</v>
      </c>
      <c r="L165" s="91"/>
      <c r="M165" s="91"/>
      <c r="N165" s="280">
        <f>ROUND(L165*K165,2)</f>
        <v>0</v>
      </c>
      <c r="O165" s="280"/>
      <c r="P165" s="280"/>
      <c r="Q165" s="280"/>
      <c r="R165" s="210"/>
      <c r="T165" s="25"/>
      <c r="Z165" s="141"/>
    </row>
    <row r="166" spans="2:26" s="360" customFormat="1" ht="10.199999999999999" customHeight="1" outlineLevel="1">
      <c r="B166" s="359"/>
      <c r="E166" s="361" t="s">
        <v>558</v>
      </c>
      <c r="F166" s="362" t="s">
        <v>562</v>
      </c>
      <c r="G166" s="363">
        <f t="shared" ref="G166:I166" si="20">(5.5+0.6+2.6)*0.5</f>
        <v>4.3499999999999996</v>
      </c>
      <c r="H166" s="363">
        <f t="shared" si="20"/>
        <v>4.3499999999999996</v>
      </c>
      <c r="I166" s="363">
        <f t="shared" si="20"/>
        <v>4.3499999999999996</v>
      </c>
      <c r="J166" s="50"/>
      <c r="K166" s="364">
        <f>(5.5+0.6+2.6)*0.5</f>
        <v>4.3499999999999996</v>
      </c>
      <c r="L166" s="157"/>
      <c r="M166" s="157"/>
      <c r="R166" s="365"/>
      <c r="T166" s="51"/>
      <c r="W166" s="141"/>
      <c r="X166" s="141"/>
      <c r="Y166" s="141"/>
      <c r="Z166" s="141"/>
    </row>
    <row r="167" spans="2:26" s="354" customFormat="1">
      <c r="B167" s="353"/>
      <c r="E167" s="358"/>
      <c r="F167" s="358"/>
      <c r="G167" s="358"/>
      <c r="H167" s="358"/>
      <c r="I167" s="358"/>
      <c r="J167" s="358"/>
      <c r="K167" s="358"/>
      <c r="L167" s="156"/>
      <c r="M167" s="156"/>
      <c r="R167" s="356"/>
      <c r="T167" s="52"/>
      <c r="W167" s="375"/>
      <c r="X167" s="375"/>
      <c r="Y167" s="375"/>
      <c r="Z167" s="375"/>
    </row>
    <row r="168" spans="2:26" s="266" customFormat="1" ht="13.2">
      <c r="B168" s="262"/>
      <c r="C168" s="263"/>
      <c r="D168" s="263" t="s">
        <v>195</v>
      </c>
      <c r="E168" s="263"/>
      <c r="F168" s="263"/>
      <c r="G168" s="263"/>
      <c r="H168" s="263"/>
      <c r="I168" s="263"/>
      <c r="J168" s="36"/>
      <c r="K168" s="263"/>
      <c r="L168" s="155"/>
      <c r="M168" s="155"/>
      <c r="N168" s="264">
        <f>SUM(N169)</f>
        <v>0</v>
      </c>
      <c r="O168" s="264"/>
      <c r="P168" s="264"/>
      <c r="Q168" s="264"/>
      <c r="R168" s="265"/>
      <c r="T168" s="25">
        <f>SUM(N168:Q169)/2</f>
        <v>0</v>
      </c>
      <c r="W168" s="141"/>
      <c r="X168" s="141"/>
      <c r="Y168" s="141"/>
      <c r="Z168" s="141"/>
    </row>
    <row r="169" spans="2:26" ht="11.25" customHeight="1" outlineLevel="1">
      <c r="B169" s="209"/>
      <c r="C169" s="277">
        <f>C165+1</f>
        <v>27</v>
      </c>
      <c r="D169" s="277" t="s">
        <v>59</v>
      </c>
      <c r="E169" s="278" t="s">
        <v>563</v>
      </c>
      <c r="F169" s="279" t="s">
        <v>564</v>
      </c>
      <c r="G169" s="279"/>
      <c r="H169" s="279"/>
      <c r="I169" s="279"/>
      <c r="J169" s="38" t="s">
        <v>60</v>
      </c>
      <c r="K169" s="40">
        <f>N113+N131</f>
        <v>0</v>
      </c>
      <c r="L169" s="95"/>
      <c r="M169" s="95"/>
      <c r="N169" s="280">
        <f>ROUND(L169*K169,2)</f>
        <v>0</v>
      </c>
      <c r="O169" s="280"/>
      <c r="P169" s="280"/>
      <c r="Q169" s="280"/>
      <c r="R169" s="210"/>
      <c r="T169" s="25"/>
      <c r="Z169" s="141"/>
    </row>
    <row r="170" spans="2:26" s="354" customFormat="1">
      <c r="B170" s="353"/>
      <c r="C170" s="372"/>
      <c r="D170" s="372"/>
      <c r="E170" s="373"/>
      <c r="F170" s="373"/>
      <c r="G170" s="373"/>
      <c r="H170" s="373"/>
      <c r="I170" s="373"/>
      <c r="J170" s="373"/>
      <c r="K170" s="373"/>
      <c r="L170" s="159"/>
      <c r="M170" s="159"/>
      <c r="N170" s="372"/>
      <c r="O170" s="372"/>
      <c r="P170" s="372"/>
      <c r="Q170" s="372"/>
      <c r="R170" s="356"/>
      <c r="T170" s="52"/>
      <c r="W170" s="375"/>
      <c r="X170" s="375"/>
      <c r="Y170" s="375"/>
      <c r="Z170" s="375"/>
    </row>
    <row r="171" spans="2:26">
      <c r="B171" s="231"/>
      <c r="C171" s="232"/>
      <c r="D171" s="232"/>
      <c r="E171" s="232"/>
      <c r="F171" s="232"/>
      <c r="G171" s="232"/>
      <c r="H171" s="232"/>
      <c r="I171" s="232"/>
      <c r="J171" s="62"/>
      <c r="K171" s="232"/>
      <c r="L171" s="232"/>
      <c r="M171" s="232"/>
      <c r="N171" s="232"/>
      <c r="O171" s="232"/>
      <c r="P171" s="232"/>
      <c r="Q171" s="232"/>
      <c r="R171" s="233"/>
    </row>
  </sheetData>
  <sheetProtection algorithmName="SHA-512" hashValue="BqIo+Kaz1t616PRdusulxOxkTJ+mvsSfr8mKQFnyNnnVyFop8UBJB5rwZqieXBnRB3oreHIFZvOeyhzl5vbl8g==" saltValue="iRe7XzJ5Fa+DCKyeeNLvsg==" spinCount="100000" sheet="1" objects="1" scenarios="1"/>
  <mergeCells count="173">
    <mergeCell ref="E112:K112"/>
    <mergeCell ref="N113:Q113"/>
    <mergeCell ref="F109:I109"/>
    <mergeCell ref="L109:M109"/>
    <mergeCell ref="N109:Q109"/>
    <mergeCell ref="N110:Q110"/>
    <mergeCell ref="N111:Q111"/>
    <mergeCell ref="F100:P100"/>
    <mergeCell ref="M102:P102"/>
    <mergeCell ref="F104:J104"/>
    <mergeCell ref="M104:Q104"/>
    <mergeCell ref="M105:Q105"/>
    <mergeCell ref="F106:P106"/>
    <mergeCell ref="F107:P107"/>
    <mergeCell ref="D25:E25"/>
    <mergeCell ref="G25:P25"/>
    <mergeCell ref="F12:I12"/>
    <mergeCell ref="O12:P12"/>
    <mergeCell ref="O13:P13"/>
    <mergeCell ref="O15:P15"/>
    <mergeCell ref="O16:P16"/>
    <mergeCell ref="M28:P28"/>
    <mergeCell ref="O18:P18"/>
    <mergeCell ref="C2:Q2"/>
    <mergeCell ref="F4:P4"/>
    <mergeCell ref="F5:P5"/>
    <mergeCell ref="O7:P7"/>
    <mergeCell ref="O9:P9"/>
    <mergeCell ref="O10:P10"/>
    <mergeCell ref="O19:P19"/>
    <mergeCell ref="O21:P21"/>
    <mergeCell ref="E22:P22"/>
    <mergeCell ref="F9:L9"/>
    <mergeCell ref="M30:P30"/>
    <mergeCell ref="H32:J32"/>
    <mergeCell ref="M32:P32"/>
    <mergeCell ref="H33:J33"/>
    <mergeCell ref="L91:Q91"/>
    <mergeCell ref="C97:Q97"/>
    <mergeCell ref="F99:P99"/>
    <mergeCell ref="M33:P33"/>
    <mergeCell ref="N88:Q88"/>
    <mergeCell ref="N89:Q89"/>
    <mergeCell ref="M81:Q81"/>
    <mergeCell ref="C83:G83"/>
    <mergeCell ref="N83:Q83"/>
    <mergeCell ref="N85:Q85"/>
    <mergeCell ref="N86:Q86"/>
    <mergeCell ref="N87:Q87"/>
    <mergeCell ref="L35:P35"/>
    <mergeCell ref="C73:Q73"/>
    <mergeCell ref="F75:P75"/>
    <mergeCell ref="F76:P76"/>
    <mergeCell ref="M78:P78"/>
    <mergeCell ref="M80:Q80"/>
    <mergeCell ref="F80:J80"/>
    <mergeCell ref="E119:I119"/>
    <mergeCell ref="L119:M119"/>
    <mergeCell ref="N119:Q119"/>
    <mergeCell ref="E115:I115"/>
    <mergeCell ref="L115:M115"/>
    <mergeCell ref="N115:Q115"/>
    <mergeCell ref="F116:I116"/>
    <mergeCell ref="L116:M116"/>
    <mergeCell ref="N116:Q116"/>
    <mergeCell ref="F117:I117"/>
    <mergeCell ref="F120:I120"/>
    <mergeCell ref="L120:M120"/>
    <mergeCell ref="N120:Q120"/>
    <mergeCell ref="F121:I121"/>
    <mergeCell ref="F122:I122"/>
    <mergeCell ref="L122:M122"/>
    <mergeCell ref="N122:Q122"/>
    <mergeCell ref="F123:I123"/>
    <mergeCell ref="L123:M123"/>
    <mergeCell ref="N123:Q123"/>
    <mergeCell ref="E134:I134"/>
    <mergeCell ref="L134:M134"/>
    <mergeCell ref="N134:Q134"/>
    <mergeCell ref="F132:I132"/>
    <mergeCell ref="F133:I133"/>
    <mergeCell ref="N131:Q131"/>
    <mergeCell ref="F129:I129"/>
    <mergeCell ref="F124:I124"/>
    <mergeCell ref="L124:M124"/>
    <mergeCell ref="N124:Q124"/>
    <mergeCell ref="F125:I125"/>
    <mergeCell ref="F126:I126"/>
    <mergeCell ref="L126:M126"/>
    <mergeCell ref="N126:Q126"/>
    <mergeCell ref="F127:I127"/>
    <mergeCell ref="F128:I128"/>
    <mergeCell ref="L128:M128"/>
    <mergeCell ref="N128:Q128"/>
    <mergeCell ref="F135:I135"/>
    <mergeCell ref="L135:M135"/>
    <mergeCell ref="N135:Q135"/>
    <mergeCell ref="F136:I136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39:Q139"/>
    <mergeCell ref="F140:I140"/>
    <mergeCell ref="L140:M140"/>
    <mergeCell ref="N140:Q140"/>
    <mergeCell ref="F141:I141"/>
    <mergeCell ref="F142:I142"/>
    <mergeCell ref="L142:M142"/>
    <mergeCell ref="N142:Q142"/>
    <mergeCell ref="F143:I143"/>
    <mergeCell ref="F144:I144"/>
    <mergeCell ref="L144:M144"/>
    <mergeCell ref="N144:Q144"/>
    <mergeCell ref="F145:I145"/>
    <mergeCell ref="N145:Q145"/>
    <mergeCell ref="F146:I146"/>
    <mergeCell ref="F147:I147"/>
    <mergeCell ref="N147:Q147"/>
    <mergeCell ref="L146:M146"/>
    <mergeCell ref="F148:I148"/>
    <mergeCell ref="L148:M148"/>
    <mergeCell ref="N148:Q148"/>
    <mergeCell ref="F149:I149"/>
    <mergeCell ref="L149:M149"/>
    <mergeCell ref="N149:Q149"/>
    <mergeCell ref="E151:I151"/>
    <mergeCell ref="L151:M151"/>
    <mergeCell ref="N151:Q151"/>
    <mergeCell ref="L150:M150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62:I162"/>
    <mergeCell ref="L162:M162"/>
    <mergeCell ref="N162:Q162"/>
    <mergeCell ref="E159:I159"/>
    <mergeCell ref="L159:M159"/>
    <mergeCell ref="N159:Q159"/>
    <mergeCell ref="F160:I160"/>
    <mergeCell ref="L160:M160"/>
    <mergeCell ref="N160:Q160"/>
    <mergeCell ref="F161:I161"/>
    <mergeCell ref="N168:Q168"/>
    <mergeCell ref="F169:I169"/>
    <mergeCell ref="L169:M169"/>
    <mergeCell ref="N169:Q169"/>
    <mergeCell ref="F165:I165"/>
    <mergeCell ref="L165:M165"/>
    <mergeCell ref="N165:Q165"/>
    <mergeCell ref="F166:I166"/>
    <mergeCell ref="E164:I164"/>
    <mergeCell ref="L164:M164"/>
    <mergeCell ref="N164:Q16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8F40-D30D-493F-8CD9-0CD91F8AE565}">
  <sheetPr>
    <pageSetUpPr fitToPage="1"/>
  </sheetPr>
  <dimension ref="B1:AE168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1" width="11.42578125" style="141" hidden="1" customWidth="1" outlineLevel="1"/>
    <col min="22" max="22" width="11.42578125" style="66" hidden="1" customWidth="1" outlineLevel="1"/>
    <col min="23" max="29" width="11.42578125" style="22" hidden="1" customWidth="1" outlineLevel="1"/>
    <col min="30" max="30" width="11.42578125" style="366" hidden="1" customWidth="1" outlineLevel="1"/>
    <col min="31" max="31" width="9.28515625" style="142" collapsed="1"/>
    <col min="32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569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SO.06 sanace základového zdiva ZUŠ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0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0">
      <c r="B82" s="209"/>
      <c r="J82" s="26"/>
      <c r="R82" s="210"/>
    </row>
    <row r="83" spans="2:20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K111</f>
        <v>64.72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0">
      <c r="B84" s="209"/>
      <c r="J84" s="26"/>
      <c r="R84" s="210"/>
    </row>
    <row r="85" spans="2:20" ht="15.6">
      <c r="B85" s="209"/>
      <c r="C85" s="237" t="s">
        <v>44</v>
      </c>
      <c r="J85" s="26"/>
      <c r="K85" s="42">
        <f t="shared" ref="K85:K88" si="0">N85/$I$83</f>
        <v>0</v>
      </c>
      <c r="N85" s="179">
        <f>N86</f>
        <v>0</v>
      </c>
      <c r="O85" s="238"/>
      <c r="P85" s="238"/>
      <c r="Q85" s="238"/>
      <c r="R85" s="210"/>
      <c r="T85" s="31">
        <f>SUM(N85:Q88)/3</f>
        <v>0</v>
      </c>
    </row>
    <row r="86" spans="2:20" s="348" customFormat="1" ht="15">
      <c r="B86" s="347"/>
      <c r="D86" s="349" t="str">
        <f>D110</f>
        <v>Sanace</v>
      </c>
      <c r="J86" s="32"/>
      <c r="K86" s="43">
        <f t="shared" si="0"/>
        <v>0</v>
      </c>
      <c r="N86" s="350">
        <f>SUM(N87:Q88)</f>
        <v>0</v>
      </c>
      <c r="O86" s="351"/>
      <c r="P86" s="351"/>
      <c r="Q86" s="351"/>
      <c r="R86" s="352"/>
      <c r="T86" s="31">
        <f>SUM(N86:Q88)/2</f>
        <v>0</v>
      </c>
    </row>
    <row r="87" spans="2:20" s="246" customFormat="1" ht="13.2">
      <c r="B87" s="245"/>
      <c r="D87" s="247" t="str">
        <f>D111</f>
        <v xml:space="preserve">    985 - Sanace</v>
      </c>
      <c r="J87" s="33"/>
      <c r="K87" s="44">
        <f t="shared" si="0"/>
        <v>0</v>
      </c>
      <c r="N87" s="248">
        <f>N111</f>
        <v>0</v>
      </c>
      <c r="O87" s="249"/>
      <c r="P87" s="249"/>
      <c r="Q87" s="249"/>
      <c r="R87" s="250"/>
      <c r="T87" s="23"/>
    </row>
    <row r="88" spans="2:20" s="246" customFormat="1" ht="13.2">
      <c r="B88" s="245"/>
      <c r="D88" s="247" t="str">
        <f>D166</f>
        <v xml:space="preserve">    998 - Přesuny hmot</v>
      </c>
      <c r="J88" s="33"/>
      <c r="K88" s="44">
        <f t="shared" si="0"/>
        <v>0</v>
      </c>
      <c r="N88" s="248">
        <f>N166</f>
        <v>0</v>
      </c>
      <c r="O88" s="249"/>
      <c r="P88" s="249"/>
      <c r="Q88" s="249"/>
      <c r="R88" s="250"/>
      <c r="T88" s="23"/>
    </row>
    <row r="89" spans="2:20">
      <c r="B89" s="209"/>
      <c r="J89" s="26"/>
      <c r="R89" s="210"/>
    </row>
    <row r="90" spans="2:20" ht="15.6">
      <c r="B90" s="209"/>
      <c r="C90" s="202" t="s">
        <v>64</v>
      </c>
      <c r="D90" s="203"/>
      <c r="E90" s="203"/>
      <c r="F90" s="203"/>
      <c r="G90" s="203"/>
      <c r="H90" s="203"/>
      <c r="I90" s="203"/>
      <c r="J90" s="30"/>
      <c r="K90" s="45">
        <f>L90/$I$83</f>
        <v>0</v>
      </c>
      <c r="L90" s="204">
        <f>ROUND(N85,2)</f>
        <v>0</v>
      </c>
      <c r="M90" s="204"/>
      <c r="N90" s="204"/>
      <c r="O90" s="204"/>
      <c r="P90" s="204"/>
      <c r="Q90" s="204"/>
      <c r="R90" s="210"/>
    </row>
    <row r="91" spans="2:20">
      <c r="B91" s="209"/>
      <c r="J91" s="26"/>
      <c r="R91" s="210"/>
    </row>
    <row r="92" spans="2:20">
      <c r="B92" s="231"/>
      <c r="C92" s="232"/>
      <c r="D92" s="232"/>
      <c r="E92" s="232"/>
      <c r="F92" s="232"/>
      <c r="G92" s="232"/>
      <c r="H92" s="232"/>
      <c r="I92" s="232"/>
      <c r="J92" s="62"/>
      <c r="K92" s="232"/>
      <c r="L92" s="232"/>
      <c r="M92" s="232"/>
      <c r="N92" s="232"/>
      <c r="O92" s="232"/>
      <c r="P92" s="232"/>
      <c r="Q92" s="232"/>
      <c r="R92" s="233"/>
    </row>
    <row r="95" spans="2:20">
      <c r="B95" s="206"/>
      <c r="C95" s="207"/>
      <c r="D95" s="207"/>
      <c r="E95" s="207"/>
      <c r="F95" s="207"/>
      <c r="G95" s="207"/>
      <c r="H95" s="207"/>
      <c r="I95" s="207"/>
      <c r="J95" s="61"/>
      <c r="K95" s="207"/>
      <c r="L95" s="207"/>
      <c r="M95" s="207"/>
      <c r="N95" s="207"/>
      <c r="O95" s="207"/>
      <c r="P95" s="207"/>
      <c r="Q95" s="207"/>
      <c r="R95" s="208"/>
    </row>
    <row r="96" spans="2:20" ht="21">
      <c r="B96" s="209"/>
      <c r="C96" s="146" t="s">
        <v>45</v>
      </c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210"/>
    </row>
    <row r="97" spans="2:30" ht="2.25" customHeight="1">
      <c r="B97" s="209"/>
      <c r="J97" s="26"/>
      <c r="R97" s="210"/>
    </row>
    <row r="98" spans="2:30" ht="11.4">
      <c r="B98" s="209"/>
      <c r="C98" s="140" t="s">
        <v>3</v>
      </c>
      <c r="F98" s="211" t="str">
        <f>F4</f>
        <v>Revitalizace veřejného prostoru v proluce mezi ZUŠ a domem čp. 23 vč. přilehlých prostor ul. Radniční</v>
      </c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R98" s="210"/>
    </row>
    <row r="99" spans="2:30" ht="15.6">
      <c r="B99" s="209"/>
      <c r="C99" s="135" t="s">
        <v>39</v>
      </c>
      <c r="F99" s="109" t="str">
        <f>F5</f>
        <v>SO.06 sanace základového zdiva ZUŠ</v>
      </c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R99" s="210"/>
    </row>
    <row r="100" spans="2:30">
      <c r="B100" s="209"/>
      <c r="J100" s="26"/>
      <c r="R100" s="210"/>
    </row>
    <row r="101" spans="2:30" ht="11.4">
      <c r="B101" s="209"/>
      <c r="C101" s="140" t="s">
        <v>6</v>
      </c>
      <c r="F101" s="145" t="str">
        <f>F7</f>
        <v>Radniční ul. Bílina
p.č. 107, 120/1, 122, 125/1, 125/2, 125/3, 126, k.ú. Bílina [604208]</v>
      </c>
      <c r="J101" s="26"/>
      <c r="K101" s="140" t="s">
        <v>7</v>
      </c>
      <c r="M101" s="166">
        <f>IF(O7="","",O7)</f>
        <v>0</v>
      </c>
      <c r="N101" s="166"/>
      <c r="O101" s="166"/>
      <c r="P101" s="166"/>
      <c r="R101" s="210"/>
    </row>
    <row r="102" spans="2:30">
      <c r="B102" s="209"/>
      <c r="J102" s="26"/>
      <c r="R102" s="210"/>
    </row>
    <row r="103" spans="2:30" ht="48.75" customHeight="1">
      <c r="B103" s="209"/>
      <c r="C103" s="140" t="s">
        <v>8</v>
      </c>
      <c r="F103" s="127" t="str">
        <f>F80</f>
        <v>město Bílina
Břežanská 50/4, 418 31 Bílina</v>
      </c>
      <c r="G103" s="127"/>
      <c r="H103" s="127"/>
      <c r="I103" s="127"/>
      <c r="J103" s="127"/>
      <c r="K103" s="140" t="s">
        <v>13</v>
      </c>
      <c r="M103" s="136" t="str">
        <f>E16</f>
        <v xml:space="preserve">Ing. arch. MgA. Bořek Peška </v>
      </c>
      <c r="N103" s="136"/>
      <c r="O103" s="136"/>
      <c r="P103" s="136"/>
      <c r="Q103" s="136"/>
      <c r="R103" s="210"/>
    </row>
    <row r="104" spans="2:30" ht="11.4">
      <c r="B104" s="209"/>
      <c r="C104" s="140" t="s">
        <v>11</v>
      </c>
      <c r="F104" s="145">
        <f>F81</f>
        <v>0</v>
      </c>
      <c r="J104" s="26"/>
      <c r="K104" s="140" t="s">
        <v>14</v>
      </c>
      <c r="M104" s="136" t="str">
        <f>E19</f>
        <v>Jakub Kulhavý</v>
      </c>
      <c r="N104" s="136"/>
      <c r="O104" s="136"/>
      <c r="P104" s="136"/>
      <c r="Q104" s="136"/>
      <c r="R104" s="210"/>
    </row>
    <row r="105" spans="2:30" ht="11.4">
      <c r="B105" s="209"/>
      <c r="C105" s="140"/>
      <c r="F105" s="211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R105" s="210"/>
    </row>
    <row r="106" spans="2:30" ht="28.5" customHeight="1">
      <c r="B106" s="209"/>
      <c r="C106" s="140" t="s">
        <v>67</v>
      </c>
      <c r="F106" s="139" t="s">
        <v>103</v>
      </c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R106" s="210"/>
    </row>
    <row r="107" spans="2:30">
      <c r="B107" s="209"/>
      <c r="J107" s="26"/>
      <c r="R107" s="210"/>
    </row>
    <row r="108" spans="2:30" s="258" customFormat="1" ht="22.8">
      <c r="B108" s="251"/>
      <c r="C108" s="252" t="s">
        <v>46</v>
      </c>
      <c r="D108" s="253" t="s">
        <v>47</v>
      </c>
      <c r="E108" s="253" t="s">
        <v>34</v>
      </c>
      <c r="F108" s="254" t="s">
        <v>48</v>
      </c>
      <c r="G108" s="254"/>
      <c r="H108" s="254"/>
      <c r="I108" s="254"/>
      <c r="J108" s="34" t="s">
        <v>49</v>
      </c>
      <c r="K108" s="253" t="s">
        <v>50</v>
      </c>
      <c r="L108" s="255" t="s">
        <v>51</v>
      </c>
      <c r="M108" s="255"/>
      <c r="N108" s="254" t="s">
        <v>43</v>
      </c>
      <c r="O108" s="254"/>
      <c r="P108" s="254"/>
      <c r="Q108" s="256"/>
      <c r="R108" s="257"/>
      <c r="T108" s="24"/>
      <c r="U108" s="259"/>
      <c r="V108" s="24"/>
      <c r="W108" s="24"/>
      <c r="X108" s="24"/>
      <c r="Y108" s="24"/>
      <c r="Z108" s="24"/>
      <c r="AA108" s="24"/>
      <c r="AB108" s="24"/>
      <c r="AC108" s="24"/>
      <c r="AD108" s="259"/>
    </row>
    <row r="109" spans="2:30" ht="15.6">
      <c r="B109" s="209"/>
      <c r="C109" s="176" t="s">
        <v>40</v>
      </c>
      <c r="J109" s="26"/>
      <c r="N109" s="260">
        <f>N110</f>
        <v>0</v>
      </c>
      <c r="O109" s="261"/>
      <c r="P109" s="261"/>
      <c r="Q109" s="261"/>
      <c r="R109" s="210"/>
      <c r="T109" s="22">
        <f>SUM(N109:Q168)/4</f>
        <v>0</v>
      </c>
    </row>
    <row r="110" spans="2:30" s="266" customFormat="1" ht="15">
      <c r="B110" s="262"/>
      <c r="C110" s="349"/>
      <c r="D110" s="349" t="s">
        <v>116</v>
      </c>
      <c r="E110" s="349"/>
      <c r="F110" s="349"/>
      <c r="G110" s="349"/>
      <c r="H110" s="349"/>
      <c r="I110" s="349"/>
      <c r="J110" s="35"/>
      <c r="K110" s="349"/>
      <c r="L110" s="349"/>
      <c r="M110" s="349"/>
      <c r="N110" s="350">
        <f>N111+N166</f>
        <v>0</v>
      </c>
      <c r="O110" s="350"/>
      <c r="P110" s="350"/>
      <c r="Q110" s="350"/>
      <c r="R110" s="265"/>
      <c r="T110" s="25">
        <f>SUM(N110:Q168)/3</f>
        <v>0</v>
      </c>
      <c r="U110" s="141"/>
      <c r="V110" s="66"/>
      <c r="W110" s="22"/>
      <c r="X110" s="22"/>
      <c r="Y110" s="22"/>
      <c r="Z110" s="22"/>
      <c r="AA110" s="22"/>
      <c r="AB110" s="22"/>
      <c r="AC110" s="22"/>
    </row>
    <row r="111" spans="2:30" s="266" customFormat="1" ht="13.2" collapsed="1">
      <c r="B111" s="262"/>
      <c r="C111" s="263"/>
      <c r="D111" s="263" t="s">
        <v>182</v>
      </c>
      <c r="E111" s="263"/>
      <c r="F111" s="263"/>
      <c r="G111" s="263"/>
      <c r="H111" s="263"/>
      <c r="I111" s="263"/>
      <c r="J111" s="36"/>
      <c r="K111" s="357">
        <f>K122</f>
        <v>64.72</v>
      </c>
      <c r="L111" s="155"/>
      <c r="M111" s="155"/>
      <c r="N111" s="264">
        <f>SUM(N120:Q164)</f>
        <v>0</v>
      </c>
      <c r="O111" s="264"/>
      <c r="P111" s="264"/>
      <c r="Q111" s="264"/>
      <c r="R111" s="265"/>
      <c r="T111" s="25">
        <f>SUM(N111:Q164)/2</f>
        <v>0</v>
      </c>
      <c r="U111" s="141"/>
      <c r="V111" s="66"/>
      <c r="W111" s="22"/>
      <c r="X111" s="22" t="s">
        <v>109</v>
      </c>
      <c r="Y111" s="22" t="s">
        <v>118</v>
      </c>
      <c r="Z111" s="22"/>
      <c r="AA111" s="22"/>
      <c r="AB111" s="22"/>
      <c r="AC111" s="22"/>
    </row>
    <row r="112" spans="2:30" s="354" customFormat="1" outlineLevel="1">
      <c r="B112" s="353"/>
      <c r="E112" s="358"/>
      <c r="F112" s="358"/>
      <c r="G112" s="358"/>
      <c r="H112" s="358"/>
      <c r="I112" s="358"/>
      <c r="J112" s="358"/>
      <c r="K112" s="358"/>
      <c r="L112" s="156"/>
      <c r="M112" s="156"/>
      <c r="R112" s="356"/>
      <c r="T112" s="52"/>
      <c r="V112" s="67"/>
      <c r="W112" s="22"/>
      <c r="X112" s="68"/>
      <c r="Y112" s="68"/>
      <c r="Z112" s="68"/>
      <c r="AA112" s="68"/>
      <c r="AB112" s="68"/>
      <c r="AC112" s="68"/>
    </row>
    <row r="113" spans="2:29" s="275" customFormat="1" outlineLevel="1">
      <c r="B113" s="267"/>
      <c r="C113" s="268"/>
      <c r="D113" s="268"/>
      <c r="E113" s="374" t="s">
        <v>184</v>
      </c>
      <c r="F113" s="270"/>
      <c r="G113" s="270"/>
      <c r="H113" s="270"/>
      <c r="I113" s="271"/>
      <c r="J113" s="49"/>
      <c r="K113" s="272"/>
      <c r="L113" s="92"/>
      <c r="M113" s="92"/>
      <c r="N113" s="273"/>
      <c r="O113" s="273"/>
      <c r="P113" s="273"/>
      <c r="Q113" s="273"/>
      <c r="R113" s="274"/>
      <c r="T113" s="48"/>
      <c r="U113" s="375"/>
      <c r="V113" s="67"/>
      <c r="W113" s="68"/>
      <c r="X113" s="68">
        <f>SUM(X114:X171)</f>
        <v>0</v>
      </c>
      <c r="Y113" s="68">
        <f>SUM(Y114:Y171)</f>
        <v>436.2432</v>
      </c>
      <c r="Z113" s="68"/>
      <c r="AA113" s="68"/>
      <c r="AB113" s="68"/>
      <c r="AC113" s="68"/>
    </row>
    <row r="114" spans="2:29" s="354" customFormat="1" ht="23.4" customHeight="1" outlineLevel="1">
      <c r="B114" s="353"/>
      <c r="E114" s="376" t="s">
        <v>565</v>
      </c>
      <c r="F114" s="376"/>
      <c r="G114" s="376"/>
      <c r="H114" s="376"/>
      <c r="I114" s="376"/>
      <c r="J114" s="376"/>
      <c r="K114" s="376"/>
      <c r="L114" s="156"/>
      <c r="M114" s="156"/>
      <c r="R114" s="356"/>
      <c r="T114" s="52"/>
      <c r="V114" s="67"/>
      <c r="W114" s="68"/>
      <c r="X114" s="68"/>
      <c r="Y114" s="68"/>
    </row>
    <row r="115" spans="2:29" s="360" customFormat="1" outlineLevel="1">
      <c r="B115" s="359"/>
      <c r="E115" s="361" t="s">
        <v>135</v>
      </c>
      <c r="F115" s="362" t="s">
        <v>140</v>
      </c>
      <c r="G115" s="363"/>
      <c r="H115" s="363"/>
      <c r="I115" s="363"/>
      <c r="J115" s="50"/>
      <c r="K115" s="364">
        <f>24.9+5.2+8.7+6.7+3.1+6.4+3.3+10+3.1+2.2+1.7+5.6</f>
        <v>80.899999999999991</v>
      </c>
      <c r="L115" s="157"/>
      <c r="M115" s="157"/>
      <c r="R115" s="365"/>
      <c r="T115" s="51"/>
      <c r="V115" s="66"/>
      <c r="W115" s="37"/>
      <c r="X115" s="37"/>
      <c r="Y115" s="37"/>
    </row>
    <row r="116" spans="2:29" s="360" customFormat="1" outlineLevel="1">
      <c r="B116" s="359"/>
      <c r="E116" s="361" t="s">
        <v>139</v>
      </c>
      <c r="F116" s="362" t="s">
        <v>141</v>
      </c>
      <c r="G116" s="363"/>
      <c r="H116" s="363"/>
      <c r="I116" s="363"/>
      <c r="J116" s="50">
        <v>0.69</v>
      </c>
      <c r="K116" s="364">
        <f>($K$115)*J116</f>
        <v>55.820999999999991</v>
      </c>
      <c r="L116" s="157"/>
      <c r="M116" s="157"/>
      <c r="R116" s="365"/>
      <c r="T116" s="51"/>
      <c r="V116" s="66"/>
      <c r="W116" s="37"/>
      <c r="X116" s="37"/>
      <c r="Y116" s="37"/>
    </row>
    <row r="117" spans="2:29" s="360" customFormat="1" outlineLevel="1">
      <c r="B117" s="359"/>
      <c r="E117" s="361" t="s">
        <v>139</v>
      </c>
      <c r="F117" s="362" t="s">
        <v>164</v>
      </c>
      <c r="G117" s="363"/>
      <c r="H117" s="363"/>
      <c r="I117" s="363"/>
      <c r="J117" s="50">
        <v>0.2</v>
      </c>
      <c r="K117" s="364">
        <f>($K$115)*J117</f>
        <v>16.18</v>
      </c>
      <c r="L117" s="157"/>
      <c r="M117" s="157"/>
      <c r="R117" s="365"/>
      <c r="T117" s="51"/>
      <c r="V117" s="66"/>
      <c r="W117" s="37"/>
      <c r="X117" s="37"/>
      <c r="Y117" s="37"/>
    </row>
    <row r="118" spans="2:29" s="360" customFormat="1" outlineLevel="1">
      <c r="B118" s="359"/>
      <c r="E118" s="361" t="s">
        <v>139</v>
      </c>
      <c r="F118" s="362" t="s">
        <v>142</v>
      </c>
      <c r="G118" s="363"/>
      <c r="H118" s="363"/>
      <c r="I118" s="363"/>
      <c r="J118" s="50">
        <v>0.2</v>
      </c>
      <c r="K118" s="364">
        <f>($K$115)*J118</f>
        <v>16.18</v>
      </c>
      <c r="L118" s="157"/>
      <c r="M118" s="157"/>
      <c r="R118" s="365"/>
      <c r="T118" s="51"/>
      <c r="V118" s="66"/>
      <c r="W118" s="37"/>
      <c r="X118" s="37"/>
      <c r="Y118" s="37"/>
    </row>
    <row r="119" spans="2:29" s="360" customFormat="1" outlineLevel="1">
      <c r="B119" s="359"/>
      <c r="E119" s="361" t="s">
        <v>139</v>
      </c>
      <c r="F119" s="362" t="s">
        <v>143</v>
      </c>
      <c r="G119" s="363"/>
      <c r="H119" s="363"/>
      <c r="I119" s="363"/>
      <c r="J119" s="50">
        <v>0.5</v>
      </c>
      <c r="K119" s="364">
        <f>($K$115)*J119</f>
        <v>40.449999999999996</v>
      </c>
      <c r="L119" s="157"/>
      <c r="M119" s="157"/>
      <c r="R119" s="365"/>
      <c r="T119" s="51"/>
      <c r="V119" s="66"/>
      <c r="W119" s="37"/>
      <c r="X119" s="37"/>
      <c r="Y119" s="37"/>
    </row>
    <row r="120" spans="2:29" ht="27" customHeight="1" outlineLevel="1">
      <c r="B120" s="209"/>
      <c r="C120" s="277">
        <v>1</v>
      </c>
      <c r="D120" s="277" t="s">
        <v>52</v>
      </c>
      <c r="E120" s="278">
        <v>132212131</v>
      </c>
      <c r="F120" s="279" t="s">
        <v>138</v>
      </c>
      <c r="G120" s="279"/>
      <c r="H120" s="279"/>
      <c r="I120" s="279"/>
      <c r="J120" s="38" t="s">
        <v>54</v>
      </c>
      <c r="K120" s="281">
        <f>SUM(K121:K121)</f>
        <v>22.651999999999994</v>
      </c>
      <c r="L120" s="91"/>
      <c r="M120" s="91"/>
      <c r="N120" s="280">
        <f>ROUND(L120*K120,2)</f>
        <v>0</v>
      </c>
      <c r="O120" s="280"/>
      <c r="P120" s="280"/>
      <c r="Q120" s="280"/>
      <c r="R120" s="210"/>
      <c r="T120" s="25"/>
      <c r="V120" s="66">
        <v>1.6</v>
      </c>
      <c r="Y120" s="22">
        <f>V120*K120</f>
        <v>36.243199999999995</v>
      </c>
    </row>
    <row r="121" spans="2:29" s="360" customFormat="1" outlineLevel="1">
      <c r="B121" s="359"/>
      <c r="E121" s="361" t="s">
        <v>136</v>
      </c>
      <c r="F121" s="362" t="s">
        <v>137</v>
      </c>
      <c r="G121" s="363" t="e">
        <f>13.755*(0.75+0.35+0.3)*F121</f>
        <v>#VALUE!</v>
      </c>
      <c r="H121" s="363" t="e">
        <f>13.755*(0.75+0.35+0.3)*G121</f>
        <v>#VALUE!</v>
      </c>
      <c r="I121" s="363" t="e">
        <f>13.755*(0.75+0.35+0.3)*H121</f>
        <v>#VALUE!</v>
      </c>
      <c r="J121" s="50">
        <f>0.8*0.35</f>
        <v>0.27999999999999997</v>
      </c>
      <c r="K121" s="364">
        <f>K115*J121</f>
        <v>22.651999999999994</v>
      </c>
      <c r="L121" s="157"/>
      <c r="M121" s="157"/>
      <c r="R121" s="365"/>
      <c r="T121" s="51"/>
      <c r="V121" s="66"/>
      <c r="W121" s="22"/>
      <c r="X121" s="22"/>
      <c r="Y121" s="22"/>
    </row>
    <row r="122" spans="2:29" outlineLevel="1">
      <c r="B122" s="209"/>
      <c r="C122" s="277">
        <f t="shared" ref="C122" si="1">C120+1</f>
        <v>2</v>
      </c>
      <c r="D122" s="277" t="s">
        <v>52</v>
      </c>
      <c r="E122" s="278">
        <v>985131311</v>
      </c>
      <c r="F122" s="279" t="s">
        <v>144</v>
      </c>
      <c r="G122" s="279"/>
      <c r="H122" s="279"/>
      <c r="I122" s="279"/>
      <c r="J122" s="38" t="s">
        <v>53</v>
      </c>
      <c r="K122" s="281">
        <f>SUM(K123:K123)</f>
        <v>64.72</v>
      </c>
      <c r="L122" s="91"/>
      <c r="M122" s="91"/>
      <c r="N122" s="280">
        <f>ROUND(L122*K122,2)</f>
        <v>0</v>
      </c>
      <c r="O122" s="280"/>
      <c r="P122" s="280"/>
      <c r="Q122" s="280"/>
      <c r="R122" s="210"/>
      <c r="T122" s="25"/>
    </row>
    <row r="123" spans="2:29" s="360" customFormat="1" outlineLevel="1">
      <c r="B123" s="359"/>
      <c r="E123" s="361" t="s">
        <v>146</v>
      </c>
      <c r="F123" s="362" t="s">
        <v>145</v>
      </c>
      <c r="G123" s="363" t="e">
        <f>13.755*(0.75+0.35+0.3)*F123</f>
        <v>#VALUE!</v>
      </c>
      <c r="H123" s="363" t="e">
        <f>13.755*(0.75+0.35+0.3)*G123</f>
        <v>#VALUE!</v>
      </c>
      <c r="I123" s="363" t="e">
        <f>13.755*(0.75+0.35+0.3)*H123</f>
        <v>#VALUE!</v>
      </c>
      <c r="J123" s="50">
        <v>0.8</v>
      </c>
      <c r="K123" s="364">
        <f>($K$115)*J123</f>
        <v>64.72</v>
      </c>
      <c r="L123" s="157"/>
      <c r="M123" s="157"/>
      <c r="R123" s="365"/>
      <c r="T123" s="51"/>
      <c r="V123" s="66"/>
      <c r="W123" s="22"/>
      <c r="X123" s="22"/>
      <c r="Y123" s="22"/>
    </row>
    <row r="124" spans="2:29" outlineLevel="1">
      <c r="B124" s="209"/>
      <c r="C124" s="277">
        <f t="shared" ref="C124" si="2">C122+1</f>
        <v>3</v>
      </c>
      <c r="D124" s="277" t="s">
        <v>52</v>
      </c>
      <c r="E124" s="278">
        <v>978023251</v>
      </c>
      <c r="F124" s="279" t="s">
        <v>150</v>
      </c>
      <c r="G124" s="279"/>
      <c r="H124" s="279"/>
      <c r="I124" s="279"/>
      <c r="J124" s="38" t="s">
        <v>53</v>
      </c>
      <c r="K124" s="281">
        <f>SUM(K125:K125)</f>
        <v>32.36</v>
      </c>
      <c r="L124" s="91"/>
      <c r="M124" s="91"/>
      <c r="N124" s="280">
        <f>ROUND(L124*K124,2)</f>
        <v>0</v>
      </c>
      <c r="O124" s="280"/>
      <c r="P124" s="280"/>
      <c r="Q124" s="280"/>
      <c r="R124" s="210"/>
      <c r="T124" s="25"/>
    </row>
    <row r="125" spans="2:29" s="360" customFormat="1" outlineLevel="1">
      <c r="B125" s="359"/>
      <c r="E125" s="361" t="s">
        <v>149</v>
      </c>
      <c r="F125" s="362" t="s">
        <v>152</v>
      </c>
      <c r="G125" s="363" t="e">
        <f>13.755*(0.75+0.35+0.3)*F125</f>
        <v>#VALUE!</v>
      </c>
      <c r="H125" s="363" t="e">
        <f>13.755*(0.75+0.35+0.3)*G125</f>
        <v>#VALUE!</v>
      </c>
      <c r="I125" s="363" t="e">
        <f>13.755*(0.75+0.35+0.3)*H125</f>
        <v>#VALUE!</v>
      </c>
      <c r="J125" s="153">
        <v>0.5</v>
      </c>
      <c r="K125" s="364">
        <f>K122*J125</f>
        <v>32.36</v>
      </c>
      <c r="L125" s="157"/>
      <c r="M125" s="157"/>
      <c r="R125" s="365"/>
      <c r="T125" s="51"/>
      <c r="V125" s="66"/>
      <c r="W125" s="22"/>
      <c r="X125" s="22"/>
      <c r="Y125" s="22"/>
    </row>
    <row r="126" spans="2:29" outlineLevel="1">
      <c r="B126" s="209"/>
      <c r="C126" s="277">
        <f t="shared" ref="C126" si="3">C124+1</f>
        <v>4</v>
      </c>
      <c r="D126" s="277" t="s">
        <v>52</v>
      </c>
      <c r="E126" s="278">
        <v>978023411</v>
      </c>
      <c r="F126" s="279" t="s">
        <v>147</v>
      </c>
      <c r="G126" s="279"/>
      <c r="H126" s="279"/>
      <c r="I126" s="279"/>
      <c r="J126" s="38" t="s">
        <v>53</v>
      </c>
      <c r="K126" s="281">
        <f>SUM(K127:K127)</f>
        <v>32.36</v>
      </c>
      <c r="L126" s="91"/>
      <c r="M126" s="91"/>
      <c r="N126" s="280">
        <f>ROUND(L126*K126,2)</f>
        <v>0</v>
      </c>
      <c r="O126" s="280"/>
      <c r="P126" s="280"/>
      <c r="Q126" s="280"/>
      <c r="R126" s="210"/>
      <c r="T126" s="25"/>
    </row>
    <row r="127" spans="2:29" s="360" customFormat="1" outlineLevel="1">
      <c r="B127" s="359"/>
      <c r="E127" s="361" t="s">
        <v>149</v>
      </c>
      <c r="F127" s="362" t="s">
        <v>153</v>
      </c>
      <c r="G127" s="363" t="e">
        <f>13.755*(0.75+0.35+0.3)*F127</f>
        <v>#VALUE!</v>
      </c>
      <c r="H127" s="363" t="e">
        <f>13.755*(0.75+0.35+0.3)*G127</f>
        <v>#VALUE!</v>
      </c>
      <c r="I127" s="363" t="e">
        <f>13.755*(0.75+0.35+0.3)*H127</f>
        <v>#VALUE!</v>
      </c>
      <c r="J127" s="151">
        <f>1-J125</f>
        <v>0.5</v>
      </c>
      <c r="K127" s="364">
        <f>K125</f>
        <v>32.36</v>
      </c>
      <c r="L127" s="157"/>
      <c r="M127" s="157"/>
      <c r="R127" s="365"/>
      <c r="T127" s="51"/>
      <c r="V127" s="66"/>
      <c r="W127" s="22"/>
      <c r="X127" s="22"/>
      <c r="Y127" s="22"/>
    </row>
    <row r="128" spans="2:29" outlineLevel="1">
      <c r="B128" s="209"/>
      <c r="C128" s="277">
        <f t="shared" ref="C128" si="4">C126+1</f>
        <v>5</v>
      </c>
      <c r="D128" s="277" t="s">
        <v>52</v>
      </c>
      <c r="E128" s="278">
        <v>622125101</v>
      </c>
      <c r="F128" s="279" t="s">
        <v>148</v>
      </c>
      <c r="G128" s="279"/>
      <c r="H128" s="279"/>
      <c r="I128" s="279"/>
      <c r="J128" s="38" t="s">
        <v>53</v>
      </c>
      <c r="K128" s="281">
        <f>K126</f>
        <v>32.36</v>
      </c>
      <c r="L128" s="91"/>
      <c r="M128" s="91"/>
      <c r="N128" s="280">
        <f>ROUND(L128*K128,2)</f>
        <v>0</v>
      </c>
      <c r="O128" s="280"/>
      <c r="P128" s="280"/>
      <c r="Q128" s="280"/>
      <c r="R128" s="210"/>
      <c r="T128" s="25"/>
    </row>
    <row r="129" spans="2:30" outlineLevel="1">
      <c r="B129" s="209"/>
      <c r="C129" s="277">
        <f>C128+1</f>
        <v>6</v>
      </c>
      <c r="D129" s="277" t="s">
        <v>52</v>
      </c>
      <c r="E129" s="278">
        <v>622125111</v>
      </c>
      <c r="F129" s="279" t="s">
        <v>151</v>
      </c>
      <c r="G129" s="279"/>
      <c r="H129" s="279"/>
      <c r="I129" s="279"/>
      <c r="J129" s="38" t="s">
        <v>53</v>
      </c>
      <c r="K129" s="281">
        <f>K124</f>
        <v>32.36</v>
      </c>
      <c r="L129" s="91"/>
      <c r="M129" s="91"/>
      <c r="N129" s="280">
        <f>ROUND(L129*K129,2)</f>
        <v>0</v>
      </c>
      <c r="O129" s="280"/>
      <c r="P129" s="280"/>
      <c r="Q129" s="280"/>
      <c r="R129" s="210"/>
      <c r="T129" s="25"/>
    </row>
    <row r="130" spans="2:30" outlineLevel="1">
      <c r="B130" s="209"/>
      <c r="C130" s="277">
        <f>C129+1</f>
        <v>7</v>
      </c>
      <c r="D130" s="277" t="s">
        <v>52</v>
      </c>
      <c r="E130" s="278">
        <v>784181001</v>
      </c>
      <c r="F130" s="279" t="s">
        <v>188</v>
      </c>
      <c r="G130" s="279"/>
      <c r="H130" s="279"/>
      <c r="I130" s="279"/>
      <c r="J130" s="38" t="s">
        <v>53</v>
      </c>
      <c r="K130" s="281">
        <f>SUM(K131:K131)</f>
        <v>32.36</v>
      </c>
      <c r="L130" s="91"/>
      <c r="M130" s="91"/>
      <c r="N130" s="280">
        <f>ROUND(L130*K130,2)</f>
        <v>0</v>
      </c>
      <c r="O130" s="280"/>
      <c r="P130" s="280"/>
      <c r="Q130" s="280"/>
      <c r="R130" s="210"/>
    </row>
    <row r="131" spans="2:30" s="360" customFormat="1" outlineLevel="1">
      <c r="B131" s="359"/>
      <c r="E131" s="361" t="s">
        <v>154</v>
      </c>
      <c r="F131" s="362"/>
      <c r="G131" s="363"/>
      <c r="H131" s="363"/>
      <c r="I131" s="363"/>
      <c r="J131" s="50"/>
      <c r="K131" s="364">
        <f>K124</f>
        <v>32.36</v>
      </c>
      <c r="L131" s="157"/>
      <c r="M131" s="157"/>
      <c r="R131" s="365"/>
    </row>
    <row r="132" spans="2:30" outlineLevel="1">
      <c r="B132" s="209"/>
      <c r="C132" s="277">
        <f t="shared" ref="C132" si="5">C130+1</f>
        <v>8</v>
      </c>
      <c r="D132" s="277" t="s">
        <v>52</v>
      </c>
      <c r="E132" s="278">
        <v>622131151</v>
      </c>
      <c r="F132" s="279" t="s">
        <v>156</v>
      </c>
      <c r="G132" s="279"/>
      <c r="H132" s="279"/>
      <c r="I132" s="279"/>
      <c r="J132" s="38" t="s">
        <v>53</v>
      </c>
      <c r="K132" s="281">
        <f>SUM(K133:K133)</f>
        <v>64.72</v>
      </c>
      <c r="L132" s="91"/>
      <c r="M132" s="91"/>
      <c r="N132" s="280">
        <f>ROUND(L132*K132,2)</f>
        <v>0</v>
      </c>
      <c r="O132" s="280"/>
      <c r="P132" s="280"/>
      <c r="Q132" s="280"/>
      <c r="R132" s="210"/>
    </row>
    <row r="133" spans="2:30" s="360" customFormat="1" outlineLevel="1">
      <c r="B133" s="359"/>
      <c r="E133" s="361" t="s">
        <v>155</v>
      </c>
      <c r="F133" s="362"/>
      <c r="G133" s="363"/>
      <c r="H133" s="363"/>
      <c r="I133" s="363"/>
      <c r="J133" s="50"/>
      <c r="K133" s="364">
        <f>K122</f>
        <v>64.72</v>
      </c>
      <c r="L133" s="157"/>
      <c r="M133" s="157"/>
      <c r="R133" s="365"/>
    </row>
    <row r="134" spans="2:30" outlineLevel="1">
      <c r="B134" s="209"/>
      <c r="C134" s="277">
        <f t="shared" ref="C134" si="6">C132+1</f>
        <v>9</v>
      </c>
      <c r="D134" s="277" t="s">
        <v>52</v>
      </c>
      <c r="E134" s="278">
        <v>622326121</v>
      </c>
      <c r="F134" s="279" t="s">
        <v>157</v>
      </c>
      <c r="G134" s="279"/>
      <c r="H134" s="279"/>
      <c r="I134" s="279"/>
      <c r="J134" s="38" t="s">
        <v>53</v>
      </c>
      <c r="K134" s="281">
        <f>K132</f>
        <v>64.72</v>
      </c>
      <c r="L134" s="91"/>
      <c r="M134" s="91"/>
      <c r="N134" s="280">
        <f>ROUND(L134*K134,2)</f>
        <v>0</v>
      </c>
      <c r="O134" s="280"/>
      <c r="P134" s="280"/>
      <c r="Q134" s="280"/>
      <c r="R134" s="210"/>
    </row>
    <row r="135" spans="2:30" ht="27" customHeight="1" outlineLevel="1">
      <c r="B135" s="209"/>
      <c r="C135" s="277">
        <f>C134+1</f>
        <v>10</v>
      </c>
      <c r="D135" s="277" t="s">
        <v>52</v>
      </c>
      <c r="E135" s="278">
        <v>622326191</v>
      </c>
      <c r="F135" s="279" t="s">
        <v>159</v>
      </c>
      <c r="G135" s="279"/>
      <c r="H135" s="279"/>
      <c r="I135" s="279"/>
      <c r="J135" s="38" t="s">
        <v>53</v>
      </c>
      <c r="K135" s="281">
        <f>SUM(K136:K136)</f>
        <v>258.88</v>
      </c>
      <c r="L135" s="91"/>
      <c r="M135" s="91"/>
      <c r="N135" s="280">
        <f>ROUND(L135*K135,2)</f>
        <v>0</v>
      </c>
      <c r="O135" s="280"/>
      <c r="P135" s="280"/>
      <c r="Q135" s="280"/>
      <c r="R135" s="210"/>
    </row>
    <row r="136" spans="2:30" s="360" customFormat="1" outlineLevel="1">
      <c r="B136" s="359"/>
      <c r="E136" s="361" t="s">
        <v>160</v>
      </c>
      <c r="F136" s="362" t="s">
        <v>158</v>
      </c>
      <c r="G136" s="363" t="e">
        <f>13.755*(0.75+0.35+0.3)*F136</f>
        <v>#VALUE!</v>
      </c>
      <c r="H136" s="363" t="e">
        <f>13.755*(0.75+0.35+0.3)*G136</f>
        <v>#VALUE!</v>
      </c>
      <c r="I136" s="363" t="e">
        <f>13.755*(0.75+0.35+0.3)*H136</f>
        <v>#VALUE!</v>
      </c>
      <c r="J136" s="50">
        <f>(40-20)/5</f>
        <v>4</v>
      </c>
      <c r="K136" s="364">
        <f>K134*J136</f>
        <v>258.88</v>
      </c>
      <c r="L136" s="157"/>
      <c r="M136" s="157"/>
      <c r="R136" s="365"/>
    </row>
    <row r="137" spans="2:30" outlineLevel="1">
      <c r="B137" s="209"/>
      <c r="C137" s="277">
        <f>C135+1</f>
        <v>11</v>
      </c>
      <c r="D137" s="277" t="s">
        <v>52</v>
      </c>
      <c r="E137" s="278">
        <v>212312111</v>
      </c>
      <c r="F137" s="279" t="s">
        <v>515</v>
      </c>
      <c r="G137" s="279"/>
      <c r="H137" s="279"/>
      <c r="I137" s="279"/>
      <c r="J137" s="38" t="s">
        <v>54</v>
      </c>
      <c r="K137" s="281">
        <f>SUM(K138)</f>
        <v>3.5393749999999993</v>
      </c>
      <c r="L137" s="91"/>
      <c r="M137" s="91"/>
      <c r="N137" s="280">
        <f t="shared" ref="N137" si="7">ROUND(L137*K137,2)</f>
        <v>0</v>
      </c>
      <c r="O137" s="280"/>
      <c r="P137" s="280"/>
      <c r="Q137" s="280"/>
      <c r="R137" s="210"/>
      <c r="T137" s="25"/>
      <c r="V137" s="141"/>
      <c r="W137" s="141"/>
      <c r="X137" s="141"/>
      <c r="Y137" s="141"/>
      <c r="Z137" s="141"/>
      <c r="AA137" s="142"/>
      <c r="AB137" s="142"/>
      <c r="AC137" s="142"/>
      <c r="AD137" s="142"/>
    </row>
    <row r="138" spans="2:30" s="360" customFormat="1" ht="10.199999999999999" customHeight="1" outlineLevel="1">
      <c r="B138" s="359"/>
      <c r="E138" s="361" t="s">
        <v>516</v>
      </c>
      <c r="F138" s="362" t="s">
        <v>566</v>
      </c>
      <c r="G138" s="363">
        <f t="shared" ref="G138:I138" si="8">9.6*0.6*(0.1+0.075)/2</f>
        <v>0.504</v>
      </c>
      <c r="H138" s="363">
        <f t="shared" si="8"/>
        <v>0.504</v>
      </c>
      <c r="I138" s="363">
        <f t="shared" si="8"/>
        <v>0.504</v>
      </c>
      <c r="J138" s="50">
        <f>(0.1+0.075)/2</f>
        <v>8.7499999999999994E-2</v>
      </c>
      <c r="K138" s="364">
        <f>K119*J138</f>
        <v>3.5393749999999993</v>
      </c>
      <c r="L138" s="157"/>
      <c r="M138" s="157"/>
      <c r="R138" s="365"/>
      <c r="T138" s="51"/>
      <c r="W138" s="141"/>
      <c r="X138" s="141"/>
      <c r="Y138" s="141"/>
      <c r="Z138" s="141"/>
    </row>
    <row r="139" spans="2:30" outlineLevel="1">
      <c r="B139" s="209"/>
      <c r="C139" s="277">
        <f>C137+1</f>
        <v>12</v>
      </c>
      <c r="D139" s="277" t="s">
        <v>52</v>
      </c>
      <c r="E139" s="278">
        <v>711111001</v>
      </c>
      <c r="F139" s="279" t="s">
        <v>165</v>
      </c>
      <c r="G139" s="279"/>
      <c r="H139" s="279"/>
      <c r="I139" s="279"/>
      <c r="J139" s="38" t="s">
        <v>53</v>
      </c>
      <c r="K139" s="281">
        <f>SUM(K140:K140)</f>
        <v>16.18</v>
      </c>
      <c r="L139" s="91"/>
      <c r="M139" s="91"/>
      <c r="N139" s="280">
        <f>ROUND(L139*K139,2)</f>
        <v>0</v>
      </c>
      <c r="O139" s="280"/>
      <c r="P139" s="280"/>
      <c r="Q139" s="280"/>
      <c r="R139" s="210"/>
    </row>
    <row r="140" spans="2:30" s="360" customFormat="1" outlineLevel="1">
      <c r="B140" s="359"/>
      <c r="E140" s="361" t="str">
        <f>E118</f>
        <v>skladba SE.1</v>
      </c>
      <c r="F140" s="362" t="str">
        <f>F118</f>
        <v>vodorovná pro hydroizolaci _ vykázáno v m2</v>
      </c>
      <c r="G140" s="363" t="e">
        <f>13.755*(0.75+0.35+0.3)*F140</f>
        <v>#VALUE!</v>
      </c>
      <c r="H140" s="363" t="e">
        <f>13.755*(0.75+0.35+0.3)*G140</f>
        <v>#VALUE!</v>
      </c>
      <c r="I140" s="363" t="e">
        <f>13.755*(0.75+0.35+0.3)*H140</f>
        <v>#VALUE!</v>
      </c>
      <c r="J140" s="151"/>
      <c r="K140" s="364">
        <f>K118</f>
        <v>16.18</v>
      </c>
      <c r="L140" s="157"/>
      <c r="M140" s="157"/>
      <c r="R140" s="365"/>
    </row>
    <row r="141" spans="2:30" outlineLevel="1">
      <c r="B141" s="209"/>
      <c r="C141" s="277">
        <f t="shared" ref="C141" si="9">C139+1</f>
        <v>13</v>
      </c>
      <c r="D141" s="277" t="s">
        <v>52</v>
      </c>
      <c r="E141" s="278">
        <v>711112001</v>
      </c>
      <c r="F141" s="279" t="s">
        <v>166</v>
      </c>
      <c r="G141" s="279"/>
      <c r="H141" s="279"/>
      <c r="I141" s="279"/>
      <c r="J141" s="38" t="s">
        <v>53</v>
      </c>
      <c r="K141" s="281">
        <f>SUM(K142:K143)</f>
        <v>72.000999999999991</v>
      </c>
      <c r="L141" s="91"/>
      <c r="M141" s="91"/>
      <c r="N141" s="280">
        <f>ROUND(L141*K141,2)</f>
        <v>0</v>
      </c>
      <c r="O141" s="280"/>
      <c r="P141" s="280"/>
      <c r="Q141" s="280"/>
      <c r="R141" s="210"/>
    </row>
    <row r="142" spans="2:30" s="360" customFormat="1" outlineLevel="1">
      <c r="B142" s="359"/>
      <c r="E142" s="361" t="str">
        <f>E116</f>
        <v>skladba SE.1</v>
      </c>
      <c r="F142" s="362" t="str">
        <f>F116</f>
        <v>svislá do výšky čistého terénu _ vykázáno v m2</v>
      </c>
      <c r="G142" s="363" t="e">
        <f>13.755*(0.75+0.35+0.3)*F142</f>
        <v>#VALUE!</v>
      </c>
      <c r="H142" s="363" t="e">
        <f>13.755*(0.75+0.35+0.3)*G142</f>
        <v>#VALUE!</v>
      </c>
      <c r="I142" s="363" t="e">
        <f>13.755*(0.75+0.35+0.3)*H142</f>
        <v>#VALUE!</v>
      </c>
      <c r="J142" s="151"/>
      <c r="K142" s="364">
        <f>K116</f>
        <v>55.820999999999991</v>
      </c>
      <c r="L142" s="157"/>
      <c r="M142" s="157"/>
      <c r="R142" s="365"/>
    </row>
    <row r="143" spans="2:30" s="360" customFormat="1" outlineLevel="1">
      <c r="B143" s="359"/>
      <c r="E143" s="361" t="str">
        <f>E117</f>
        <v>skladba SE.1</v>
      </c>
      <c r="F143" s="362" t="str">
        <f>F117</f>
        <v>svislá vytažení nad terén _ vykázáno v m2</v>
      </c>
      <c r="G143" s="363" t="e">
        <f t="shared" ref="G143:I143" si="10">13.755*(0.75+0.35+0.3)*F143</f>
        <v>#VALUE!</v>
      </c>
      <c r="H143" s="363" t="e">
        <f t="shared" si="10"/>
        <v>#VALUE!</v>
      </c>
      <c r="I143" s="363" t="e">
        <f t="shared" si="10"/>
        <v>#VALUE!</v>
      </c>
      <c r="J143" s="151"/>
      <c r="K143" s="364">
        <f>K117</f>
        <v>16.18</v>
      </c>
      <c r="L143" s="157"/>
      <c r="M143" s="157"/>
      <c r="R143" s="365"/>
    </row>
    <row r="144" spans="2:30" outlineLevel="1">
      <c r="B144" s="209"/>
      <c r="C144" s="367">
        <f>C141+1</f>
        <v>14</v>
      </c>
      <c r="D144" s="367" t="s">
        <v>59</v>
      </c>
      <c r="E144" s="368" t="s">
        <v>169</v>
      </c>
      <c r="F144" s="377" t="s">
        <v>170</v>
      </c>
      <c r="G144" s="378"/>
      <c r="H144" s="378"/>
      <c r="I144" s="379"/>
      <c r="J144" s="39" t="s">
        <v>98</v>
      </c>
      <c r="K144" s="370">
        <f>SUM(K145)</f>
        <v>14.400199999999998</v>
      </c>
      <c r="L144" s="99"/>
      <c r="M144" s="100"/>
      <c r="N144" s="380">
        <f>ROUND(L144*K144,2)</f>
        <v>0</v>
      </c>
      <c r="O144" s="381"/>
      <c r="P144" s="381"/>
      <c r="Q144" s="382"/>
      <c r="R144" s="210"/>
    </row>
    <row r="145" spans="2:29" s="360" customFormat="1" outlineLevel="1">
      <c r="B145" s="359"/>
      <c r="E145" s="361" t="s">
        <v>167</v>
      </c>
      <c r="F145" s="362" t="s">
        <v>171</v>
      </c>
      <c r="G145" s="363"/>
      <c r="H145" s="363"/>
      <c r="I145" s="363"/>
      <c r="J145" s="50">
        <v>0.2</v>
      </c>
      <c r="K145" s="364">
        <f>(K139+K142)*J145</f>
        <v>14.400199999999998</v>
      </c>
      <c r="L145" s="157"/>
      <c r="M145" s="157"/>
      <c r="R145" s="365"/>
    </row>
    <row r="146" spans="2:29" ht="10.199999999999999" customHeight="1" outlineLevel="1">
      <c r="B146" s="209"/>
      <c r="C146" s="367">
        <f t="shared" ref="C146" si="11">C144+1</f>
        <v>15</v>
      </c>
      <c r="D146" s="367" t="s">
        <v>59</v>
      </c>
      <c r="E146" s="368" t="s">
        <v>172</v>
      </c>
      <c r="F146" s="377" t="s">
        <v>173</v>
      </c>
      <c r="G146" s="378"/>
      <c r="H146" s="378"/>
      <c r="I146" s="379"/>
      <c r="J146" s="39" t="s">
        <v>98</v>
      </c>
      <c r="K146" s="370">
        <f>SUM(K147)</f>
        <v>3.2360000000000002</v>
      </c>
      <c r="L146" s="99"/>
      <c r="M146" s="100"/>
      <c r="N146" s="380">
        <f>ROUND(L146*K146,2)</f>
        <v>0</v>
      </c>
      <c r="O146" s="381"/>
      <c r="P146" s="381"/>
      <c r="Q146" s="382"/>
      <c r="R146" s="210"/>
    </row>
    <row r="147" spans="2:29" s="360" customFormat="1" ht="10.199999999999999" customHeight="1" outlineLevel="1">
      <c r="B147" s="359"/>
      <c r="E147" s="361" t="s">
        <v>168</v>
      </c>
      <c r="F147" s="362" t="s">
        <v>171</v>
      </c>
      <c r="G147" s="363"/>
      <c r="H147" s="363"/>
      <c r="I147" s="363"/>
      <c r="J147" s="50">
        <v>0.2</v>
      </c>
      <c r="K147" s="364">
        <f>(K143)*J147</f>
        <v>3.2360000000000002</v>
      </c>
      <c r="L147" s="157"/>
      <c r="M147" s="157"/>
      <c r="R147" s="365"/>
    </row>
    <row r="148" spans="2:29" ht="27" customHeight="1" outlineLevel="1">
      <c r="B148" s="209"/>
      <c r="C148" s="277">
        <f t="shared" ref="C148" si="12">C146+1</f>
        <v>16</v>
      </c>
      <c r="D148" s="277" t="s">
        <v>52</v>
      </c>
      <c r="E148" s="278">
        <v>711413111</v>
      </c>
      <c r="F148" s="279" t="s">
        <v>161</v>
      </c>
      <c r="G148" s="279"/>
      <c r="H148" s="279"/>
      <c r="I148" s="279"/>
      <c r="J148" s="38" t="s">
        <v>53</v>
      </c>
      <c r="K148" s="281">
        <f>K139</f>
        <v>16.18</v>
      </c>
      <c r="L148" s="91"/>
      <c r="M148" s="91"/>
      <c r="N148" s="280">
        <f t="shared" ref="N148:N153" si="13">ROUND(L148*K148,2)</f>
        <v>0</v>
      </c>
      <c r="O148" s="280"/>
      <c r="P148" s="280"/>
      <c r="Q148" s="280"/>
      <c r="R148" s="210"/>
      <c r="T148" s="25"/>
    </row>
    <row r="149" spans="2:29" ht="27" customHeight="1" outlineLevel="1">
      <c r="B149" s="209"/>
      <c r="C149" s="277">
        <f t="shared" ref="C149:C153" si="14">C148+1</f>
        <v>17</v>
      </c>
      <c r="D149" s="277" t="s">
        <v>52</v>
      </c>
      <c r="E149" s="278">
        <v>711413121</v>
      </c>
      <c r="F149" s="279" t="s">
        <v>162</v>
      </c>
      <c r="G149" s="279"/>
      <c r="H149" s="279"/>
      <c r="I149" s="279"/>
      <c r="J149" s="38" t="s">
        <v>53</v>
      </c>
      <c r="K149" s="281">
        <f>K142</f>
        <v>55.820999999999991</v>
      </c>
      <c r="L149" s="91"/>
      <c r="M149" s="91"/>
      <c r="N149" s="280">
        <f t="shared" si="13"/>
        <v>0</v>
      </c>
      <c r="O149" s="280"/>
      <c r="P149" s="280"/>
      <c r="Q149" s="280"/>
      <c r="R149" s="210"/>
      <c r="T149" s="25"/>
    </row>
    <row r="150" spans="2:29" ht="27" customHeight="1" outlineLevel="1">
      <c r="B150" s="209"/>
      <c r="C150" s="277">
        <f t="shared" si="14"/>
        <v>18</v>
      </c>
      <c r="D150" s="277" t="s">
        <v>52</v>
      </c>
      <c r="E150" s="278">
        <v>711493121</v>
      </c>
      <c r="F150" s="279" t="s">
        <v>163</v>
      </c>
      <c r="G150" s="279"/>
      <c r="H150" s="279"/>
      <c r="I150" s="279"/>
      <c r="J150" s="38" t="s">
        <v>53</v>
      </c>
      <c r="K150" s="281">
        <f>K143</f>
        <v>16.18</v>
      </c>
      <c r="L150" s="91"/>
      <c r="M150" s="91"/>
      <c r="N150" s="280">
        <f t="shared" si="13"/>
        <v>0</v>
      </c>
      <c r="O150" s="280"/>
      <c r="P150" s="280"/>
      <c r="Q150" s="280"/>
      <c r="R150" s="210"/>
      <c r="T150" s="25"/>
    </row>
    <row r="151" spans="2:29" ht="27" customHeight="1" outlineLevel="1">
      <c r="B151" s="209"/>
      <c r="C151" s="277">
        <f t="shared" si="14"/>
        <v>19</v>
      </c>
      <c r="D151" s="277" t="s">
        <v>52</v>
      </c>
      <c r="E151" s="278">
        <v>711161122</v>
      </c>
      <c r="F151" s="279" t="s">
        <v>174</v>
      </c>
      <c r="G151" s="279"/>
      <c r="H151" s="279"/>
      <c r="I151" s="279"/>
      <c r="J151" s="38" t="s">
        <v>53</v>
      </c>
      <c r="K151" s="281">
        <f>K119</f>
        <v>40.449999999999996</v>
      </c>
      <c r="L151" s="91"/>
      <c r="M151" s="91"/>
      <c r="N151" s="280">
        <f t="shared" si="13"/>
        <v>0</v>
      </c>
      <c r="O151" s="280"/>
      <c r="P151" s="280"/>
      <c r="Q151" s="280"/>
      <c r="R151" s="210"/>
      <c r="T151" s="25"/>
    </row>
    <row r="152" spans="2:29" ht="27" customHeight="1" outlineLevel="1">
      <c r="B152" s="209"/>
      <c r="C152" s="277">
        <f t="shared" si="14"/>
        <v>20</v>
      </c>
      <c r="D152" s="277" t="s">
        <v>52</v>
      </c>
      <c r="E152" s="278">
        <v>711161222</v>
      </c>
      <c r="F152" s="279" t="s">
        <v>175</v>
      </c>
      <c r="G152" s="279"/>
      <c r="H152" s="279"/>
      <c r="I152" s="279"/>
      <c r="J152" s="38" t="s">
        <v>53</v>
      </c>
      <c r="K152" s="281">
        <f>K116</f>
        <v>55.820999999999991</v>
      </c>
      <c r="L152" s="91"/>
      <c r="M152" s="91"/>
      <c r="N152" s="280">
        <f t="shared" si="13"/>
        <v>0</v>
      </c>
      <c r="O152" s="280"/>
      <c r="P152" s="280"/>
      <c r="Q152" s="280"/>
      <c r="R152" s="210"/>
      <c r="T152" s="25"/>
    </row>
    <row r="153" spans="2:29" outlineLevel="1">
      <c r="B153" s="209"/>
      <c r="C153" s="277">
        <f t="shared" si="14"/>
        <v>21</v>
      </c>
      <c r="D153" s="277" t="s">
        <v>52</v>
      </c>
      <c r="E153" s="278">
        <v>711161383</v>
      </c>
      <c r="F153" s="279" t="s">
        <v>177</v>
      </c>
      <c r="G153" s="279"/>
      <c r="H153" s="279"/>
      <c r="I153" s="279"/>
      <c r="J153" s="38" t="s">
        <v>58</v>
      </c>
      <c r="K153" s="281">
        <f>SUM(K154:K154)</f>
        <v>80.899999999999991</v>
      </c>
      <c r="L153" s="91"/>
      <c r="M153" s="91"/>
      <c r="N153" s="280">
        <f t="shared" si="13"/>
        <v>0</v>
      </c>
      <c r="O153" s="280"/>
      <c r="P153" s="280"/>
      <c r="Q153" s="280"/>
      <c r="R153" s="210"/>
      <c r="T153" s="25"/>
    </row>
    <row r="154" spans="2:29" s="360" customFormat="1" outlineLevel="1">
      <c r="B154" s="359"/>
      <c r="E154" s="361" t="s">
        <v>176</v>
      </c>
      <c r="F154" s="362"/>
      <c r="G154" s="363"/>
      <c r="H154" s="363"/>
      <c r="I154" s="363"/>
      <c r="J154" s="50"/>
      <c r="K154" s="364">
        <f>K115</f>
        <v>80.899999999999991</v>
      </c>
      <c r="L154" s="157"/>
      <c r="M154" s="157"/>
      <c r="R154" s="365"/>
      <c r="T154" s="51"/>
      <c r="V154" s="66"/>
      <c r="W154" s="22"/>
      <c r="X154" s="22"/>
      <c r="Y154" s="22"/>
    </row>
    <row r="155" spans="2:29" ht="10.199999999999999" customHeight="1" outlineLevel="1">
      <c r="B155" s="209"/>
      <c r="C155" s="277">
        <f t="shared" ref="C155" si="15">C153+1</f>
        <v>22</v>
      </c>
      <c r="D155" s="277" t="s">
        <v>52</v>
      </c>
      <c r="E155" s="278">
        <v>172152101</v>
      </c>
      <c r="F155" s="279" t="s">
        <v>180</v>
      </c>
      <c r="G155" s="279"/>
      <c r="H155" s="279"/>
      <c r="I155" s="279"/>
      <c r="J155" s="38" t="s">
        <v>54</v>
      </c>
      <c r="K155" s="281">
        <f>SUM(K156:K156)</f>
        <v>18.121600000000001</v>
      </c>
      <c r="L155" s="91"/>
      <c r="M155" s="91"/>
      <c r="N155" s="280">
        <f>ROUND(L155*K155,2)</f>
        <v>0</v>
      </c>
      <c r="O155" s="280"/>
      <c r="P155" s="280"/>
      <c r="Q155" s="280"/>
      <c r="R155" s="210"/>
      <c r="T155" s="25"/>
    </row>
    <row r="156" spans="2:29" s="360" customFormat="1" outlineLevel="1">
      <c r="B156" s="359"/>
      <c r="E156" s="361" t="s">
        <v>178</v>
      </c>
      <c r="F156" s="362" t="s">
        <v>179</v>
      </c>
      <c r="G156" s="363">
        <f>13.3+5*2</f>
        <v>23.3</v>
      </c>
      <c r="H156" s="363">
        <f>13.3+5*2</f>
        <v>23.3</v>
      </c>
      <c r="I156" s="363">
        <f>13.3+5*2</f>
        <v>23.3</v>
      </c>
      <c r="J156" s="50">
        <f>(0.3+0.26)/2*0.8</f>
        <v>0.22400000000000003</v>
      </c>
      <c r="K156" s="364">
        <f>($K$115)*J156</f>
        <v>18.121600000000001</v>
      </c>
      <c r="L156" s="157"/>
      <c r="M156" s="157"/>
      <c r="R156" s="365"/>
      <c r="T156" s="51"/>
      <c r="V156" s="66"/>
      <c r="W156" s="22"/>
      <c r="X156" s="22"/>
      <c r="Y156" s="22"/>
    </row>
    <row r="157" spans="2:29" ht="10.199999999999999" customHeight="1" outlineLevel="1">
      <c r="B157" s="209"/>
      <c r="C157" s="367">
        <f t="shared" ref="C157" si="16">C155+1</f>
        <v>23</v>
      </c>
      <c r="D157" s="367" t="s">
        <v>55</v>
      </c>
      <c r="E157" s="368">
        <v>58125110</v>
      </c>
      <c r="F157" s="369" t="s">
        <v>181</v>
      </c>
      <c r="G157" s="369"/>
      <c r="H157" s="369"/>
      <c r="I157" s="369"/>
      <c r="J157" s="39" t="s">
        <v>56</v>
      </c>
      <c r="K157" s="370">
        <f>K155*1.8</f>
        <v>32.618880000000004</v>
      </c>
      <c r="L157" s="99"/>
      <c r="M157" s="100"/>
      <c r="N157" s="380">
        <f>ROUND(L157*K157,2)</f>
        <v>0</v>
      </c>
      <c r="O157" s="381"/>
      <c r="P157" s="381"/>
      <c r="Q157" s="382"/>
      <c r="R157" s="210"/>
      <c r="T157" s="25"/>
    </row>
    <row r="158" spans="2:29" s="275" customFormat="1" outlineLevel="1">
      <c r="B158" s="267"/>
      <c r="C158" s="268"/>
      <c r="D158" s="268"/>
      <c r="E158" s="269" t="s">
        <v>769</v>
      </c>
      <c r="F158" s="270"/>
      <c r="G158" s="270"/>
      <c r="H158" s="270"/>
      <c r="I158" s="271"/>
      <c r="J158" s="49"/>
      <c r="K158" s="272"/>
      <c r="L158" s="92"/>
      <c r="M158" s="92"/>
      <c r="N158" s="273"/>
      <c r="O158" s="273"/>
      <c r="P158" s="273"/>
      <c r="Q158" s="273"/>
      <c r="R158" s="274"/>
      <c r="T158" s="48"/>
      <c r="U158" s="375"/>
      <c r="V158" s="67"/>
      <c r="W158" s="68"/>
      <c r="X158" s="68">
        <f>SUM(X159:X216)</f>
        <v>0</v>
      </c>
      <c r="Y158" s="68">
        <f>SUM(Y159:Y216)</f>
        <v>200</v>
      </c>
      <c r="Z158" s="68"/>
      <c r="AA158" s="68"/>
      <c r="AB158" s="68"/>
      <c r="AC158" s="68"/>
    </row>
    <row r="159" spans="2:29" outlineLevel="1">
      <c r="B159" s="209"/>
      <c r="C159" s="277">
        <f>C157+1</f>
        <v>24</v>
      </c>
      <c r="D159" s="277" t="s">
        <v>59</v>
      </c>
      <c r="E159" s="278" t="s">
        <v>778</v>
      </c>
      <c r="F159" s="279" t="s">
        <v>770</v>
      </c>
      <c r="G159" s="279"/>
      <c r="H159" s="279"/>
      <c r="I159" s="279"/>
      <c r="J159" s="38" t="s">
        <v>58</v>
      </c>
      <c r="K159" s="281">
        <v>125</v>
      </c>
      <c r="L159" s="91"/>
      <c r="M159" s="91"/>
      <c r="N159" s="280">
        <f t="shared" ref="N159:N164" si="17">ROUND(L159*K159,2)</f>
        <v>0</v>
      </c>
      <c r="O159" s="280"/>
      <c r="P159" s="280"/>
      <c r="Q159" s="280"/>
      <c r="R159" s="210"/>
      <c r="T159" s="25"/>
      <c r="V159" s="66">
        <v>1.6</v>
      </c>
      <c r="Y159" s="22">
        <f>V159*K159</f>
        <v>200</v>
      </c>
    </row>
    <row r="160" spans="2:29" outlineLevel="1">
      <c r="B160" s="209"/>
      <c r="C160" s="277">
        <f>C159+1</f>
        <v>25</v>
      </c>
      <c r="D160" s="277" t="s">
        <v>59</v>
      </c>
      <c r="E160" s="278" t="s">
        <v>779</v>
      </c>
      <c r="F160" s="279" t="s">
        <v>772</v>
      </c>
      <c r="G160" s="279"/>
      <c r="H160" s="279"/>
      <c r="I160" s="279"/>
      <c r="J160" s="38" t="s">
        <v>771</v>
      </c>
      <c r="K160" s="281">
        <v>13</v>
      </c>
      <c r="L160" s="91"/>
      <c r="M160" s="91"/>
      <c r="N160" s="280">
        <f t="shared" si="17"/>
        <v>0</v>
      </c>
      <c r="O160" s="280"/>
      <c r="P160" s="280"/>
      <c r="Q160" s="280"/>
      <c r="R160" s="210"/>
      <c r="T160" s="25"/>
    </row>
    <row r="161" spans="2:20" outlineLevel="1">
      <c r="B161" s="209"/>
      <c r="C161" s="277">
        <f>C160+1</f>
        <v>26</v>
      </c>
      <c r="D161" s="277" t="s">
        <v>59</v>
      </c>
      <c r="E161" s="278" t="s">
        <v>780</v>
      </c>
      <c r="F161" s="279" t="s">
        <v>773</v>
      </c>
      <c r="G161" s="279"/>
      <c r="H161" s="279"/>
      <c r="I161" s="279"/>
      <c r="J161" s="38" t="s">
        <v>774</v>
      </c>
      <c r="K161" s="281">
        <v>1</v>
      </c>
      <c r="L161" s="91"/>
      <c r="M161" s="91"/>
      <c r="N161" s="280">
        <f t="shared" si="17"/>
        <v>0</v>
      </c>
      <c r="O161" s="280"/>
      <c r="P161" s="280"/>
      <c r="Q161" s="280"/>
      <c r="R161" s="210"/>
      <c r="T161" s="25"/>
    </row>
    <row r="162" spans="2:20" outlineLevel="1">
      <c r="B162" s="209"/>
      <c r="C162" s="277">
        <f>C161+1</f>
        <v>27</v>
      </c>
      <c r="D162" s="277" t="s">
        <v>59</v>
      </c>
      <c r="E162" s="278" t="s">
        <v>781</v>
      </c>
      <c r="F162" s="279" t="s">
        <v>777</v>
      </c>
      <c r="G162" s="279"/>
      <c r="H162" s="279"/>
      <c r="I162" s="279"/>
      <c r="J162" s="38" t="s">
        <v>774</v>
      </c>
      <c r="K162" s="281">
        <v>1</v>
      </c>
      <c r="L162" s="91"/>
      <c r="M162" s="91"/>
      <c r="N162" s="280">
        <f t="shared" si="17"/>
        <v>0</v>
      </c>
      <c r="O162" s="280"/>
      <c r="P162" s="280"/>
      <c r="Q162" s="280"/>
      <c r="R162" s="210"/>
      <c r="T162" s="25"/>
    </row>
    <row r="163" spans="2:20" outlineLevel="1">
      <c r="B163" s="209"/>
      <c r="C163" s="277">
        <f t="shared" ref="C163" si="18">C162+1</f>
        <v>28</v>
      </c>
      <c r="D163" s="277" t="s">
        <v>59</v>
      </c>
      <c r="E163" s="278" t="s">
        <v>782</v>
      </c>
      <c r="F163" s="279" t="s">
        <v>776</v>
      </c>
      <c r="G163" s="279"/>
      <c r="H163" s="279"/>
      <c r="I163" s="279"/>
      <c r="J163" s="38" t="s">
        <v>57</v>
      </c>
      <c r="K163" s="281">
        <v>3</v>
      </c>
      <c r="L163" s="91"/>
      <c r="M163" s="91"/>
      <c r="N163" s="280">
        <f t="shared" si="17"/>
        <v>0</v>
      </c>
      <c r="O163" s="280"/>
      <c r="P163" s="280"/>
      <c r="Q163" s="280"/>
      <c r="R163" s="210"/>
      <c r="T163" s="25"/>
    </row>
    <row r="164" spans="2:20" outlineLevel="1">
      <c r="B164" s="209"/>
      <c r="C164" s="277">
        <f>C163+1</f>
        <v>29</v>
      </c>
      <c r="D164" s="277" t="s">
        <v>59</v>
      </c>
      <c r="E164" s="278" t="s">
        <v>783</v>
      </c>
      <c r="F164" s="279" t="s">
        <v>775</v>
      </c>
      <c r="G164" s="279"/>
      <c r="H164" s="279"/>
      <c r="I164" s="279"/>
      <c r="J164" s="38" t="s">
        <v>57</v>
      </c>
      <c r="K164" s="281">
        <v>3</v>
      </c>
      <c r="L164" s="91"/>
      <c r="M164" s="91"/>
      <c r="N164" s="280">
        <f t="shared" si="17"/>
        <v>0</v>
      </c>
      <c r="O164" s="280"/>
      <c r="P164" s="280"/>
      <c r="Q164" s="280"/>
      <c r="R164" s="210"/>
      <c r="T164" s="25"/>
    </row>
    <row r="165" spans="2:20">
      <c r="B165" s="209"/>
      <c r="J165" s="26"/>
      <c r="L165" s="160"/>
      <c r="M165" s="160"/>
      <c r="R165" s="210"/>
    </row>
    <row r="166" spans="2:20" s="266" customFormat="1" ht="13.2">
      <c r="B166" s="262"/>
      <c r="C166" s="263"/>
      <c r="D166" s="263" t="s">
        <v>195</v>
      </c>
      <c r="E166" s="263"/>
      <c r="F166" s="263"/>
      <c r="G166" s="263"/>
      <c r="H166" s="263"/>
      <c r="I166" s="263"/>
      <c r="J166" s="36"/>
      <c r="K166" s="263"/>
      <c r="L166" s="155"/>
      <c r="M166" s="155"/>
      <c r="N166" s="264">
        <f>SUM(N167)</f>
        <v>0</v>
      </c>
      <c r="O166" s="264"/>
      <c r="P166" s="264"/>
      <c r="Q166" s="264"/>
      <c r="R166" s="265"/>
      <c r="T166" s="25">
        <f>SUM(N166:Q167)/2</f>
        <v>0</v>
      </c>
    </row>
    <row r="167" spans="2:20" ht="11.25" customHeight="1" outlineLevel="1">
      <c r="B167" s="209"/>
      <c r="C167" s="277">
        <f>C164+1</f>
        <v>30</v>
      </c>
      <c r="D167" s="277" t="s">
        <v>59</v>
      </c>
      <c r="E167" s="278" t="s">
        <v>567</v>
      </c>
      <c r="F167" s="279" t="s">
        <v>568</v>
      </c>
      <c r="G167" s="279"/>
      <c r="H167" s="279"/>
      <c r="I167" s="279"/>
      <c r="J167" s="38" t="s">
        <v>60</v>
      </c>
      <c r="K167" s="40">
        <f>N111</f>
        <v>0</v>
      </c>
      <c r="L167" s="95"/>
      <c r="M167" s="95"/>
      <c r="N167" s="280">
        <f>ROUND(L167*K167,2)</f>
        <v>0</v>
      </c>
      <c r="O167" s="280"/>
      <c r="P167" s="280"/>
      <c r="Q167" s="280"/>
      <c r="R167" s="210"/>
      <c r="T167" s="25"/>
    </row>
    <row r="168" spans="2:20">
      <c r="B168" s="231"/>
      <c r="C168" s="232"/>
      <c r="D168" s="232"/>
      <c r="E168" s="232"/>
      <c r="F168" s="232"/>
      <c r="G168" s="232"/>
      <c r="H168" s="232"/>
      <c r="I168" s="232"/>
      <c r="J168" s="62"/>
      <c r="K168" s="232"/>
      <c r="L168" s="232"/>
      <c r="M168" s="232"/>
      <c r="N168" s="232"/>
      <c r="O168" s="232"/>
      <c r="P168" s="232"/>
      <c r="Q168" s="232"/>
      <c r="R168" s="233"/>
    </row>
  </sheetData>
  <sheetProtection algorithmName="SHA-512" hashValue="BSge5iqh2knLYVOUA8TZFazpQXjwRZOc1irtkvqpGsUkdmufTnWLq5xdvH4idW/JoS0EQ3Qdc0K4yi94EpWxXw==" saltValue="E7+Z7lov4yFqHwjK3umBEQ==" spinCount="100000" sheet="1" objects="1" scenarios="1"/>
  <mergeCells count="172"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F163:I163"/>
    <mergeCell ref="L163:M163"/>
    <mergeCell ref="N163:Q163"/>
    <mergeCell ref="E22:P22"/>
    <mergeCell ref="O10:P10"/>
    <mergeCell ref="F12:I12"/>
    <mergeCell ref="O12:P12"/>
    <mergeCell ref="O13:P13"/>
    <mergeCell ref="O15:P15"/>
    <mergeCell ref="O16:P16"/>
    <mergeCell ref="C2:Q2"/>
    <mergeCell ref="F4:P4"/>
    <mergeCell ref="F5:P5"/>
    <mergeCell ref="O7:P7"/>
    <mergeCell ref="F9:L9"/>
    <mergeCell ref="O9:P9"/>
    <mergeCell ref="O18:P18"/>
    <mergeCell ref="O19:P19"/>
    <mergeCell ref="O21:P21"/>
    <mergeCell ref="H33:J33"/>
    <mergeCell ref="M33:P33"/>
    <mergeCell ref="L35:P35"/>
    <mergeCell ref="C73:Q73"/>
    <mergeCell ref="F75:P75"/>
    <mergeCell ref="F76:P76"/>
    <mergeCell ref="D25:E25"/>
    <mergeCell ref="G25:P25"/>
    <mergeCell ref="M28:P28"/>
    <mergeCell ref="M30:P30"/>
    <mergeCell ref="H32:J32"/>
    <mergeCell ref="M32:P32"/>
    <mergeCell ref="N85:Q85"/>
    <mergeCell ref="N86:Q86"/>
    <mergeCell ref="N87:Q87"/>
    <mergeCell ref="M78:P78"/>
    <mergeCell ref="F80:J80"/>
    <mergeCell ref="M80:Q80"/>
    <mergeCell ref="M81:Q81"/>
    <mergeCell ref="C83:G83"/>
    <mergeCell ref="N83:Q83"/>
    <mergeCell ref="M101:P101"/>
    <mergeCell ref="F103:J103"/>
    <mergeCell ref="M103:Q103"/>
    <mergeCell ref="M104:Q104"/>
    <mergeCell ref="F105:P105"/>
    <mergeCell ref="F106:P106"/>
    <mergeCell ref="N88:Q88"/>
    <mergeCell ref="L90:Q90"/>
    <mergeCell ref="C96:Q96"/>
    <mergeCell ref="F98:P98"/>
    <mergeCell ref="F99:P99"/>
    <mergeCell ref="N110:Q110"/>
    <mergeCell ref="N111:Q111"/>
    <mergeCell ref="E113:I113"/>
    <mergeCell ref="L113:M113"/>
    <mergeCell ref="N113:Q113"/>
    <mergeCell ref="F108:I108"/>
    <mergeCell ref="L108:M108"/>
    <mergeCell ref="N108:Q108"/>
    <mergeCell ref="N109:Q109"/>
    <mergeCell ref="F120:I120"/>
    <mergeCell ref="L120:M120"/>
    <mergeCell ref="N120:Q120"/>
    <mergeCell ref="F121:I121"/>
    <mergeCell ref="F122:I122"/>
    <mergeCell ref="L122:M122"/>
    <mergeCell ref="N122:Q122"/>
    <mergeCell ref="E114:K114"/>
    <mergeCell ref="F115:I115"/>
    <mergeCell ref="F116:I116"/>
    <mergeCell ref="F117:I117"/>
    <mergeCell ref="F118:I118"/>
    <mergeCell ref="F119:I119"/>
    <mergeCell ref="F127:I127"/>
    <mergeCell ref="F128:I128"/>
    <mergeCell ref="L128:M128"/>
    <mergeCell ref="N128:Q128"/>
    <mergeCell ref="F129:I129"/>
    <mergeCell ref="L129:M129"/>
    <mergeCell ref="N129:Q129"/>
    <mergeCell ref="F123:I123"/>
    <mergeCell ref="F124:I124"/>
    <mergeCell ref="L124:M124"/>
    <mergeCell ref="N124:Q124"/>
    <mergeCell ref="F125:I125"/>
    <mergeCell ref="F126:I126"/>
    <mergeCell ref="L126:M126"/>
    <mergeCell ref="N126:Q126"/>
    <mergeCell ref="F133:I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F132:I132"/>
    <mergeCell ref="L132:M132"/>
    <mergeCell ref="N132:Q132"/>
    <mergeCell ref="F136:I136"/>
    <mergeCell ref="F139:I139"/>
    <mergeCell ref="L139:M139"/>
    <mergeCell ref="N139:Q139"/>
    <mergeCell ref="F140:I140"/>
    <mergeCell ref="F141:I141"/>
    <mergeCell ref="L141:M141"/>
    <mergeCell ref="N141:Q141"/>
    <mergeCell ref="F137:I137"/>
    <mergeCell ref="L137:M137"/>
    <mergeCell ref="N137:Q137"/>
    <mergeCell ref="F138:I138"/>
    <mergeCell ref="F146:I146"/>
    <mergeCell ref="L146:M146"/>
    <mergeCell ref="N146:Q146"/>
    <mergeCell ref="F147:I147"/>
    <mergeCell ref="F148:I148"/>
    <mergeCell ref="L148:M148"/>
    <mergeCell ref="N148:Q148"/>
    <mergeCell ref="F142:I142"/>
    <mergeCell ref="F143:I143"/>
    <mergeCell ref="F144:I144"/>
    <mergeCell ref="L144:M144"/>
    <mergeCell ref="N144:Q144"/>
    <mergeCell ref="F145:I145"/>
    <mergeCell ref="F151:I151"/>
    <mergeCell ref="L151:M151"/>
    <mergeCell ref="N151:Q151"/>
    <mergeCell ref="F152:I152"/>
    <mergeCell ref="L152:M152"/>
    <mergeCell ref="N152:Q152"/>
    <mergeCell ref="F149:I149"/>
    <mergeCell ref="L149:M149"/>
    <mergeCell ref="N149:Q149"/>
    <mergeCell ref="F150:I150"/>
    <mergeCell ref="L150:M150"/>
    <mergeCell ref="N150:Q150"/>
    <mergeCell ref="N166:Q166"/>
    <mergeCell ref="F167:I167"/>
    <mergeCell ref="L167:M167"/>
    <mergeCell ref="N167:Q167"/>
    <mergeCell ref="F156:I156"/>
    <mergeCell ref="F157:I157"/>
    <mergeCell ref="L157:M157"/>
    <mergeCell ref="N157:Q157"/>
    <mergeCell ref="F153:I153"/>
    <mergeCell ref="L153:M153"/>
    <mergeCell ref="N153:Q153"/>
    <mergeCell ref="F154:I154"/>
    <mergeCell ref="F155:I155"/>
    <mergeCell ref="L155:M155"/>
    <mergeCell ref="N155:Q155"/>
    <mergeCell ref="E158:I158"/>
    <mergeCell ref="L158:M158"/>
    <mergeCell ref="N158:Q158"/>
    <mergeCell ref="F159:I159"/>
    <mergeCell ref="L159:M159"/>
    <mergeCell ref="N159:Q159"/>
    <mergeCell ref="F160:I160"/>
    <mergeCell ref="L160:M160"/>
    <mergeCell ref="N160:Q160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CCF4-F1C2-4764-869D-92FD178B96DB}">
  <sheetPr>
    <pageSetUpPr fitToPage="1"/>
  </sheetPr>
  <dimension ref="B1:AB171"/>
  <sheetViews>
    <sheetView showGridLines="0" view="pageBreakPreview" zoomScaleNormal="85" zoomScaleSheetLayoutView="100" workbookViewId="0">
      <pane ySplit="1" topLeftCell="A2" activePane="bottomLeft" state="frozen"/>
      <selection activeCell="K4" sqref="K4:AO4"/>
      <selection pane="bottomLeft" activeCell="F5" sqref="F5:P5"/>
    </sheetView>
  </sheetViews>
  <sheetFormatPr defaultColWidth="9.28515625" defaultRowHeight="10.199999999999999" outlineLevelRow="1" outlineLevelCol="1"/>
  <cols>
    <col min="1" max="1" width="8.5703125" style="142" customWidth="1"/>
    <col min="2" max="2" width="2.140625" style="142" customWidth="1"/>
    <col min="3" max="3" width="4.7109375" style="142" customWidth="1"/>
    <col min="4" max="4" width="4.140625" style="142" customWidth="1"/>
    <col min="5" max="5" width="25.140625" style="142" customWidth="1"/>
    <col min="6" max="6" width="14.42578125" style="142" customWidth="1"/>
    <col min="7" max="7" width="11.42578125" style="142" customWidth="1"/>
    <col min="8" max="8" width="12.85546875" style="142" customWidth="1"/>
    <col min="9" max="9" width="33.7109375" style="142" customWidth="1"/>
    <col min="10" max="10" width="10.42578125" style="41" customWidth="1"/>
    <col min="11" max="11" width="15" style="142" customWidth="1"/>
    <col min="12" max="12" width="12.42578125" style="142" customWidth="1"/>
    <col min="13" max="13" width="8" style="142" customWidth="1"/>
    <col min="14" max="14" width="6.7109375" style="142" customWidth="1"/>
    <col min="15" max="15" width="2.5703125" style="142" customWidth="1"/>
    <col min="16" max="16" width="13" style="142" customWidth="1"/>
    <col min="17" max="17" width="3.7109375" style="142" customWidth="1"/>
    <col min="18" max="18" width="2.140625" style="142" customWidth="1"/>
    <col min="19" max="19" width="2.28515625" style="142" customWidth="1"/>
    <col min="20" max="20" width="21.7109375" style="22" hidden="1" customWidth="1" outlineLevel="1"/>
    <col min="21" max="21" width="11.42578125" style="142" customWidth="1" collapsed="1"/>
    <col min="22" max="23" width="11.42578125" style="142" customWidth="1"/>
    <col min="24" max="16384" width="9.28515625" style="142"/>
  </cols>
  <sheetData>
    <row r="1" spans="2:18">
      <c r="B1" s="206"/>
      <c r="C1" s="207"/>
      <c r="D1" s="207"/>
      <c r="E1" s="207"/>
      <c r="F1" s="207"/>
      <c r="G1" s="207"/>
      <c r="H1" s="207"/>
      <c r="I1" s="207"/>
      <c r="J1" s="61"/>
      <c r="K1" s="207"/>
      <c r="L1" s="207"/>
      <c r="M1" s="207"/>
      <c r="N1" s="207"/>
      <c r="O1" s="207"/>
      <c r="P1" s="207"/>
      <c r="Q1" s="207"/>
      <c r="R1" s="208"/>
    </row>
    <row r="2" spans="2:18" ht="21">
      <c r="B2" s="209"/>
      <c r="C2" s="146" t="s">
        <v>38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210"/>
    </row>
    <row r="3" spans="2:18">
      <c r="B3" s="209"/>
      <c r="J3" s="26"/>
      <c r="R3" s="210"/>
    </row>
    <row r="4" spans="2:18" ht="11.4">
      <c r="B4" s="209"/>
      <c r="D4" s="140" t="s">
        <v>3</v>
      </c>
      <c r="F4" s="211" t="str">
        <f>Rekapitulace!K4</f>
        <v>Revitalizace veřejného prostoru v proluce mezi ZUŠ a domem čp. 23 vč. přilehlých prostor ul. Radniční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R4" s="210"/>
    </row>
    <row r="5" spans="2:18" ht="15.75" customHeight="1">
      <c r="B5" s="209"/>
      <c r="D5" s="135" t="s">
        <v>39</v>
      </c>
      <c r="F5" s="109" t="s">
        <v>593</v>
      </c>
      <c r="G5" s="134"/>
      <c r="H5" s="134"/>
      <c r="I5" s="134"/>
      <c r="J5" s="134"/>
      <c r="K5" s="134"/>
      <c r="L5" s="134"/>
      <c r="M5" s="134"/>
      <c r="N5" s="134"/>
      <c r="O5" s="134"/>
      <c r="P5" s="134"/>
      <c r="R5" s="210"/>
    </row>
    <row r="6" spans="2:18" ht="11.4">
      <c r="B6" s="209"/>
      <c r="D6" s="140" t="s">
        <v>4</v>
      </c>
      <c r="F6" s="145" t="s">
        <v>0</v>
      </c>
      <c r="J6" s="26"/>
      <c r="M6" s="140" t="s">
        <v>5</v>
      </c>
      <c r="O6" s="145" t="s">
        <v>0</v>
      </c>
      <c r="R6" s="210"/>
    </row>
    <row r="7" spans="2:18" ht="11.4">
      <c r="B7" s="209"/>
      <c r="D7" s="140" t="s">
        <v>6</v>
      </c>
      <c r="F7" s="145" t="str">
        <f>Rekapitulace!I80</f>
        <v>Radniční ul. Bílina
p.č. 107, 120/1, 122, 125/1, 125/2, 125/3, 126, k.ú. Bílina [604208]</v>
      </c>
      <c r="J7" s="26"/>
      <c r="M7" s="140" t="s">
        <v>7</v>
      </c>
      <c r="O7" s="166">
        <f>Rekapitulace!AN6</f>
        <v>0</v>
      </c>
      <c r="P7" s="166"/>
      <c r="R7" s="210"/>
    </row>
    <row r="8" spans="2:18">
      <c r="B8" s="209"/>
      <c r="J8" s="26"/>
      <c r="R8" s="210"/>
    </row>
    <row r="9" spans="2:18" ht="41.25" customHeight="1">
      <c r="B9" s="209"/>
      <c r="D9" s="140" t="s">
        <v>8</v>
      </c>
      <c r="F9" s="139" t="str">
        <f>Rekapitulace!K8</f>
        <v>město Bílina
Břežanská 50/4, 418 31 Bílina</v>
      </c>
      <c r="G9" s="139"/>
      <c r="H9" s="139"/>
      <c r="I9" s="139"/>
      <c r="J9" s="139"/>
      <c r="K9" s="139"/>
      <c r="L9" s="139"/>
      <c r="M9" s="140" t="s">
        <v>9</v>
      </c>
      <c r="O9" s="136" t="s">
        <v>0</v>
      </c>
      <c r="P9" s="136"/>
      <c r="R9" s="210"/>
    </row>
    <row r="10" spans="2:18" ht="11.4">
      <c r="B10" s="209"/>
      <c r="E10" s="145"/>
      <c r="J10" s="26"/>
      <c r="M10" s="140" t="s">
        <v>10</v>
      </c>
      <c r="O10" s="136" t="s">
        <v>0</v>
      </c>
      <c r="P10" s="136"/>
      <c r="R10" s="210"/>
    </row>
    <row r="11" spans="2:18">
      <c r="B11" s="209"/>
      <c r="J11" s="26"/>
      <c r="R11" s="210"/>
    </row>
    <row r="12" spans="2:18" ht="11.4">
      <c r="B12" s="209"/>
      <c r="D12" s="140" t="s">
        <v>11</v>
      </c>
      <c r="F12" s="213">
        <f>Rekapitulace!K11</f>
        <v>0</v>
      </c>
      <c r="G12" s="213"/>
      <c r="H12" s="213"/>
      <c r="I12" s="213"/>
      <c r="J12" s="26"/>
      <c r="M12" s="140" t="s">
        <v>9</v>
      </c>
      <c r="O12" s="136" t="str">
        <f>IF(Rekapitulace!AN11="","",Rekapitulace!AN11)</f>
        <v/>
      </c>
      <c r="P12" s="136"/>
      <c r="R12" s="210"/>
    </row>
    <row r="13" spans="2:18" ht="11.4">
      <c r="B13" s="209"/>
      <c r="E13" s="145" t="str">
        <f>IF(Rekapitulace!E12="","",Rekapitulace!E12)</f>
        <v xml:space="preserve"> </v>
      </c>
      <c r="J13" s="26"/>
      <c r="M13" s="140" t="s">
        <v>10</v>
      </c>
      <c r="O13" s="136" t="str">
        <f>IF(Rekapitulace!AN12="","",Rekapitulace!AN12)</f>
        <v/>
      </c>
      <c r="P13" s="136"/>
      <c r="R13" s="210"/>
    </row>
    <row r="14" spans="2:18">
      <c r="B14" s="209"/>
      <c r="J14" s="26"/>
      <c r="R14" s="210"/>
    </row>
    <row r="15" spans="2:18" ht="11.4">
      <c r="B15" s="209"/>
      <c r="D15" s="140" t="s">
        <v>13</v>
      </c>
      <c r="J15" s="26"/>
      <c r="M15" s="140" t="s">
        <v>9</v>
      </c>
      <c r="O15" s="136" t="s">
        <v>0</v>
      </c>
      <c r="P15" s="136"/>
      <c r="R15" s="210"/>
    </row>
    <row r="16" spans="2:18" ht="11.4">
      <c r="B16" s="209"/>
      <c r="E16" s="145" t="str">
        <f>Rekapitulace!E15</f>
        <v xml:space="preserve">Ing. arch. MgA. Bořek Peška </v>
      </c>
      <c r="J16" s="26"/>
      <c r="M16" s="140" t="s">
        <v>10</v>
      </c>
      <c r="O16" s="136" t="s">
        <v>0</v>
      </c>
      <c r="P16" s="136"/>
      <c r="R16" s="210"/>
    </row>
    <row r="17" spans="2:18">
      <c r="B17" s="209"/>
      <c r="J17" s="26"/>
      <c r="R17" s="210"/>
    </row>
    <row r="18" spans="2:18" ht="11.4">
      <c r="B18" s="209"/>
      <c r="D18" s="140" t="s">
        <v>14</v>
      </c>
      <c r="J18" s="26"/>
      <c r="M18" s="140" t="s">
        <v>9</v>
      </c>
      <c r="O18" s="136" t="s">
        <v>0</v>
      </c>
      <c r="P18" s="136"/>
      <c r="R18" s="210"/>
    </row>
    <row r="19" spans="2:18" ht="11.4">
      <c r="B19" s="209"/>
      <c r="E19" s="145" t="str">
        <f>Rekapitulace!E18</f>
        <v>Jakub Kulhavý</v>
      </c>
      <c r="J19" s="26"/>
      <c r="M19" s="140" t="s">
        <v>10</v>
      </c>
      <c r="O19" s="136" t="s">
        <v>0</v>
      </c>
      <c r="P19" s="136"/>
      <c r="R19" s="210"/>
    </row>
    <row r="20" spans="2:18">
      <c r="B20" s="209"/>
      <c r="J20" s="26"/>
      <c r="R20" s="210"/>
    </row>
    <row r="21" spans="2:18" ht="11.4">
      <c r="B21" s="209"/>
      <c r="D21" s="140" t="s">
        <v>90</v>
      </c>
      <c r="J21" s="26"/>
      <c r="M21" s="140"/>
      <c r="O21" s="136" t="s">
        <v>0</v>
      </c>
      <c r="P21" s="136"/>
      <c r="R21" s="210"/>
    </row>
    <row r="22" spans="2:18" ht="11.4">
      <c r="B22" s="209"/>
      <c r="E22" s="136" t="str">
        <f>Rekapitulace!E21</f>
        <v>projektové dokumentace ve stupni DPS z 12/2024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R22" s="210"/>
    </row>
    <row r="23" spans="2:18">
      <c r="B23" s="209"/>
      <c r="J23" s="26"/>
      <c r="R23" s="210"/>
    </row>
    <row r="24" spans="2:18" ht="11.4">
      <c r="B24" s="209"/>
      <c r="D24" s="140" t="s">
        <v>63</v>
      </c>
      <c r="J24" s="26"/>
      <c r="R24" s="210"/>
    </row>
    <row r="25" spans="2:18" ht="11.4">
      <c r="B25" s="209"/>
      <c r="D25" s="213"/>
      <c r="E25" s="213"/>
      <c r="F25" s="220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R25" s="210"/>
    </row>
    <row r="26" spans="2:18">
      <c r="B26" s="209"/>
      <c r="J26" s="26"/>
      <c r="R26" s="210"/>
    </row>
    <row r="27" spans="2:18">
      <c r="B27" s="209"/>
      <c r="D27" s="221"/>
      <c r="E27" s="221"/>
      <c r="F27" s="221"/>
      <c r="G27" s="221"/>
      <c r="H27" s="221"/>
      <c r="I27" s="221"/>
      <c r="J27" s="27"/>
      <c r="K27" s="221"/>
      <c r="L27" s="221"/>
      <c r="M27" s="221"/>
      <c r="N27" s="221"/>
      <c r="O27" s="221"/>
      <c r="P27" s="221"/>
      <c r="R27" s="210"/>
    </row>
    <row r="28" spans="2:18" ht="13.2">
      <c r="B28" s="209"/>
      <c r="D28" s="222" t="s">
        <v>40</v>
      </c>
      <c r="J28" s="26"/>
      <c r="M28" s="122">
        <f>N85</f>
        <v>0</v>
      </c>
      <c r="N28" s="122"/>
      <c r="O28" s="122"/>
      <c r="P28" s="122"/>
      <c r="R28" s="210"/>
    </row>
    <row r="29" spans="2:18">
      <c r="B29" s="209"/>
      <c r="J29" s="26"/>
      <c r="R29" s="210"/>
    </row>
    <row r="30" spans="2:18" ht="13.2">
      <c r="B30" s="209"/>
      <c r="D30" s="223" t="s">
        <v>16</v>
      </c>
      <c r="J30" s="26"/>
      <c r="M30" s="224">
        <f>ROUND(M28,2)</f>
        <v>0</v>
      </c>
      <c r="N30" s="134"/>
      <c r="O30" s="134"/>
      <c r="P30" s="134"/>
      <c r="R30" s="210"/>
    </row>
    <row r="31" spans="2:18">
      <c r="B31" s="209"/>
      <c r="J31" s="26"/>
      <c r="R31" s="210"/>
    </row>
    <row r="32" spans="2:18">
      <c r="B32" s="209"/>
      <c r="D32" s="129" t="s">
        <v>17</v>
      </c>
      <c r="E32" s="129" t="s">
        <v>18</v>
      </c>
      <c r="F32" s="150">
        <v>0.21</v>
      </c>
      <c r="G32" s="225" t="s">
        <v>19</v>
      </c>
      <c r="H32" s="93">
        <f>ROUND(M30, 2)</f>
        <v>0</v>
      </c>
      <c r="I32" s="94"/>
      <c r="J32" s="94"/>
      <c r="M32" s="93">
        <f>ROUND(H32*F32, 2)</f>
        <v>0</v>
      </c>
      <c r="N32" s="94"/>
      <c r="O32" s="94"/>
      <c r="P32" s="94"/>
      <c r="R32" s="210"/>
    </row>
    <row r="33" spans="2:18">
      <c r="B33" s="209"/>
      <c r="E33" s="129" t="s">
        <v>20</v>
      </c>
      <c r="F33" s="150">
        <v>0.15</v>
      </c>
      <c r="G33" s="225" t="s">
        <v>19</v>
      </c>
      <c r="H33" s="93">
        <v>0</v>
      </c>
      <c r="I33" s="94"/>
      <c r="J33" s="94"/>
      <c r="M33" s="93">
        <f>ROUND(H33*F33, 2)</f>
        <v>0</v>
      </c>
      <c r="N33" s="94"/>
      <c r="O33" s="94"/>
      <c r="P33" s="94"/>
      <c r="R33" s="210"/>
    </row>
    <row r="34" spans="2:18">
      <c r="B34" s="209"/>
      <c r="J34" s="26"/>
      <c r="R34" s="210"/>
    </row>
    <row r="35" spans="2:18" ht="15.6">
      <c r="B35" s="209"/>
      <c r="D35" s="226" t="s">
        <v>24</v>
      </c>
      <c r="E35" s="171"/>
      <c r="F35" s="171"/>
      <c r="G35" s="227" t="s">
        <v>25</v>
      </c>
      <c r="H35" s="228" t="s">
        <v>26</v>
      </c>
      <c r="I35" s="171"/>
      <c r="J35" s="28"/>
      <c r="K35" s="171"/>
      <c r="L35" s="229">
        <f>SUM(M30:M33)</f>
        <v>0</v>
      </c>
      <c r="M35" s="229"/>
      <c r="N35" s="229"/>
      <c r="O35" s="229"/>
      <c r="P35" s="230"/>
      <c r="R35" s="210"/>
    </row>
    <row r="36" spans="2:18">
      <c r="B36" s="209"/>
      <c r="J36" s="26"/>
      <c r="R36" s="210"/>
    </row>
    <row r="37" spans="2:18">
      <c r="B37" s="209"/>
      <c r="J37" s="26"/>
      <c r="R37" s="210"/>
    </row>
    <row r="38" spans="2:18">
      <c r="B38" s="209"/>
      <c r="J38" s="26"/>
      <c r="R38" s="210"/>
    </row>
    <row r="39" spans="2:18">
      <c r="B39" s="209"/>
      <c r="J39" s="26"/>
      <c r="R39" s="210"/>
    </row>
    <row r="40" spans="2:18">
      <c r="B40" s="209"/>
      <c r="J40" s="26"/>
      <c r="R40" s="210"/>
    </row>
    <row r="41" spans="2:18">
      <c r="B41" s="209"/>
      <c r="J41" s="26"/>
      <c r="R41" s="210"/>
    </row>
    <row r="42" spans="2:18">
      <c r="B42" s="209"/>
      <c r="J42" s="26"/>
      <c r="R42" s="210"/>
    </row>
    <row r="43" spans="2:18">
      <c r="B43" s="209"/>
      <c r="J43" s="26"/>
      <c r="R43" s="210"/>
    </row>
    <row r="44" spans="2:18">
      <c r="B44" s="209"/>
      <c r="J44" s="26"/>
      <c r="R44" s="210"/>
    </row>
    <row r="45" spans="2:18">
      <c r="B45" s="209"/>
      <c r="J45" s="26"/>
      <c r="R45" s="210"/>
    </row>
    <row r="46" spans="2:18">
      <c r="B46" s="209"/>
      <c r="J46" s="26"/>
      <c r="R46" s="210"/>
    </row>
    <row r="47" spans="2:18" ht="13.2">
      <c r="B47" s="209"/>
      <c r="D47" s="113" t="s">
        <v>27</v>
      </c>
      <c r="E47" s="104"/>
      <c r="F47" s="104"/>
      <c r="G47" s="104"/>
      <c r="H47" s="144"/>
      <c r="J47" s="63" t="s">
        <v>28</v>
      </c>
      <c r="K47" s="104"/>
      <c r="L47" s="104"/>
      <c r="M47" s="104"/>
      <c r="N47" s="104"/>
      <c r="O47" s="104"/>
      <c r="P47" s="144"/>
      <c r="R47" s="210"/>
    </row>
    <row r="48" spans="2:18">
      <c r="B48" s="209"/>
      <c r="D48" s="124"/>
      <c r="H48" s="106"/>
      <c r="J48" s="64"/>
      <c r="P48" s="106"/>
      <c r="R48" s="210"/>
    </row>
    <row r="49" spans="2:18">
      <c r="B49" s="209"/>
      <c r="D49" s="124"/>
      <c r="H49" s="106"/>
      <c r="J49" s="64"/>
      <c r="P49" s="106"/>
      <c r="R49" s="210"/>
    </row>
    <row r="50" spans="2:18">
      <c r="B50" s="209"/>
      <c r="D50" s="124"/>
      <c r="H50" s="106"/>
      <c r="J50" s="64"/>
      <c r="P50" s="106"/>
      <c r="R50" s="210"/>
    </row>
    <row r="51" spans="2:18">
      <c r="B51" s="209"/>
      <c r="D51" s="124"/>
      <c r="H51" s="106"/>
      <c r="J51" s="64"/>
      <c r="P51" s="106"/>
      <c r="R51" s="210"/>
    </row>
    <row r="52" spans="2:18">
      <c r="B52" s="209"/>
      <c r="D52" s="124"/>
      <c r="H52" s="106"/>
      <c r="J52" s="64"/>
      <c r="P52" s="106"/>
      <c r="R52" s="210"/>
    </row>
    <row r="53" spans="2:18">
      <c r="B53" s="209"/>
      <c r="D53" s="124"/>
      <c r="H53" s="106"/>
      <c r="J53" s="64"/>
      <c r="P53" s="106"/>
      <c r="R53" s="210"/>
    </row>
    <row r="54" spans="2:18">
      <c r="B54" s="209"/>
      <c r="D54" s="124"/>
      <c r="H54" s="106"/>
      <c r="J54" s="64"/>
      <c r="P54" s="106"/>
      <c r="R54" s="210"/>
    </row>
    <row r="55" spans="2:18">
      <c r="B55" s="209"/>
      <c r="D55" s="124"/>
      <c r="H55" s="106"/>
      <c r="J55" s="64"/>
      <c r="P55" s="106"/>
      <c r="R55" s="210"/>
    </row>
    <row r="56" spans="2:18" ht="13.2">
      <c r="B56" s="209"/>
      <c r="D56" s="126" t="s">
        <v>29</v>
      </c>
      <c r="E56" s="118"/>
      <c r="F56" s="118"/>
      <c r="G56" s="125" t="s">
        <v>30</v>
      </c>
      <c r="H56" s="128"/>
      <c r="J56" s="65" t="s">
        <v>29</v>
      </c>
      <c r="K56" s="118"/>
      <c r="L56" s="118"/>
      <c r="M56" s="118"/>
      <c r="N56" s="125" t="s">
        <v>30</v>
      </c>
      <c r="O56" s="118"/>
      <c r="P56" s="128"/>
      <c r="R56" s="210"/>
    </row>
    <row r="57" spans="2:18">
      <c r="B57" s="209"/>
      <c r="J57" s="26"/>
      <c r="R57" s="210"/>
    </row>
    <row r="58" spans="2:18" ht="13.2">
      <c r="B58" s="209"/>
      <c r="D58" s="113" t="s">
        <v>31</v>
      </c>
      <c r="E58" s="104"/>
      <c r="F58" s="104"/>
      <c r="G58" s="104"/>
      <c r="H58" s="144"/>
      <c r="J58" s="63" t="s">
        <v>32</v>
      </c>
      <c r="K58" s="104"/>
      <c r="L58" s="104"/>
      <c r="M58" s="104"/>
      <c r="N58" s="104"/>
      <c r="O58" s="104"/>
      <c r="P58" s="144"/>
      <c r="R58" s="210"/>
    </row>
    <row r="59" spans="2:18">
      <c r="B59" s="209"/>
      <c r="D59" s="124"/>
      <c r="H59" s="106"/>
      <c r="J59" s="64"/>
      <c r="P59" s="106"/>
      <c r="R59" s="210"/>
    </row>
    <row r="60" spans="2:18">
      <c r="B60" s="209"/>
      <c r="D60" s="124"/>
      <c r="H60" s="106"/>
      <c r="J60" s="64"/>
      <c r="P60" s="106"/>
      <c r="R60" s="210"/>
    </row>
    <row r="61" spans="2:18">
      <c r="B61" s="209"/>
      <c r="D61" s="124"/>
      <c r="H61" s="106"/>
      <c r="J61" s="64"/>
      <c r="P61" s="106"/>
      <c r="R61" s="210"/>
    </row>
    <row r="62" spans="2:18">
      <c r="B62" s="209"/>
      <c r="D62" s="124"/>
      <c r="H62" s="106"/>
      <c r="J62" s="64"/>
      <c r="P62" s="106"/>
      <c r="R62" s="210"/>
    </row>
    <row r="63" spans="2:18">
      <c r="B63" s="209"/>
      <c r="D63" s="124"/>
      <c r="H63" s="106"/>
      <c r="J63" s="64"/>
      <c r="P63" s="106"/>
      <c r="R63" s="210"/>
    </row>
    <row r="64" spans="2:18">
      <c r="B64" s="209"/>
      <c r="D64" s="124"/>
      <c r="H64" s="106"/>
      <c r="J64" s="64"/>
      <c r="P64" s="106"/>
      <c r="R64" s="210"/>
    </row>
    <row r="65" spans="2:18">
      <c r="B65" s="209"/>
      <c r="D65" s="124"/>
      <c r="H65" s="106"/>
      <c r="J65" s="64"/>
      <c r="P65" s="106"/>
      <c r="R65" s="210"/>
    </row>
    <row r="66" spans="2:18">
      <c r="B66" s="209"/>
      <c r="D66" s="124"/>
      <c r="H66" s="106"/>
      <c r="J66" s="64"/>
      <c r="P66" s="106"/>
      <c r="R66" s="210"/>
    </row>
    <row r="67" spans="2:18" ht="13.2">
      <c r="B67" s="209"/>
      <c r="D67" s="126" t="s">
        <v>29</v>
      </c>
      <c r="E67" s="118"/>
      <c r="F67" s="118"/>
      <c r="G67" s="125" t="s">
        <v>30</v>
      </c>
      <c r="H67" s="128"/>
      <c r="J67" s="65" t="s">
        <v>29</v>
      </c>
      <c r="K67" s="118"/>
      <c r="L67" s="118"/>
      <c r="M67" s="118"/>
      <c r="N67" s="125" t="s">
        <v>30</v>
      </c>
      <c r="O67" s="118"/>
      <c r="P67" s="128"/>
      <c r="R67" s="210"/>
    </row>
    <row r="68" spans="2:18">
      <c r="B68" s="231"/>
      <c r="C68" s="232"/>
      <c r="D68" s="232"/>
      <c r="E68" s="232"/>
      <c r="F68" s="232"/>
      <c r="G68" s="232"/>
      <c r="H68" s="232"/>
      <c r="I68" s="232"/>
      <c r="J68" s="62"/>
      <c r="K68" s="232"/>
      <c r="L68" s="232"/>
      <c r="M68" s="232"/>
      <c r="N68" s="232"/>
      <c r="O68" s="232"/>
      <c r="P68" s="232"/>
      <c r="Q68" s="232"/>
      <c r="R68" s="233"/>
    </row>
    <row r="72" spans="2:18">
      <c r="B72" s="206"/>
      <c r="C72" s="207"/>
      <c r="D72" s="207"/>
      <c r="E72" s="207"/>
      <c r="F72" s="207"/>
      <c r="G72" s="207"/>
      <c r="H72" s="207"/>
      <c r="I72" s="207"/>
      <c r="J72" s="61"/>
      <c r="K72" s="207"/>
      <c r="L72" s="207"/>
      <c r="M72" s="207"/>
      <c r="N72" s="207"/>
      <c r="O72" s="207"/>
      <c r="P72" s="207"/>
      <c r="Q72" s="207"/>
      <c r="R72" s="208"/>
    </row>
    <row r="73" spans="2:18" ht="21">
      <c r="B73" s="209"/>
      <c r="C73" s="146" t="s">
        <v>41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10"/>
    </row>
    <row r="74" spans="2:18">
      <c r="B74" s="209"/>
      <c r="J74" s="26"/>
      <c r="R74" s="210"/>
    </row>
    <row r="75" spans="2:18" ht="11.4">
      <c r="B75" s="209"/>
      <c r="C75" s="140" t="s">
        <v>3</v>
      </c>
      <c r="F75" s="211" t="str">
        <f>F4</f>
        <v>Revitalizace veřejného prostoru v proluce mezi ZUŠ a domem čp. 23 vč. přilehlých prostor ul. Radniční</v>
      </c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10"/>
    </row>
    <row r="76" spans="2:18" ht="15.6">
      <c r="B76" s="209"/>
      <c r="C76" s="135" t="s">
        <v>39</v>
      </c>
      <c r="F76" s="109" t="str">
        <f>F5</f>
        <v>SO.09 sadové úpravy</v>
      </c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R76" s="210"/>
    </row>
    <row r="77" spans="2:18">
      <c r="B77" s="209"/>
      <c r="J77" s="26"/>
      <c r="R77" s="210"/>
    </row>
    <row r="78" spans="2:18" ht="11.4">
      <c r="B78" s="209"/>
      <c r="C78" s="140" t="s">
        <v>6</v>
      </c>
      <c r="F78" s="145" t="str">
        <f>F7</f>
        <v>Radniční ul. Bílina
p.č. 107, 120/1, 122, 125/1, 125/2, 125/3, 126, k.ú. Bílina [604208]</v>
      </c>
      <c r="J78" s="26"/>
      <c r="K78" s="140" t="s">
        <v>7</v>
      </c>
      <c r="M78" s="166">
        <f>IF(O7="","",O7)</f>
        <v>0</v>
      </c>
      <c r="N78" s="166"/>
      <c r="O78" s="166"/>
      <c r="P78" s="166"/>
      <c r="R78" s="210"/>
    </row>
    <row r="79" spans="2:18">
      <c r="B79" s="209"/>
      <c r="J79" s="26"/>
      <c r="R79" s="210"/>
    </row>
    <row r="80" spans="2:18" ht="48.75" customHeight="1">
      <c r="B80" s="209"/>
      <c r="C80" s="140" t="s">
        <v>8</v>
      </c>
      <c r="F80" s="127" t="str">
        <f>F9</f>
        <v>město Bílina
Břežanská 50/4, 418 31 Bílina</v>
      </c>
      <c r="G80" s="127"/>
      <c r="H80" s="127"/>
      <c r="I80" s="127"/>
      <c r="J80" s="127"/>
      <c r="K80" s="140" t="s">
        <v>13</v>
      </c>
      <c r="M80" s="136" t="str">
        <f>E16</f>
        <v xml:space="preserve">Ing. arch. MgA. Bořek Peška </v>
      </c>
      <c r="N80" s="136"/>
      <c r="O80" s="136"/>
      <c r="P80" s="136"/>
      <c r="Q80" s="136"/>
      <c r="R80" s="210"/>
    </row>
    <row r="81" spans="2:20" ht="11.4">
      <c r="B81" s="209"/>
      <c r="C81" s="140" t="s">
        <v>11</v>
      </c>
      <c r="F81" s="145">
        <f>F12</f>
        <v>0</v>
      </c>
      <c r="J81" s="26"/>
      <c r="K81" s="140" t="s">
        <v>14</v>
      </c>
      <c r="M81" s="136" t="str">
        <f>E19</f>
        <v>Jakub Kulhavý</v>
      </c>
      <c r="N81" s="136"/>
      <c r="O81" s="136"/>
      <c r="P81" s="136"/>
      <c r="Q81" s="136"/>
      <c r="R81" s="210"/>
    </row>
    <row r="82" spans="2:20">
      <c r="B82" s="209"/>
      <c r="J82" s="26"/>
      <c r="R82" s="210"/>
    </row>
    <row r="83" spans="2:20" ht="11.4">
      <c r="B83" s="209"/>
      <c r="C83" s="234" t="s">
        <v>42</v>
      </c>
      <c r="D83" s="235"/>
      <c r="E83" s="235"/>
      <c r="F83" s="235"/>
      <c r="G83" s="235"/>
      <c r="H83" s="203" t="s">
        <v>92</v>
      </c>
      <c r="I83" s="236">
        <f>K112</f>
        <v>167</v>
      </c>
      <c r="J83" s="30"/>
      <c r="K83" s="203" t="s">
        <v>91</v>
      </c>
      <c r="L83" s="203"/>
      <c r="M83" s="203"/>
      <c r="N83" s="234" t="s">
        <v>43</v>
      </c>
      <c r="O83" s="235"/>
      <c r="P83" s="235"/>
      <c r="Q83" s="235"/>
      <c r="R83" s="210"/>
    </row>
    <row r="84" spans="2:20">
      <c r="B84" s="209"/>
      <c r="J84" s="26"/>
      <c r="R84" s="210"/>
    </row>
    <row r="85" spans="2:20" ht="15.6">
      <c r="B85" s="209"/>
      <c r="C85" s="237" t="s">
        <v>44</v>
      </c>
      <c r="J85" s="26"/>
      <c r="K85" s="42">
        <f t="shared" ref="K85:K88" si="0">N85/$I$83</f>
        <v>0</v>
      </c>
      <c r="N85" s="179">
        <f>N86</f>
        <v>0</v>
      </c>
      <c r="O85" s="238"/>
      <c r="P85" s="238"/>
      <c r="Q85" s="238"/>
      <c r="R85" s="210"/>
      <c r="T85" s="31">
        <f>SUM(N85:Q88)/3</f>
        <v>0</v>
      </c>
    </row>
    <row r="86" spans="2:20" s="348" customFormat="1" ht="15">
      <c r="B86" s="347"/>
      <c r="D86" s="349" t="str">
        <f>D110</f>
        <v>Stavební práce a dodávky</v>
      </c>
      <c r="J86" s="32"/>
      <c r="K86" s="43">
        <f t="shared" si="0"/>
        <v>0</v>
      </c>
      <c r="N86" s="350">
        <f>SUM(N87:Q88)</f>
        <v>0</v>
      </c>
      <c r="O86" s="351"/>
      <c r="P86" s="351"/>
      <c r="Q86" s="351"/>
      <c r="R86" s="352"/>
      <c r="T86" s="31">
        <f>SUM(N86:Q88)/2</f>
        <v>0</v>
      </c>
    </row>
    <row r="87" spans="2:20" s="246" customFormat="1" ht="13.2">
      <c r="B87" s="245"/>
      <c r="D87" s="247" t="str">
        <f>D112</f>
        <v xml:space="preserve">    1 - Sadové úpravy</v>
      </c>
      <c r="J87" s="33"/>
      <c r="K87" s="44">
        <f t="shared" si="0"/>
        <v>0</v>
      </c>
      <c r="N87" s="248">
        <f>N112</f>
        <v>0</v>
      </c>
      <c r="O87" s="249"/>
      <c r="P87" s="249"/>
      <c r="Q87" s="249"/>
      <c r="R87" s="250"/>
      <c r="T87" s="23"/>
    </row>
    <row r="88" spans="2:20" s="246" customFormat="1" ht="13.2">
      <c r="B88" s="245"/>
      <c r="D88" s="247" t="str">
        <f>D168</f>
        <v xml:space="preserve">    998 - Přesuny hmot</v>
      </c>
      <c r="J88" s="33"/>
      <c r="K88" s="44">
        <f t="shared" si="0"/>
        <v>0</v>
      </c>
      <c r="N88" s="248">
        <f>N168</f>
        <v>0</v>
      </c>
      <c r="O88" s="249"/>
      <c r="P88" s="249"/>
      <c r="Q88" s="249"/>
      <c r="R88" s="250"/>
      <c r="T88" s="23"/>
    </row>
    <row r="89" spans="2:20">
      <c r="B89" s="209"/>
      <c r="J89" s="26"/>
      <c r="R89" s="210"/>
    </row>
    <row r="90" spans="2:20" ht="15.6">
      <c r="B90" s="209"/>
      <c r="C90" s="202" t="s">
        <v>64</v>
      </c>
      <c r="D90" s="203"/>
      <c r="E90" s="203"/>
      <c r="F90" s="203"/>
      <c r="G90" s="203"/>
      <c r="H90" s="203"/>
      <c r="I90" s="203"/>
      <c r="J90" s="30"/>
      <c r="K90" s="45">
        <f>L90/$I$83</f>
        <v>0</v>
      </c>
      <c r="L90" s="204">
        <f>ROUND(N85,2)</f>
        <v>0</v>
      </c>
      <c r="M90" s="204"/>
      <c r="N90" s="204"/>
      <c r="O90" s="204"/>
      <c r="P90" s="204"/>
      <c r="Q90" s="204"/>
      <c r="R90" s="210"/>
    </row>
    <row r="91" spans="2:20">
      <c r="B91" s="231"/>
      <c r="C91" s="232"/>
      <c r="D91" s="232"/>
      <c r="E91" s="232"/>
      <c r="F91" s="232"/>
      <c r="G91" s="232"/>
      <c r="H91" s="232"/>
      <c r="I91" s="232"/>
      <c r="J91" s="62"/>
      <c r="K91" s="232"/>
      <c r="L91" s="232"/>
      <c r="M91" s="232"/>
      <c r="N91" s="232"/>
      <c r="O91" s="232"/>
      <c r="P91" s="232"/>
      <c r="Q91" s="232"/>
      <c r="R91" s="233"/>
    </row>
    <row r="95" spans="2:20">
      <c r="B95" s="206"/>
      <c r="C95" s="207"/>
      <c r="D95" s="207"/>
      <c r="E95" s="207"/>
      <c r="F95" s="207"/>
      <c r="G95" s="207"/>
      <c r="H95" s="207"/>
      <c r="I95" s="207"/>
      <c r="J95" s="61"/>
      <c r="K95" s="207"/>
      <c r="L95" s="207"/>
      <c r="M95" s="207"/>
      <c r="N95" s="207"/>
      <c r="O95" s="207"/>
      <c r="P95" s="207"/>
      <c r="Q95" s="207"/>
      <c r="R95" s="208"/>
    </row>
    <row r="96" spans="2:20" ht="21">
      <c r="B96" s="209"/>
      <c r="C96" s="146" t="s">
        <v>45</v>
      </c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210"/>
    </row>
    <row r="97" spans="2:20" ht="2.25" customHeight="1">
      <c r="B97" s="209"/>
      <c r="J97" s="26"/>
      <c r="R97" s="210"/>
    </row>
    <row r="98" spans="2:20" ht="11.4">
      <c r="B98" s="209"/>
      <c r="C98" s="140" t="s">
        <v>3</v>
      </c>
      <c r="F98" s="211" t="str">
        <f>F4</f>
        <v>Revitalizace veřejného prostoru v proluce mezi ZUŠ a domem čp. 23 vč. přilehlých prostor ul. Radniční</v>
      </c>
      <c r="G98" s="212"/>
      <c r="H98" s="212"/>
      <c r="I98" s="212"/>
      <c r="J98" s="212"/>
      <c r="K98" s="212"/>
      <c r="L98" s="212"/>
      <c r="M98" s="212"/>
      <c r="N98" s="212"/>
      <c r="O98" s="212"/>
      <c r="P98" s="212"/>
      <c r="R98" s="210"/>
    </row>
    <row r="99" spans="2:20" ht="15.6">
      <c r="B99" s="209"/>
      <c r="C99" s="135" t="s">
        <v>39</v>
      </c>
      <c r="F99" s="109" t="str">
        <f>F5</f>
        <v>SO.09 sadové úpravy</v>
      </c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R99" s="210"/>
    </row>
    <row r="100" spans="2:20">
      <c r="B100" s="209"/>
      <c r="J100" s="26"/>
      <c r="R100" s="210"/>
    </row>
    <row r="101" spans="2:20" ht="11.4">
      <c r="B101" s="209"/>
      <c r="C101" s="140" t="s">
        <v>6</v>
      </c>
      <c r="F101" s="145" t="str">
        <f>F7</f>
        <v>Radniční ul. Bílina
p.č. 107, 120/1, 122, 125/1, 125/2, 125/3, 126, k.ú. Bílina [604208]</v>
      </c>
      <c r="J101" s="26"/>
      <c r="K101" s="140" t="s">
        <v>7</v>
      </c>
      <c r="M101" s="166">
        <f>IF(O7="","",O7)</f>
        <v>0</v>
      </c>
      <c r="N101" s="166"/>
      <c r="O101" s="166"/>
      <c r="P101" s="166"/>
      <c r="R101" s="210"/>
    </row>
    <row r="102" spans="2:20">
      <c r="B102" s="209"/>
      <c r="J102" s="26"/>
      <c r="R102" s="210"/>
    </row>
    <row r="103" spans="2:20" ht="48.75" customHeight="1">
      <c r="B103" s="209"/>
      <c r="C103" s="140" t="s">
        <v>8</v>
      </c>
      <c r="F103" s="127" t="str">
        <f>F80</f>
        <v>město Bílina
Břežanská 50/4, 418 31 Bílina</v>
      </c>
      <c r="G103" s="127"/>
      <c r="H103" s="127"/>
      <c r="I103" s="127"/>
      <c r="J103" s="127"/>
      <c r="K103" s="140" t="s">
        <v>13</v>
      </c>
      <c r="M103" s="136" t="str">
        <f>E16</f>
        <v xml:space="preserve">Ing. arch. MgA. Bořek Peška </v>
      </c>
      <c r="N103" s="136"/>
      <c r="O103" s="136"/>
      <c r="P103" s="136"/>
      <c r="Q103" s="136"/>
      <c r="R103" s="210"/>
    </row>
    <row r="104" spans="2:20" ht="11.4">
      <c r="B104" s="209"/>
      <c r="C104" s="140" t="s">
        <v>11</v>
      </c>
      <c r="F104" s="145">
        <f>F81</f>
        <v>0</v>
      </c>
      <c r="J104" s="26"/>
      <c r="K104" s="140" t="s">
        <v>14</v>
      </c>
      <c r="M104" s="136" t="str">
        <f>E19</f>
        <v>Jakub Kulhavý</v>
      </c>
      <c r="N104" s="136"/>
      <c r="O104" s="136"/>
      <c r="P104" s="136"/>
      <c r="Q104" s="136"/>
      <c r="R104" s="210"/>
    </row>
    <row r="105" spans="2:20" ht="11.4">
      <c r="B105" s="209"/>
      <c r="C105" s="140"/>
      <c r="F105" s="211"/>
      <c r="G105" s="212"/>
      <c r="H105" s="212"/>
      <c r="I105" s="212"/>
      <c r="J105" s="212"/>
      <c r="K105" s="212"/>
      <c r="L105" s="212"/>
      <c r="M105" s="212"/>
      <c r="N105" s="212"/>
      <c r="O105" s="212"/>
      <c r="P105" s="212"/>
      <c r="R105" s="210"/>
    </row>
    <row r="106" spans="2:20" ht="28.5" customHeight="1">
      <c r="B106" s="209"/>
      <c r="C106" s="140" t="s">
        <v>67</v>
      </c>
      <c r="F106" s="139" t="s">
        <v>103</v>
      </c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R106" s="210"/>
    </row>
    <row r="107" spans="2:20" ht="3.75" customHeight="1">
      <c r="B107" s="209"/>
      <c r="J107" s="26"/>
      <c r="R107" s="210"/>
    </row>
    <row r="108" spans="2:20" s="258" customFormat="1" ht="22.8">
      <c r="B108" s="251"/>
      <c r="C108" s="252" t="s">
        <v>46</v>
      </c>
      <c r="D108" s="253" t="s">
        <v>47</v>
      </c>
      <c r="E108" s="253" t="s">
        <v>34</v>
      </c>
      <c r="F108" s="254" t="s">
        <v>48</v>
      </c>
      <c r="G108" s="254"/>
      <c r="H108" s="254"/>
      <c r="I108" s="254"/>
      <c r="J108" s="34" t="s">
        <v>49</v>
      </c>
      <c r="K108" s="253" t="s">
        <v>50</v>
      </c>
      <c r="L108" s="255" t="s">
        <v>51</v>
      </c>
      <c r="M108" s="255"/>
      <c r="N108" s="254" t="s">
        <v>43</v>
      </c>
      <c r="O108" s="254"/>
      <c r="P108" s="254"/>
      <c r="Q108" s="256"/>
      <c r="R108" s="257"/>
      <c r="T108" s="24"/>
    </row>
    <row r="109" spans="2:20" ht="15.6">
      <c r="B109" s="209"/>
      <c r="C109" s="176" t="s">
        <v>40</v>
      </c>
      <c r="J109" s="26"/>
      <c r="N109" s="260">
        <f>N110</f>
        <v>0</v>
      </c>
      <c r="O109" s="261"/>
      <c r="P109" s="261"/>
      <c r="Q109" s="261"/>
      <c r="R109" s="210"/>
      <c r="T109" s="22" t="e">
        <f>T110+#REF!</f>
        <v>#REF!</v>
      </c>
    </row>
    <row r="110" spans="2:20" s="266" customFormat="1" ht="15">
      <c r="B110" s="262"/>
      <c r="D110" s="349" t="s">
        <v>191</v>
      </c>
      <c r="E110" s="349"/>
      <c r="F110" s="349"/>
      <c r="G110" s="349"/>
      <c r="H110" s="349"/>
      <c r="I110" s="349"/>
      <c r="J110" s="35"/>
      <c r="K110" s="349"/>
      <c r="L110" s="349"/>
      <c r="M110" s="349"/>
      <c r="N110" s="350">
        <f>N112+N168</f>
        <v>0</v>
      </c>
      <c r="O110" s="350"/>
      <c r="P110" s="350"/>
      <c r="Q110" s="350"/>
      <c r="R110" s="265"/>
      <c r="T110" s="25">
        <f>SUM(N110:Q169)/3</f>
        <v>0</v>
      </c>
    </row>
    <row r="111" spans="2:20" s="354" customFormat="1" ht="24.6" customHeight="1">
      <c r="B111" s="353"/>
      <c r="E111" s="355" t="s">
        <v>756</v>
      </c>
      <c r="F111" s="355"/>
      <c r="G111" s="355"/>
      <c r="H111" s="355"/>
      <c r="I111" s="355"/>
      <c r="J111" s="355"/>
      <c r="K111" s="355"/>
      <c r="R111" s="356"/>
      <c r="T111" s="52"/>
    </row>
    <row r="112" spans="2:20" s="266" customFormat="1" ht="13.2">
      <c r="B112" s="262"/>
      <c r="C112" s="263"/>
      <c r="D112" s="263" t="s">
        <v>663</v>
      </c>
      <c r="E112" s="263"/>
      <c r="F112" s="263"/>
      <c r="G112" s="263"/>
      <c r="H112" s="263"/>
      <c r="I112" s="263"/>
      <c r="J112" s="36"/>
      <c r="K112" s="357">
        <f>K152</f>
        <v>167</v>
      </c>
      <c r="L112" s="155"/>
      <c r="M112" s="155"/>
      <c r="N112" s="264">
        <f>SUM(N114:Q166)</f>
        <v>0</v>
      </c>
      <c r="O112" s="264"/>
      <c r="P112" s="264"/>
      <c r="Q112" s="264"/>
      <c r="R112" s="265"/>
      <c r="T112" s="37">
        <f>SUM(N112:Q166)/2</f>
        <v>0</v>
      </c>
    </row>
    <row r="113" spans="2:28" s="354" customFormat="1" outlineLevel="1">
      <c r="B113" s="353"/>
      <c r="E113" s="358"/>
      <c r="F113" s="358"/>
      <c r="G113" s="358"/>
      <c r="H113" s="358"/>
      <c r="I113" s="358"/>
      <c r="J113" s="358"/>
      <c r="K113" s="358"/>
      <c r="L113" s="156"/>
      <c r="M113" s="156"/>
      <c r="R113" s="356"/>
      <c r="T113" s="52"/>
    </row>
    <row r="114" spans="2:28" s="275" customFormat="1" outlineLevel="1">
      <c r="B114" s="267"/>
      <c r="C114" s="268"/>
      <c r="D114" s="268"/>
      <c r="E114" s="269" t="s">
        <v>643</v>
      </c>
      <c r="F114" s="270"/>
      <c r="G114" s="270"/>
      <c r="H114" s="270"/>
      <c r="I114" s="271"/>
      <c r="J114" s="49"/>
      <c r="K114" s="272"/>
      <c r="L114" s="92"/>
      <c r="M114" s="92"/>
      <c r="N114" s="273"/>
      <c r="O114" s="273"/>
      <c r="P114" s="273"/>
      <c r="Q114" s="273"/>
      <c r="R114" s="274"/>
      <c r="T114" s="48"/>
    </row>
    <row r="115" spans="2:28" ht="27" customHeight="1" outlineLevel="1">
      <c r="B115" s="209"/>
      <c r="C115" s="277">
        <v>1</v>
      </c>
      <c r="D115" s="277" t="s">
        <v>52</v>
      </c>
      <c r="E115" s="278">
        <v>183111211</v>
      </c>
      <c r="F115" s="279" t="s">
        <v>631</v>
      </c>
      <c r="G115" s="279"/>
      <c r="H115" s="279"/>
      <c r="I115" s="279"/>
      <c r="J115" s="38" t="s">
        <v>57</v>
      </c>
      <c r="K115" s="281">
        <f>SUM(K116:K116)</f>
        <v>461</v>
      </c>
      <c r="L115" s="91"/>
      <c r="M115" s="91"/>
      <c r="N115" s="280">
        <f>ROUND(L115*K115,2)</f>
        <v>0</v>
      </c>
      <c r="O115" s="280"/>
      <c r="P115" s="280"/>
      <c r="Q115" s="280"/>
      <c r="R115" s="210"/>
      <c r="T115" s="25"/>
    </row>
    <row r="116" spans="2:28" s="360" customFormat="1" outlineLevel="1">
      <c r="B116" s="359"/>
      <c r="E116" s="361" t="s">
        <v>630</v>
      </c>
      <c r="F116" s="362"/>
      <c r="G116" s="363"/>
      <c r="H116" s="363"/>
      <c r="I116" s="363"/>
      <c r="J116" s="50"/>
      <c r="K116" s="364">
        <f>K125</f>
        <v>461</v>
      </c>
      <c r="L116" s="157"/>
      <c r="M116" s="157"/>
      <c r="R116" s="365"/>
      <c r="T116" s="51"/>
    </row>
    <row r="117" spans="2:28" ht="27" customHeight="1" outlineLevel="1">
      <c r="B117" s="209"/>
      <c r="C117" s="277">
        <f>C115+1</f>
        <v>2</v>
      </c>
      <c r="D117" s="277" t="s">
        <v>52</v>
      </c>
      <c r="E117" s="278">
        <v>183111213</v>
      </c>
      <c r="F117" s="279" t="s">
        <v>594</v>
      </c>
      <c r="G117" s="279"/>
      <c r="H117" s="279"/>
      <c r="I117" s="279"/>
      <c r="J117" s="38" t="s">
        <v>57</v>
      </c>
      <c r="K117" s="281">
        <f>SUM(K118:K118)</f>
        <v>386</v>
      </c>
      <c r="L117" s="91"/>
      <c r="M117" s="91"/>
      <c r="N117" s="280">
        <f>ROUND(L117*K117,2)</f>
        <v>0</v>
      </c>
      <c r="O117" s="280"/>
      <c r="P117" s="280"/>
      <c r="Q117" s="280"/>
      <c r="R117" s="210"/>
      <c r="T117" s="25"/>
    </row>
    <row r="118" spans="2:28" s="360" customFormat="1" outlineLevel="1">
      <c r="B118" s="359"/>
      <c r="E118" s="361" t="s">
        <v>595</v>
      </c>
      <c r="F118" s="362"/>
      <c r="G118" s="363"/>
      <c r="H118" s="363"/>
      <c r="I118" s="363"/>
      <c r="J118" s="50"/>
      <c r="K118" s="364">
        <f>K133</f>
        <v>386</v>
      </c>
      <c r="L118" s="157"/>
      <c r="M118" s="157"/>
      <c r="R118" s="365"/>
      <c r="T118" s="51"/>
    </row>
    <row r="119" spans="2:28" ht="27" customHeight="1" outlineLevel="1">
      <c r="B119" s="209"/>
      <c r="C119" s="277">
        <f>C117+1</f>
        <v>3</v>
      </c>
      <c r="D119" s="277" t="s">
        <v>52</v>
      </c>
      <c r="E119" s="278">
        <v>183101215</v>
      </c>
      <c r="F119" s="279" t="s">
        <v>596</v>
      </c>
      <c r="G119" s="279"/>
      <c r="H119" s="279"/>
      <c r="I119" s="279"/>
      <c r="J119" s="38" t="s">
        <v>57</v>
      </c>
      <c r="K119" s="281">
        <f>SUM(K120:K120)</f>
        <v>5</v>
      </c>
      <c r="L119" s="91"/>
      <c r="M119" s="91"/>
      <c r="N119" s="280">
        <f>ROUND(L119*K119,2)</f>
        <v>0</v>
      </c>
      <c r="O119" s="280"/>
      <c r="P119" s="280"/>
      <c r="Q119" s="280"/>
      <c r="R119" s="210"/>
      <c r="T119" s="25"/>
    </row>
    <row r="120" spans="2:28" s="360" customFormat="1" outlineLevel="1">
      <c r="B120" s="359"/>
      <c r="E120" s="361" t="s">
        <v>597</v>
      </c>
      <c r="F120" s="362"/>
      <c r="G120" s="363"/>
      <c r="H120" s="363"/>
      <c r="I120" s="363"/>
      <c r="J120" s="50"/>
      <c r="K120" s="364">
        <f>K140</f>
        <v>5</v>
      </c>
      <c r="L120" s="157"/>
      <c r="M120" s="157"/>
      <c r="R120" s="365"/>
      <c r="T120" s="51"/>
      <c r="U120" s="22"/>
      <c r="V120" s="22"/>
      <c r="W120" s="366"/>
      <c r="X120" s="141"/>
      <c r="Y120" s="141"/>
      <c r="Z120" s="141"/>
      <c r="AB120" s="141"/>
    </row>
    <row r="121" spans="2:28" ht="11.25" customHeight="1" outlineLevel="1">
      <c r="B121" s="209"/>
      <c r="C121" s="367">
        <f>C119+1</f>
        <v>4</v>
      </c>
      <c r="D121" s="367" t="s">
        <v>52</v>
      </c>
      <c r="E121" s="368">
        <v>10321100</v>
      </c>
      <c r="F121" s="369" t="s">
        <v>598</v>
      </c>
      <c r="G121" s="369"/>
      <c r="H121" s="369"/>
      <c r="I121" s="369"/>
      <c r="J121" s="39" t="s">
        <v>54</v>
      </c>
      <c r="K121" s="370">
        <f>SUM(K122:K124)</f>
        <v>3.391</v>
      </c>
      <c r="L121" s="96"/>
      <c r="M121" s="96"/>
      <c r="N121" s="371">
        <f>ROUND(L121*K121,2)</f>
        <v>0</v>
      </c>
      <c r="O121" s="280"/>
      <c r="P121" s="280"/>
      <c r="Q121" s="280"/>
      <c r="R121" s="210"/>
      <c r="T121" s="25"/>
    </row>
    <row r="122" spans="2:28" s="360" customFormat="1" outlineLevel="1">
      <c r="B122" s="359"/>
      <c r="E122" s="361" t="s">
        <v>632</v>
      </c>
      <c r="F122" s="362"/>
      <c r="G122" s="363"/>
      <c r="H122" s="363"/>
      <c r="I122" s="363"/>
      <c r="J122" s="50">
        <f>0.002*0.5</f>
        <v>1E-3</v>
      </c>
      <c r="K122" s="364">
        <f>K116*J122</f>
        <v>0.46100000000000002</v>
      </c>
      <c r="L122" s="157"/>
      <c r="M122" s="157"/>
      <c r="R122" s="365"/>
      <c r="T122" s="51"/>
      <c r="U122" s="22"/>
      <c r="V122" s="22"/>
      <c r="W122" s="366"/>
      <c r="X122" s="141"/>
      <c r="Y122" s="141"/>
      <c r="Z122" s="141"/>
      <c r="AB122" s="141"/>
    </row>
    <row r="123" spans="2:28" s="360" customFormat="1" outlineLevel="1">
      <c r="B123" s="359"/>
      <c r="E123" s="361" t="s">
        <v>599</v>
      </c>
      <c r="F123" s="362"/>
      <c r="G123" s="363"/>
      <c r="H123" s="363"/>
      <c r="I123" s="363"/>
      <c r="J123" s="50">
        <f>0.01*0.5</f>
        <v>5.0000000000000001E-3</v>
      </c>
      <c r="K123" s="364">
        <f>K117*J123</f>
        <v>1.93</v>
      </c>
      <c r="L123" s="157"/>
      <c r="M123" s="157"/>
      <c r="R123" s="365"/>
      <c r="T123" s="51"/>
      <c r="U123" s="22"/>
      <c r="V123" s="22"/>
      <c r="W123" s="366"/>
      <c r="X123" s="141"/>
      <c r="Y123" s="141"/>
      <c r="Z123" s="141"/>
      <c r="AB123" s="141"/>
    </row>
    <row r="124" spans="2:28" s="360" customFormat="1" outlineLevel="1">
      <c r="B124" s="359"/>
      <c r="E124" s="361" t="s">
        <v>600</v>
      </c>
      <c r="F124" s="362"/>
      <c r="G124" s="363"/>
      <c r="H124" s="363"/>
      <c r="I124" s="363"/>
      <c r="J124" s="50">
        <f>0.4*0.5</f>
        <v>0.2</v>
      </c>
      <c r="K124" s="364">
        <f>K119*J124</f>
        <v>1</v>
      </c>
      <c r="L124" s="157"/>
      <c r="M124" s="157"/>
      <c r="R124" s="365"/>
      <c r="T124" s="51"/>
      <c r="U124" s="22"/>
      <c r="V124" s="22"/>
      <c r="W124" s="366"/>
      <c r="X124" s="141"/>
      <c r="Y124" s="141"/>
      <c r="Z124" s="141"/>
      <c r="AB124" s="141"/>
    </row>
    <row r="125" spans="2:28" outlineLevel="1">
      <c r="B125" s="209"/>
      <c r="C125" s="277">
        <f>C121+1</f>
        <v>5</v>
      </c>
      <c r="D125" s="277" t="s">
        <v>52</v>
      </c>
      <c r="E125" s="278">
        <v>184102110</v>
      </c>
      <c r="F125" s="279" t="s">
        <v>633</v>
      </c>
      <c r="G125" s="279"/>
      <c r="H125" s="279"/>
      <c r="I125" s="279"/>
      <c r="J125" s="38" t="s">
        <v>57</v>
      </c>
      <c r="K125" s="281">
        <f>SUM(K126:K132)</f>
        <v>461</v>
      </c>
      <c r="L125" s="91"/>
      <c r="M125" s="91"/>
      <c r="N125" s="280">
        <f>ROUND(L125*K125,2)</f>
        <v>0</v>
      </c>
      <c r="O125" s="280"/>
      <c r="P125" s="280"/>
      <c r="Q125" s="280"/>
      <c r="R125" s="210"/>
      <c r="T125" s="25"/>
    </row>
    <row r="126" spans="2:28" s="360" customFormat="1" outlineLevel="1">
      <c r="B126" s="359"/>
      <c r="E126" s="361" t="s">
        <v>634</v>
      </c>
      <c r="F126" s="362" t="s">
        <v>619</v>
      </c>
      <c r="G126" s="363"/>
      <c r="H126" s="363"/>
      <c r="I126" s="363"/>
      <c r="J126" s="50"/>
      <c r="K126" s="364">
        <v>45</v>
      </c>
      <c r="L126" s="157"/>
      <c r="M126" s="157"/>
      <c r="R126" s="365"/>
      <c r="T126" s="51"/>
      <c r="U126" s="22"/>
      <c r="V126" s="22"/>
      <c r="W126" s="366"/>
      <c r="X126" s="141"/>
      <c r="Y126" s="141"/>
      <c r="Z126" s="141"/>
      <c r="AB126" s="141"/>
    </row>
    <row r="127" spans="2:28" s="360" customFormat="1" outlineLevel="1">
      <c r="B127" s="359"/>
      <c r="E127" s="361" t="s">
        <v>634</v>
      </c>
      <c r="F127" s="362" t="s">
        <v>620</v>
      </c>
      <c r="G127" s="363"/>
      <c r="H127" s="363"/>
      <c r="I127" s="363"/>
      <c r="J127" s="50"/>
      <c r="K127" s="364">
        <v>234</v>
      </c>
      <c r="L127" s="157"/>
      <c r="M127" s="157"/>
      <c r="R127" s="365"/>
      <c r="T127" s="51"/>
      <c r="U127" s="22"/>
      <c r="V127" s="22"/>
      <c r="W127" s="366"/>
      <c r="X127" s="141"/>
      <c r="Y127" s="141"/>
      <c r="Z127" s="141"/>
      <c r="AB127" s="141"/>
    </row>
    <row r="128" spans="2:28" s="360" customFormat="1" outlineLevel="1">
      <c r="B128" s="359"/>
      <c r="E128" s="361" t="s">
        <v>634</v>
      </c>
      <c r="F128" s="362" t="s">
        <v>635</v>
      </c>
      <c r="G128" s="363"/>
      <c r="H128" s="363"/>
      <c r="I128" s="363"/>
      <c r="J128" s="50"/>
      <c r="K128" s="364">
        <v>18</v>
      </c>
      <c r="L128" s="157"/>
      <c r="M128" s="157"/>
      <c r="R128" s="365"/>
      <c r="T128" s="51"/>
      <c r="U128" s="22"/>
      <c r="V128" s="22"/>
      <c r="W128" s="366"/>
      <c r="X128" s="141"/>
      <c r="Y128" s="141"/>
      <c r="Z128" s="141"/>
      <c r="AB128" s="141"/>
    </row>
    <row r="129" spans="2:28" s="360" customFormat="1" outlineLevel="1">
      <c r="B129" s="359"/>
      <c r="E129" s="361" t="s">
        <v>634</v>
      </c>
      <c r="F129" s="362" t="s">
        <v>636</v>
      </c>
      <c r="G129" s="363"/>
      <c r="H129" s="363"/>
      <c r="I129" s="363"/>
      <c r="J129" s="50"/>
      <c r="K129" s="364">
        <v>14</v>
      </c>
      <c r="L129" s="157"/>
      <c r="M129" s="157"/>
      <c r="R129" s="365"/>
      <c r="T129" s="51"/>
      <c r="U129" s="22"/>
      <c r="V129" s="22"/>
      <c r="W129" s="366"/>
      <c r="X129" s="141"/>
      <c r="Y129" s="141"/>
      <c r="Z129" s="141"/>
      <c r="AB129" s="141"/>
    </row>
    <row r="130" spans="2:28" s="360" customFormat="1" outlineLevel="1">
      <c r="B130" s="359"/>
      <c r="E130" s="361" t="s">
        <v>638</v>
      </c>
      <c r="F130" s="362" t="s">
        <v>639</v>
      </c>
      <c r="G130" s="363"/>
      <c r="H130" s="363"/>
      <c r="I130" s="363"/>
      <c r="J130" s="50"/>
      <c r="K130" s="364">
        <v>53</v>
      </c>
      <c r="L130" s="157"/>
      <c r="M130" s="157"/>
      <c r="R130" s="365"/>
      <c r="T130" s="51"/>
      <c r="U130" s="22"/>
      <c r="V130" s="22"/>
      <c r="W130" s="366"/>
      <c r="X130" s="141"/>
      <c r="Y130" s="141"/>
      <c r="Z130" s="141"/>
      <c r="AB130" s="141"/>
    </row>
    <row r="131" spans="2:28" s="360" customFormat="1" outlineLevel="1">
      <c r="B131" s="359"/>
      <c r="E131" s="361" t="s">
        <v>638</v>
      </c>
      <c r="F131" s="362" t="s">
        <v>636</v>
      </c>
      <c r="G131" s="363"/>
      <c r="H131" s="363"/>
      <c r="I131" s="363"/>
      <c r="J131" s="50"/>
      <c r="K131" s="364">
        <v>7</v>
      </c>
      <c r="L131" s="157"/>
      <c r="M131" s="157"/>
      <c r="R131" s="365"/>
      <c r="T131" s="51"/>
      <c r="U131" s="22"/>
      <c r="V131" s="22"/>
      <c r="W131" s="366"/>
      <c r="X131" s="141"/>
      <c r="Y131" s="141"/>
      <c r="Z131" s="141"/>
      <c r="AB131" s="141"/>
    </row>
    <row r="132" spans="2:28" s="360" customFormat="1" ht="20.399999999999999" outlineLevel="1">
      <c r="B132" s="359"/>
      <c r="E132" s="361" t="s">
        <v>641</v>
      </c>
      <c r="F132" s="362" t="s">
        <v>635</v>
      </c>
      <c r="G132" s="363"/>
      <c r="H132" s="363"/>
      <c r="I132" s="363"/>
      <c r="J132" s="50"/>
      <c r="K132" s="364">
        <v>90</v>
      </c>
      <c r="L132" s="157"/>
      <c r="M132" s="157"/>
      <c r="R132" s="365"/>
      <c r="T132" s="51"/>
      <c r="U132" s="22"/>
      <c r="V132" s="22"/>
      <c r="W132" s="366"/>
      <c r="X132" s="141"/>
      <c r="Y132" s="141"/>
      <c r="Z132" s="141"/>
      <c r="AB132" s="141"/>
    </row>
    <row r="133" spans="2:28" ht="27" customHeight="1" outlineLevel="1">
      <c r="B133" s="209"/>
      <c r="C133" s="277">
        <f>C125+1</f>
        <v>6</v>
      </c>
      <c r="D133" s="277" t="s">
        <v>52</v>
      </c>
      <c r="E133" s="278">
        <v>184102111</v>
      </c>
      <c r="F133" s="279" t="s">
        <v>601</v>
      </c>
      <c r="G133" s="279"/>
      <c r="H133" s="279"/>
      <c r="I133" s="279"/>
      <c r="J133" s="38" t="s">
        <v>57</v>
      </c>
      <c r="K133" s="281">
        <f>SUM(K134:K139)</f>
        <v>386</v>
      </c>
      <c r="L133" s="91"/>
      <c r="M133" s="91"/>
      <c r="N133" s="280">
        <f>ROUND(L133*K133,2)</f>
        <v>0</v>
      </c>
      <c r="O133" s="280"/>
      <c r="P133" s="280"/>
      <c r="Q133" s="280"/>
      <c r="R133" s="210"/>
      <c r="T133" s="25"/>
    </row>
    <row r="134" spans="2:28" s="360" customFormat="1" outlineLevel="1">
      <c r="B134" s="359"/>
      <c r="E134" s="361" t="s">
        <v>603</v>
      </c>
      <c r="F134" s="362" t="s">
        <v>604</v>
      </c>
      <c r="G134" s="363"/>
      <c r="H134" s="363"/>
      <c r="I134" s="363"/>
      <c r="J134" s="50"/>
      <c r="K134" s="364">
        <v>66</v>
      </c>
      <c r="L134" s="157"/>
      <c r="M134" s="157"/>
      <c r="R134" s="365"/>
      <c r="T134" s="51"/>
      <c r="U134" s="22"/>
      <c r="V134" s="22"/>
      <c r="W134" s="366"/>
      <c r="X134" s="141"/>
      <c r="Y134" s="141"/>
      <c r="Z134" s="141"/>
      <c r="AB134" s="141"/>
    </row>
    <row r="135" spans="2:28" s="360" customFormat="1" outlineLevel="1">
      <c r="B135" s="359"/>
      <c r="E135" s="361" t="s">
        <v>603</v>
      </c>
      <c r="F135" s="362" t="s">
        <v>605</v>
      </c>
      <c r="G135" s="363"/>
      <c r="H135" s="363"/>
      <c r="I135" s="363"/>
      <c r="J135" s="50"/>
      <c r="K135" s="364">
        <v>68</v>
      </c>
      <c r="L135" s="157"/>
      <c r="M135" s="157"/>
      <c r="R135" s="365"/>
      <c r="T135" s="51"/>
      <c r="U135" s="22"/>
      <c r="V135" s="22"/>
      <c r="W135" s="366"/>
      <c r="X135" s="141"/>
      <c r="Y135" s="141"/>
      <c r="Z135" s="141"/>
      <c r="AB135" s="141"/>
    </row>
    <row r="136" spans="2:28" s="360" customFormat="1" ht="20.399999999999999" outlineLevel="1">
      <c r="B136" s="359"/>
      <c r="E136" s="361" t="s">
        <v>618</v>
      </c>
      <c r="F136" s="362" t="s">
        <v>619</v>
      </c>
      <c r="G136" s="363"/>
      <c r="H136" s="363"/>
      <c r="I136" s="363"/>
      <c r="J136" s="50"/>
      <c r="K136" s="364">
        <v>24</v>
      </c>
      <c r="L136" s="157"/>
      <c r="M136" s="157"/>
      <c r="R136" s="365"/>
      <c r="T136" s="51"/>
      <c r="U136" s="22"/>
      <c r="V136" s="22"/>
      <c r="W136" s="366"/>
      <c r="X136" s="141"/>
      <c r="Y136" s="141"/>
      <c r="Z136" s="141"/>
      <c r="AB136" s="141"/>
    </row>
    <row r="137" spans="2:28" s="360" customFormat="1" ht="20.399999999999999" outlineLevel="1">
      <c r="B137" s="359"/>
      <c r="E137" s="361" t="s">
        <v>618</v>
      </c>
      <c r="F137" s="362" t="s">
        <v>620</v>
      </c>
      <c r="G137" s="363"/>
      <c r="H137" s="363"/>
      <c r="I137" s="363"/>
      <c r="J137" s="50"/>
      <c r="K137" s="364">
        <v>41</v>
      </c>
      <c r="L137" s="157"/>
      <c r="M137" s="157"/>
      <c r="R137" s="365"/>
      <c r="T137" s="51"/>
      <c r="U137" s="22"/>
      <c r="V137" s="22"/>
      <c r="W137" s="366"/>
      <c r="X137" s="141"/>
      <c r="Y137" s="141"/>
      <c r="Z137" s="141"/>
      <c r="AB137" s="141"/>
    </row>
    <row r="138" spans="2:28" s="360" customFormat="1" outlineLevel="1">
      <c r="B138" s="359"/>
      <c r="E138" s="361" t="s">
        <v>621</v>
      </c>
      <c r="F138" s="362" t="s">
        <v>622</v>
      </c>
      <c r="G138" s="363"/>
      <c r="H138" s="363"/>
      <c r="I138" s="363"/>
      <c r="J138" s="50"/>
      <c r="K138" s="364">
        <v>185</v>
      </c>
      <c r="L138" s="157"/>
      <c r="M138" s="157"/>
      <c r="R138" s="365"/>
      <c r="T138" s="51"/>
      <c r="U138" s="22"/>
      <c r="V138" s="22"/>
      <c r="W138" s="366"/>
      <c r="X138" s="141"/>
      <c r="Y138" s="141"/>
      <c r="Z138" s="141"/>
      <c r="AB138" s="141"/>
    </row>
    <row r="139" spans="2:28" s="360" customFormat="1" outlineLevel="1">
      <c r="B139" s="359"/>
      <c r="E139" s="361" t="s">
        <v>623</v>
      </c>
      <c r="F139" s="362" t="s">
        <v>620</v>
      </c>
      <c r="G139" s="363"/>
      <c r="H139" s="363"/>
      <c r="I139" s="363"/>
      <c r="J139" s="50"/>
      <c r="K139" s="364">
        <v>2</v>
      </c>
      <c r="L139" s="157"/>
      <c r="M139" s="157"/>
      <c r="R139" s="365"/>
      <c r="T139" s="51"/>
      <c r="U139" s="22"/>
      <c r="V139" s="22"/>
      <c r="W139" s="366"/>
      <c r="X139" s="141"/>
      <c r="Y139" s="141"/>
      <c r="Z139" s="141"/>
      <c r="AB139" s="141"/>
    </row>
    <row r="140" spans="2:28" ht="27" customHeight="1" outlineLevel="1">
      <c r="B140" s="209"/>
      <c r="C140" s="277">
        <f>C133+1</f>
        <v>7</v>
      </c>
      <c r="D140" s="277" t="s">
        <v>52</v>
      </c>
      <c r="E140" s="278">
        <v>184102117</v>
      </c>
      <c r="F140" s="279" t="s">
        <v>602</v>
      </c>
      <c r="G140" s="279"/>
      <c r="H140" s="279"/>
      <c r="I140" s="279"/>
      <c r="J140" s="38" t="s">
        <v>57</v>
      </c>
      <c r="K140" s="281">
        <f>SUM(K141:K141)</f>
        <v>5</v>
      </c>
      <c r="L140" s="91"/>
      <c r="M140" s="91"/>
      <c r="N140" s="280">
        <f>ROUND(L140*K140,2)</f>
        <v>0</v>
      </c>
      <c r="O140" s="280"/>
      <c r="P140" s="280"/>
      <c r="Q140" s="280"/>
      <c r="R140" s="210"/>
      <c r="T140" s="25"/>
    </row>
    <row r="141" spans="2:28" s="360" customFormat="1" outlineLevel="1">
      <c r="B141" s="359"/>
      <c r="E141" s="361" t="s">
        <v>606</v>
      </c>
      <c r="F141" s="362" t="s">
        <v>607</v>
      </c>
      <c r="G141" s="363">
        <f t="shared" ref="G141:I141" si="1">(1*0.6*(0.4+0.8))</f>
        <v>0.72000000000000008</v>
      </c>
      <c r="H141" s="363">
        <f t="shared" si="1"/>
        <v>0.72000000000000008</v>
      </c>
      <c r="I141" s="363">
        <f t="shared" si="1"/>
        <v>0.72000000000000008</v>
      </c>
      <c r="J141" s="50"/>
      <c r="K141" s="364">
        <v>5</v>
      </c>
      <c r="L141" s="157"/>
      <c r="M141" s="157"/>
      <c r="R141" s="365"/>
      <c r="T141" s="51"/>
      <c r="U141" s="22"/>
      <c r="V141" s="22"/>
      <c r="W141" s="366"/>
      <c r="X141" s="141"/>
      <c r="Y141" s="141"/>
      <c r="Z141" s="141"/>
      <c r="AB141" s="141"/>
    </row>
    <row r="142" spans="2:28" ht="11.25" customHeight="1" outlineLevel="1">
      <c r="B142" s="209"/>
      <c r="C142" s="367">
        <f>C140+1</f>
        <v>8</v>
      </c>
      <c r="D142" s="367" t="s">
        <v>59</v>
      </c>
      <c r="E142" s="368" t="s">
        <v>608</v>
      </c>
      <c r="F142" s="369" t="s">
        <v>637</v>
      </c>
      <c r="G142" s="369"/>
      <c r="H142" s="369"/>
      <c r="I142" s="369"/>
      <c r="J142" s="39" t="s">
        <v>57</v>
      </c>
      <c r="K142" s="370">
        <f>SUM(K126:K129)</f>
        <v>311</v>
      </c>
      <c r="L142" s="96"/>
      <c r="M142" s="96"/>
      <c r="N142" s="371">
        <f t="shared" ref="N142:N144" si="2">ROUND(L142*K142,2)</f>
        <v>0</v>
      </c>
      <c r="O142" s="280"/>
      <c r="P142" s="280"/>
      <c r="Q142" s="280"/>
      <c r="R142" s="210"/>
      <c r="T142" s="25"/>
    </row>
    <row r="143" spans="2:28" ht="11.25" customHeight="1" outlineLevel="1">
      <c r="B143" s="209"/>
      <c r="C143" s="367">
        <f t="shared" ref="C143:C149" si="3">C142+1</f>
        <v>9</v>
      </c>
      <c r="D143" s="367" t="s">
        <v>59</v>
      </c>
      <c r="E143" s="368" t="s">
        <v>608</v>
      </c>
      <c r="F143" s="369" t="s">
        <v>640</v>
      </c>
      <c r="G143" s="369"/>
      <c r="H143" s="369"/>
      <c r="I143" s="369"/>
      <c r="J143" s="39" t="s">
        <v>57</v>
      </c>
      <c r="K143" s="370">
        <f>SUM(K130:K131)</f>
        <v>60</v>
      </c>
      <c r="L143" s="96"/>
      <c r="M143" s="96"/>
      <c r="N143" s="371">
        <f t="shared" si="2"/>
        <v>0</v>
      </c>
      <c r="O143" s="280"/>
      <c r="P143" s="280"/>
      <c r="Q143" s="280"/>
      <c r="R143" s="210"/>
      <c r="T143" s="25"/>
    </row>
    <row r="144" spans="2:28" ht="11.25" customHeight="1" outlineLevel="1">
      <c r="B144" s="209"/>
      <c r="C144" s="367">
        <f t="shared" si="3"/>
        <v>10</v>
      </c>
      <c r="D144" s="367" t="s">
        <v>59</v>
      </c>
      <c r="E144" s="368" t="s">
        <v>608</v>
      </c>
      <c r="F144" s="369" t="s">
        <v>642</v>
      </c>
      <c r="G144" s="369"/>
      <c r="H144" s="369"/>
      <c r="I144" s="369"/>
      <c r="J144" s="39" t="s">
        <v>57</v>
      </c>
      <c r="K144" s="370">
        <f>K132</f>
        <v>90</v>
      </c>
      <c r="L144" s="96"/>
      <c r="M144" s="96"/>
      <c r="N144" s="371">
        <f t="shared" si="2"/>
        <v>0</v>
      </c>
      <c r="O144" s="280"/>
      <c r="P144" s="280"/>
      <c r="Q144" s="280"/>
      <c r="R144" s="210"/>
      <c r="T144" s="25"/>
    </row>
    <row r="145" spans="2:20" ht="11.25" customHeight="1" outlineLevel="1">
      <c r="B145" s="209"/>
      <c r="C145" s="367">
        <f t="shared" si="3"/>
        <v>11</v>
      </c>
      <c r="D145" s="367" t="s">
        <v>59</v>
      </c>
      <c r="E145" s="368" t="s">
        <v>608</v>
      </c>
      <c r="F145" s="369" t="s">
        <v>611</v>
      </c>
      <c r="G145" s="369"/>
      <c r="H145" s="369"/>
      <c r="I145" s="369"/>
      <c r="J145" s="39" t="s">
        <v>57</v>
      </c>
      <c r="K145" s="370">
        <f>K134+K135</f>
        <v>134</v>
      </c>
      <c r="L145" s="96"/>
      <c r="M145" s="96"/>
      <c r="N145" s="371">
        <f t="shared" ref="N145:N149" si="4">ROUND(L145*K145,2)</f>
        <v>0</v>
      </c>
      <c r="O145" s="280"/>
      <c r="P145" s="280"/>
      <c r="Q145" s="280"/>
      <c r="R145" s="210"/>
      <c r="T145" s="25"/>
    </row>
    <row r="146" spans="2:20" ht="11.25" customHeight="1" outlineLevel="1">
      <c r="B146" s="209"/>
      <c r="C146" s="367">
        <f t="shared" si="3"/>
        <v>12</v>
      </c>
      <c r="D146" s="367" t="s">
        <v>59</v>
      </c>
      <c r="E146" s="368" t="s">
        <v>609</v>
      </c>
      <c r="F146" s="369" t="s">
        <v>627</v>
      </c>
      <c r="G146" s="369"/>
      <c r="H146" s="369"/>
      <c r="I146" s="369"/>
      <c r="J146" s="39" t="s">
        <v>57</v>
      </c>
      <c r="K146" s="370">
        <f>K136+K137</f>
        <v>65</v>
      </c>
      <c r="L146" s="96"/>
      <c r="M146" s="96"/>
      <c r="N146" s="371">
        <f t="shared" ref="N146:N148" si="5">ROUND(L146*K146,2)</f>
        <v>0</v>
      </c>
      <c r="O146" s="280"/>
      <c r="P146" s="280"/>
      <c r="Q146" s="280"/>
      <c r="R146" s="210"/>
      <c r="T146" s="25"/>
    </row>
    <row r="147" spans="2:20" ht="11.25" customHeight="1" outlineLevel="1">
      <c r="B147" s="209"/>
      <c r="C147" s="367">
        <f t="shared" ref="C147" si="6">C146+1</f>
        <v>13</v>
      </c>
      <c r="D147" s="367" t="s">
        <v>59</v>
      </c>
      <c r="E147" s="368" t="s">
        <v>624</v>
      </c>
      <c r="F147" s="369" t="s">
        <v>628</v>
      </c>
      <c r="G147" s="369"/>
      <c r="H147" s="369"/>
      <c r="I147" s="369"/>
      <c r="J147" s="39" t="s">
        <v>57</v>
      </c>
      <c r="K147" s="370">
        <f>K138</f>
        <v>185</v>
      </c>
      <c r="L147" s="96"/>
      <c r="M147" s="96"/>
      <c r="N147" s="371">
        <f t="shared" si="5"/>
        <v>0</v>
      </c>
      <c r="O147" s="280"/>
      <c r="P147" s="280"/>
      <c r="Q147" s="280"/>
      <c r="R147" s="210"/>
      <c r="T147" s="25"/>
    </row>
    <row r="148" spans="2:20" ht="11.25" customHeight="1" outlineLevel="1">
      <c r="B148" s="209"/>
      <c r="C148" s="367">
        <f t="shared" si="3"/>
        <v>14</v>
      </c>
      <c r="D148" s="367" t="s">
        <v>59</v>
      </c>
      <c r="E148" s="368" t="s">
        <v>625</v>
      </c>
      <c r="F148" s="369" t="s">
        <v>629</v>
      </c>
      <c r="G148" s="369"/>
      <c r="H148" s="369"/>
      <c r="I148" s="369"/>
      <c r="J148" s="39" t="s">
        <v>57</v>
      </c>
      <c r="K148" s="370">
        <f>K139</f>
        <v>2</v>
      </c>
      <c r="L148" s="96"/>
      <c r="M148" s="96"/>
      <c r="N148" s="371">
        <f t="shared" si="5"/>
        <v>0</v>
      </c>
      <c r="O148" s="280"/>
      <c r="P148" s="280"/>
      <c r="Q148" s="280"/>
      <c r="R148" s="210"/>
      <c r="T148" s="25"/>
    </row>
    <row r="149" spans="2:20" ht="11.25" customHeight="1" outlineLevel="1">
      <c r="B149" s="209"/>
      <c r="C149" s="367">
        <f t="shared" si="3"/>
        <v>15</v>
      </c>
      <c r="D149" s="367" t="s">
        <v>59</v>
      </c>
      <c r="E149" s="368" t="s">
        <v>626</v>
      </c>
      <c r="F149" s="369" t="s">
        <v>610</v>
      </c>
      <c r="G149" s="369"/>
      <c r="H149" s="369"/>
      <c r="I149" s="369"/>
      <c r="J149" s="39" t="s">
        <v>57</v>
      </c>
      <c r="K149" s="370">
        <f>K140</f>
        <v>5</v>
      </c>
      <c r="L149" s="96"/>
      <c r="M149" s="96"/>
      <c r="N149" s="371">
        <f t="shared" si="4"/>
        <v>0</v>
      </c>
      <c r="O149" s="280"/>
      <c r="P149" s="280"/>
      <c r="Q149" s="280"/>
      <c r="R149" s="210"/>
      <c r="T149" s="25"/>
    </row>
    <row r="150" spans="2:20" outlineLevel="1">
      <c r="B150" s="209"/>
      <c r="C150" s="277">
        <f>C149+1</f>
        <v>16</v>
      </c>
      <c r="D150" s="277" t="s">
        <v>52</v>
      </c>
      <c r="E150" s="278">
        <v>184801121</v>
      </c>
      <c r="F150" s="279" t="s">
        <v>612</v>
      </c>
      <c r="G150" s="279"/>
      <c r="H150" s="279"/>
      <c r="I150" s="279"/>
      <c r="J150" s="38" t="s">
        <v>57</v>
      </c>
      <c r="K150" s="281">
        <f>K140</f>
        <v>5</v>
      </c>
      <c r="L150" s="91"/>
      <c r="M150" s="91"/>
      <c r="N150" s="280">
        <f>ROUND(L150*K150,2)</f>
        <v>0</v>
      </c>
      <c r="O150" s="280"/>
      <c r="P150" s="280"/>
      <c r="Q150" s="280"/>
      <c r="R150" s="210"/>
      <c r="T150" s="25"/>
    </row>
    <row r="151" spans="2:20" ht="10.199999999999999" customHeight="1" outlineLevel="1">
      <c r="B151" s="209"/>
      <c r="C151" s="277">
        <f>C150+1</f>
        <v>17</v>
      </c>
      <c r="D151" s="277" t="s">
        <v>52</v>
      </c>
      <c r="E151" s="278">
        <v>184215413</v>
      </c>
      <c r="F151" s="279" t="s">
        <v>613</v>
      </c>
      <c r="G151" s="279"/>
      <c r="H151" s="279"/>
      <c r="I151" s="279"/>
      <c r="J151" s="38" t="s">
        <v>57</v>
      </c>
      <c r="K151" s="281">
        <f>K150</f>
        <v>5</v>
      </c>
      <c r="L151" s="91"/>
      <c r="M151" s="91"/>
      <c r="N151" s="280">
        <f>ROUND(L151*K151,2)</f>
        <v>0</v>
      </c>
      <c r="O151" s="280"/>
      <c r="P151" s="280"/>
      <c r="Q151" s="280"/>
      <c r="R151" s="210"/>
      <c r="T151" s="25"/>
    </row>
    <row r="152" spans="2:20" outlineLevel="1">
      <c r="B152" s="209"/>
      <c r="C152" s="277">
        <f>C151+1</f>
        <v>18</v>
      </c>
      <c r="D152" s="277" t="s">
        <v>52</v>
      </c>
      <c r="E152" s="278">
        <v>184911421</v>
      </c>
      <c r="F152" s="279" t="s">
        <v>614</v>
      </c>
      <c r="G152" s="279"/>
      <c r="H152" s="279"/>
      <c r="I152" s="279"/>
      <c r="J152" s="38" t="s">
        <v>53</v>
      </c>
      <c r="K152" s="281">
        <f>SUM(K153:K161)</f>
        <v>167</v>
      </c>
      <c r="L152" s="91"/>
      <c r="M152" s="91"/>
      <c r="N152" s="280">
        <f>ROUND(L152*K152,2)</f>
        <v>0</v>
      </c>
      <c r="O152" s="280"/>
      <c r="P152" s="280"/>
      <c r="Q152" s="280"/>
      <c r="R152" s="210"/>
      <c r="T152" s="25"/>
    </row>
    <row r="153" spans="2:20" s="360" customFormat="1" outlineLevel="1">
      <c r="B153" s="359"/>
      <c r="E153" s="361" t="s">
        <v>615</v>
      </c>
      <c r="F153" s="362" t="s">
        <v>616</v>
      </c>
      <c r="G153" s="363">
        <f t="shared" ref="G153:I153" si="7">7*5</f>
        <v>35</v>
      </c>
      <c r="H153" s="363">
        <f t="shared" si="7"/>
        <v>35</v>
      </c>
      <c r="I153" s="363">
        <f t="shared" si="7"/>
        <v>35</v>
      </c>
      <c r="J153" s="50">
        <v>0.1</v>
      </c>
      <c r="K153" s="364">
        <f>7*5</f>
        <v>35</v>
      </c>
      <c r="L153" s="157"/>
      <c r="M153" s="157"/>
      <c r="R153" s="365"/>
      <c r="T153" s="51"/>
    </row>
    <row r="154" spans="2:20" s="360" customFormat="1" outlineLevel="1">
      <c r="B154" s="359"/>
      <c r="E154" s="361" t="s">
        <v>644</v>
      </c>
      <c r="F154" s="362" t="s">
        <v>652</v>
      </c>
      <c r="G154" s="363">
        <v>5.5</v>
      </c>
      <c r="H154" s="363">
        <v>5.5</v>
      </c>
      <c r="I154" s="363">
        <v>5.5</v>
      </c>
      <c r="J154" s="50">
        <v>0.1</v>
      </c>
      <c r="K154" s="364">
        <v>5.5</v>
      </c>
      <c r="L154" s="157"/>
      <c r="M154" s="157"/>
      <c r="R154" s="365"/>
      <c r="T154" s="51"/>
    </row>
    <row r="155" spans="2:20" s="360" customFormat="1" outlineLevel="1">
      <c r="B155" s="359"/>
      <c r="E155" s="361" t="s">
        <v>645</v>
      </c>
      <c r="F155" s="362" t="s">
        <v>653</v>
      </c>
      <c r="G155" s="363">
        <v>26</v>
      </c>
      <c r="H155" s="363">
        <v>26</v>
      </c>
      <c r="I155" s="363">
        <v>26</v>
      </c>
      <c r="J155" s="50">
        <v>0.1</v>
      </c>
      <c r="K155" s="364">
        <v>26</v>
      </c>
      <c r="L155" s="157"/>
      <c r="M155" s="157"/>
      <c r="R155" s="365"/>
      <c r="T155" s="51"/>
    </row>
    <row r="156" spans="2:20" s="360" customFormat="1" outlineLevel="1">
      <c r="B156" s="359"/>
      <c r="E156" s="361" t="s">
        <v>646</v>
      </c>
      <c r="F156" s="362" t="s">
        <v>654</v>
      </c>
      <c r="G156" s="363">
        <v>6</v>
      </c>
      <c r="H156" s="363">
        <v>6</v>
      </c>
      <c r="I156" s="363">
        <v>6</v>
      </c>
      <c r="J156" s="50">
        <v>0.1</v>
      </c>
      <c r="K156" s="364">
        <v>6</v>
      </c>
      <c r="L156" s="157"/>
      <c r="M156" s="157"/>
      <c r="R156" s="365"/>
      <c r="T156" s="51"/>
    </row>
    <row r="157" spans="2:20" s="360" customFormat="1" outlineLevel="1">
      <c r="B157" s="359"/>
      <c r="E157" s="361" t="s">
        <v>647</v>
      </c>
      <c r="F157" s="362" t="s">
        <v>655</v>
      </c>
      <c r="G157" s="363">
        <v>18</v>
      </c>
      <c r="H157" s="363">
        <v>18</v>
      </c>
      <c r="I157" s="363">
        <v>18</v>
      </c>
      <c r="J157" s="50">
        <v>0.1</v>
      </c>
      <c r="K157" s="364">
        <v>18</v>
      </c>
      <c r="L157" s="157"/>
      <c r="M157" s="157"/>
      <c r="R157" s="365"/>
      <c r="T157" s="51"/>
    </row>
    <row r="158" spans="2:20" s="360" customFormat="1" outlineLevel="1">
      <c r="B158" s="359"/>
      <c r="E158" s="361" t="s">
        <v>648</v>
      </c>
      <c r="F158" s="362" t="s">
        <v>656</v>
      </c>
      <c r="G158" s="363">
        <v>16</v>
      </c>
      <c r="H158" s="363">
        <v>16</v>
      </c>
      <c r="I158" s="363">
        <v>16</v>
      </c>
      <c r="J158" s="50">
        <v>0.1</v>
      </c>
      <c r="K158" s="364">
        <v>16</v>
      </c>
      <c r="L158" s="157"/>
      <c r="M158" s="157"/>
      <c r="R158" s="365"/>
      <c r="T158" s="51"/>
    </row>
    <row r="159" spans="2:20" s="360" customFormat="1" outlineLevel="1">
      <c r="B159" s="359"/>
      <c r="E159" s="361" t="s">
        <v>649</v>
      </c>
      <c r="F159" s="362" t="s">
        <v>657</v>
      </c>
      <c r="G159" s="363">
        <v>37</v>
      </c>
      <c r="H159" s="363">
        <v>37</v>
      </c>
      <c r="I159" s="363">
        <v>37</v>
      </c>
      <c r="J159" s="50">
        <v>0.1</v>
      </c>
      <c r="K159" s="364">
        <v>37</v>
      </c>
      <c r="L159" s="157"/>
      <c r="M159" s="157"/>
      <c r="R159" s="365"/>
      <c r="T159" s="51"/>
    </row>
    <row r="160" spans="2:20" s="360" customFormat="1" outlineLevel="1">
      <c r="B160" s="359"/>
      <c r="E160" s="361" t="s">
        <v>650</v>
      </c>
      <c r="F160" s="362" t="s">
        <v>658</v>
      </c>
      <c r="G160" s="363">
        <v>22</v>
      </c>
      <c r="H160" s="363">
        <v>22</v>
      </c>
      <c r="I160" s="363">
        <v>22</v>
      </c>
      <c r="J160" s="50">
        <v>0.1</v>
      </c>
      <c r="K160" s="364">
        <v>22</v>
      </c>
      <c r="L160" s="157"/>
      <c r="M160" s="157"/>
      <c r="R160" s="365"/>
      <c r="T160" s="51"/>
    </row>
    <row r="161" spans="2:20" s="360" customFormat="1" outlineLevel="1">
      <c r="B161" s="359"/>
      <c r="E161" s="361" t="s">
        <v>651</v>
      </c>
      <c r="F161" s="362" t="s">
        <v>659</v>
      </c>
      <c r="G161" s="363">
        <v>1.5</v>
      </c>
      <c r="H161" s="363">
        <v>1.5</v>
      </c>
      <c r="I161" s="363">
        <v>1.5</v>
      </c>
      <c r="J161" s="50">
        <v>0.1</v>
      </c>
      <c r="K161" s="364">
        <v>1.5</v>
      </c>
      <c r="L161" s="157"/>
      <c r="M161" s="157"/>
      <c r="R161" s="365"/>
      <c r="T161" s="51"/>
    </row>
    <row r="162" spans="2:20" ht="11.25" customHeight="1" outlineLevel="1">
      <c r="B162" s="209"/>
      <c r="C162" s="367">
        <f>C152+1</f>
        <v>19</v>
      </c>
      <c r="D162" s="367" t="s">
        <v>52</v>
      </c>
      <c r="E162" s="368">
        <v>10391100</v>
      </c>
      <c r="F162" s="369" t="s">
        <v>617</v>
      </c>
      <c r="G162" s="369"/>
      <c r="H162" s="369"/>
      <c r="I162" s="369"/>
      <c r="J162" s="39" t="s">
        <v>54</v>
      </c>
      <c r="K162" s="370">
        <f>K152*J153</f>
        <v>16.7</v>
      </c>
      <c r="L162" s="96"/>
      <c r="M162" s="96"/>
      <c r="N162" s="371">
        <f>ROUND(L162*K162,2)</f>
        <v>0</v>
      </c>
      <c r="O162" s="280"/>
      <c r="P162" s="280"/>
      <c r="Q162" s="280"/>
      <c r="R162" s="210"/>
      <c r="T162" s="25"/>
    </row>
    <row r="163" spans="2:20" outlineLevel="1">
      <c r="B163" s="209"/>
      <c r="C163" s="277">
        <f>C162+1</f>
        <v>20</v>
      </c>
      <c r="D163" s="277" t="s">
        <v>52</v>
      </c>
      <c r="E163" s="278">
        <v>185804311</v>
      </c>
      <c r="F163" s="279" t="s">
        <v>660</v>
      </c>
      <c r="G163" s="279"/>
      <c r="H163" s="279"/>
      <c r="I163" s="279"/>
      <c r="J163" s="38" t="s">
        <v>54</v>
      </c>
      <c r="K163" s="281">
        <f>SUM(K164:K164)</f>
        <v>8.35</v>
      </c>
      <c r="L163" s="91"/>
      <c r="M163" s="91"/>
      <c r="N163" s="280">
        <f t="shared" ref="N163" si="8">ROUND(L163*K163,2)</f>
        <v>0</v>
      </c>
      <c r="O163" s="280"/>
      <c r="P163" s="280"/>
      <c r="Q163" s="280"/>
      <c r="R163" s="210"/>
      <c r="T163" s="25"/>
    </row>
    <row r="164" spans="2:20" s="360" customFormat="1" ht="20.399999999999999" outlineLevel="1">
      <c r="B164" s="359"/>
      <c r="E164" s="361" t="s">
        <v>661</v>
      </c>
      <c r="F164" s="362" t="s">
        <v>662</v>
      </c>
      <c r="G164" s="363"/>
      <c r="H164" s="363"/>
      <c r="I164" s="363"/>
      <c r="J164" s="50">
        <f>50/1000</f>
        <v>0.05</v>
      </c>
      <c r="K164" s="364">
        <f>K152*J164</f>
        <v>8.35</v>
      </c>
      <c r="L164" s="157"/>
      <c r="M164" s="157"/>
      <c r="R164" s="365"/>
      <c r="T164" s="51"/>
    </row>
    <row r="165" spans="2:20" outlineLevel="1">
      <c r="B165" s="209"/>
      <c r="C165" s="277">
        <f>C163+1</f>
        <v>21</v>
      </c>
      <c r="D165" s="277" t="s">
        <v>59</v>
      </c>
      <c r="E165" s="278" t="s">
        <v>797</v>
      </c>
      <c r="F165" s="279" t="s">
        <v>798</v>
      </c>
      <c r="G165" s="279"/>
      <c r="H165" s="279"/>
      <c r="I165" s="279"/>
      <c r="J165" s="38" t="s">
        <v>58</v>
      </c>
      <c r="K165" s="281">
        <f>SUM(K166:K166)</f>
        <v>82</v>
      </c>
      <c r="L165" s="91"/>
      <c r="M165" s="91"/>
      <c r="N165" s="280">
        <f t="shared" ref="N165" si="9">ROUND(L165*K165,2)</f>
        <v>0</v>
      </c>
      <c r="O165" s="280"/>
      <c r="P165" s="280"/>
      <c r="Q165" s="280"/>
      <c r="R165" s="210"/>
      <c r="T165" s="25"/>
    </row>
    <row r="166" spans="2:20" s="360" customFormat="1" outlineLevel="1">
      <c r="B166" s="359"/>
      <c r="E166" s="361" t="s">
        <v>799</v>
      </c>
      <c r="F166" s="362" t="s">
        <v>800</v>
      </c>
      <c r="G166" s="363"/>
      <c r="H166" s="363"/>
      <c r="I166" s="363"/>
      <c r="J166" s="50"/>
      <c r="K166" s="364">
        <v>82</v>
      </c>
      <c r="L166" s="157"/>
      <c r="M166" s="157"/>
      <c r="R166" s="365"/>
      <c r="T166" s="51"/>
    </row>
    <row r="167" spans="2:20" s="354" customFormat="1">
      <c r="B167" s="353"/>
      <c r="E167" s="358"/>
      <c r="F167" s="358"/>
      <c r="G167" s="358"/>
      <c r="H167" s="358"/>
      <c r="I167" s="358"/>
      <c r="J167" s="358"/>
      <c r="K167" s="358"/>
      <c r="L167" s="156"/>
      <c r="M167" s="156"/>
      <c r="R167" s="356"/>
      <c r="T167" s="52"/>
    </row>
    <row r="168" spans="2:20" s="266" customFormat="1" ht="13.2">
      <c r="B168" s="262"/>
      <c r="C168" s="263"/>
      <c r="D168" s="263" t="s">
        <v>195</v>
      </c>
      <c r="E168" s="263"/>
      <c r="F168" s="263"/>
      <c r="G168" s="263"/>
      <c r="H168" s="263"/>
      <c r="I168" s="263"/>
      <c r="J168" s="36"/>
      <c r="K168" s="263"/>
      <c r="L168" s="155"/>
      <c r="M168" s="155"/>
      <c r="N168" s="264">
        <f>SUM(N169)</f>
        <v>0</v>
      </c>
      <c r="O168" s="264"/>
      <c r="P168" s="264"/>
      <c r="Q168" s="264"/>
      <c r="R168" s="265"/>
      <c r="T168" s="25">
        <f>SUM(N168:Q169)/2</f>
        <v>0</v>
      </c>
    </row>
    <row r="169" spans="2:20" ht="11.25" customHeight="1" outlineLevel="1">
      <c r="B169" s="209"/>
      <c r="C169" s="277">
        <f>C165+1</f>
        <v>22</v>
      </c>
      <c r="D169" s="277" t="s">
        <v>59</v>
      </c>
      <c r="E169" s="278" t="s">
        <v>664</v>
      </c>
      <c r="F169" s="279" t="s">
        <v>665</v>
      </c>
      <c r="G169" s="279"/>
      <c r="H169" s="279"/>
      <c r="I169" s="279"/>
      <c r="J169" s="38" t="s">
        <v>60</v>
      </c>
      <c r="K169" s="40">
        <f>N112</f>
        <v>0</v>
      </c>
      <c r="L169" s="95"/>
      <c r="M169" s="95"/>
      <c r="N169" s="280">
        <f>ROUND(L169*K169,2)</f>
        <v>0</v>
      </c>
      <c r="O169" s="280"/>
      <c r="P169" s="280"/>
      <c r="Q169" s="280"/>
      <c r="R169" s="210"/>
      <c r="T169" s="25"/>
    </row>
    <row r="170" spans="2:20" s="354" customFormat="1">
      <c r="B170" s="353"/>
      <c r="C170" s="372"/>
      <c r="D170" s="372"/>
      <c r="E170" s="373"/>
      <c r="F170" s="373"/>
      <c r="G170" s="373"/>
      <c r="H170" s="373"/>
      <c r="I170" s="373"/>
      <c r="J170" s="373"/>
      <c r="K170" s="373"/>
      <c r="L170" s="159"/>
      <c r="M170" s="159"/>
      <c r="N170" s="372"/>
      <c r="O170" s="372"/>
      <c r="P170" s="372"/>
      <c r="Q170" s="372"/>
      <c r="R170" s="356"/>
      <c r="T170" s="52"/>
    </row>
    <row r="171" spans="2:20">
      <c r="B171" s="231"/>
      <c r="C171" s="232"/>
      <c r="D171" s="232"/>
      <c r="E171" s="232"/>
      <c r="F171" s="232"/>
      <c r="G171" s="232"/>
      <c r="H171" s="232"/>
      <c r="I171" s="232"/>
      <c r="J171" s="62"/>
      <c r="K171" s="232"/>
      <c r="L171" s="232"/>
      <c r="M171" s="232"/>
      <c r="N171" s="232"/>
      <c r="O171" s="232"/>
      <c r="P171" s="232"/>
      <c r="Q171" s="232"/>
      <c r="R171" s="233"/>
    </row>
  </sheetData>
  <sheetProtection algorithmName="SHA-512" hashValue="54NLk2OiiLUDcxs2bh0QiigMltwhtbhToROQiNhpR0tL+vSEdACxZ2UCu0ZDxYYdQXRfAABKL6gnEAwNiJCGZw==" saltValue="bhmW7ePKfPytz/bccb3/tg==" spinCount="100000" sheet="1" objects="1" scenarios="1"/>
  <mergeCells count="156">
    <mergeCell ref="F157:I157"/>
    <mergeCell ref="F158:I158"/>
    <mergeCell ref="F159:I159"/>
    <mergeCell ref="F160:I160"/>
    <mergeCell ref="F154:I154"/>
    <mergeCell ref="F155:I155"/>
    <mergeCell ref="F156:I156"/>
    <mergeCell ref="F144:I144"/>
    <mergeCell ref="L144:M144"/>
    <mergeCell ref="F148:I148"/>
    <mergeCell ref="L148:M148"/>
    <mergeCell ref="N148:Q148"/>
    <mergeCell ref="F115:I115"/>
    <mergeCell ref="L115:M115"/>
    <mergeCell ref="N115:Q115"/>
    <mergeCell ref="F116:I116"/>
    <mergeCell ref="F122:I122"/>
    <mergeCell ref="F125:I125"/>
    <mergeCell ref="L125:M125"/>
    <mergeCell ref="N162:Q162"/>
    <mergeCell ref="F135:I135"/>
    <mergeCell ref="F136:I136"/>
    <mergeCell ref="F137:I137"/>
    <mergeCell ref="F138:I138"/>
    <mergeCell ref="F146:I146"/>
    <mergeCell ref="L146:M146"/>
    <mergeCell ref="N146:Q146"/>
    <mergeCell ref="F147:I147"/>
    <mergeCell ref="L147:M147"/>
    <mergeCell ref="F150:I150"/>
    <mergeCell ref="L150:M150"/>
    <mergeCell ref="N150:Q150"/>
    <mergeCell ref="F149:I149"/>
    <mergeCell ref="L149:M149"/>
    <mergeCell ref="N149:Q149"/>
    <mergeCell ref="N168:Q168"/>
    <mergeCell ref="F169:I169"/>
    <mergeCell ref="L169:M169"/>
    <mergeCell ref="N169:Q169"/>
    <mergeCell ref="F123:I123"/>
    <mergeCell ref="F139:I139"/>
    <mergeCell ref="F145:I145"/>
    <mergeCell ref="L145:M145"/>
    <mergeCell ref="N145:Q145"/>
    <mergeCell ref="F166:I166"/>
    <mergeCell ref="F165:I165"/>
    <mergeCell ref="L165:M165"/>
    <mergeCell ref="N165:Q165"/>
    <mergeCell ref="F152:I152"/>
    <mergeCell ref="L152:M152"/>
    <mergeCell ref="N152:Q152"/>
    <mergeCell ref="F153:I153"/>
    <mergeCell ref="F161:I161"/>
    <mergeCell ref="F162:I162"/>
    <mergeCell ref="L162:M162"/>
    <mergeCell ref="F151:I151"/>
    <mergeCell ref="L151:M151"/>
    <mergeCell ref="N151:Q151"/>
    <mergeCell ref="F141:I141"/>
    <mergeCell ref="N147:Q147"/>
    <mergeCell ref="F124:I124"/>
    <mergeCell ref="F133:I133"/>
    <mergeCell ref="L133:M133"/>
    <mergeCell ref="N133:Q133"/>
    <mergeCell ref="F134:I134"/>
    <mergeCell ref="F140:I140"/>
    <mergeCell ref="L140:M140"/>
    <mergeCell ref="N140:Q140"/>
    <mergeCell ref="N125:Q125"/>
    <mergeCell ref="F126:I126"/>
    <mergeCell ref="N144:Q144"/>
    <mergeCell ref="F142:I142"/>
    <mergeCell ref="L142:M142"/>
    <mergeCell ref="N142:Q142"/>
    <mergeCell ref="F143:I143"/>
    <mergeCell ref="L143:M143"/>
    <mergeCell ref="N143:Q143"/>
    <mergeCell ref="F127:I127"/>
    <mergeCell ref="F128:I128"/>
    <mergeCell ref="F129:I129"/>
    <mergeCell ref="F130:I130"/>
    <mergeCell ref="F131:I131"/>
    <mergeCell ref="F132:I132"/>
    <mergeCell ref="F121:I121"/>
    <mergeCell ref="F119:I119"/>
    <mergeCell ref="L119:M119"/>
    <mergeCell ref="N119:Q119"/>
    <mergeCell ref="F120:I120"/>
    <mergeCell ref="L121:M121"/>
    <mergeCell ref="N121:Q121"/>
    <mergeCell ref="F117:I117"/>
    <mergeCell ref="L117:M117"/>
    <mergeCell ref="N117:Q117"/>
    <mergeCell ref="F118:I118"/>
    <mergeCell ref="N109:Q109"/>
    <mergeCell ref="N110:Q110"/>
    <mergeCell ref="E111:K111"/>
    <mergeCell ref="N112:Q112"/>
    <mergeCell ref="E114:I114"/>
    <mergeCell ref="L114:M114"/>
    <mergeCell ref="N114:Q114"/>
    <mergeCell ref="M104:Q104"/>
    <mergeCell ref="F105:P105"/>
    <mergeCell ref="F106:P106"/>
    <mergeCell ref="F108:I108"/>
    <mergeCell ref="L108:M108"/>
    <mergeCell ref="N108:Q108"/>
    <mergeCell ref="F76:P76"/>
    <mergeCell ref="C96:Q96"/>
    <mergeCell ref="F98:P98"/>
    <mergeCell ref="F99:P99"/>
    <mergeCell ref="M101:P101"/>
    <mergeCell ref="F103:J103"/>
    <mergeCell ref="M103:Q103"/>
    <mergeCell ref="N85:Q85"/>
    <mergeCell ref="N86:Q86"/>
    <mergeCell ref="N87:Q87"/>
    <mergeCell ref="N88:Q88"/>
    <mergeCell ref="L90:Q90"/>
    <mergeCell ref="C2:Q2"/>
    <mergeCell ref="F4:P4"/>
    <mergeCell ref="F5:P5"/>
    <mergeCell ref="O7:P7"/>
    <mergeCell ref="F9:L9"/>
    <mergeCell ref="O9:P9"/>
    <mergeCell ref="D25:E25"/>
    <mergeCell ref="G25:P25"/>
    <mergeCell ref="M28:P28"/>
    <mergeCell ref="O18:P18"/>
    <mergeCell ref="O19:P19"/>
    <mergeCell ref="O21:P21"/>
    <mergeCell ref="E22:P22"/>
    <mergeCell ref="F163:I163"/>
    <mergeCell ref="L163:M163"/>
    <mergeCell ref="N163:Q163"/>
    <mergeCell ref="F164:I164"/>
    <mergeCell ref="O10:P10"/>
    <mergeCell ref="F12:I12"/>
    <mergeCell ref="O12:P12"/>
    <mergeCell ref="O13:P13"/>
    <mergeCell ref="O15:P15"/>
    <mergeCell ref="O16:P16"/>
    <mergeCell ref="M30:P30"/>
    <mergeCell ref="H32:J32"/>
    <mergeCell ref="M32:P32"/>
    <mergeCell ref="M78:P78"/>
    <mergeCell ref="F80:J80"/>
    <mergeCell ref="M80:Q80"/>
    <mergeCell ref="M81:Q81"/>
    <mergeCell ref="C83:G83"/>
    <mergeCell ref="N83:Q83"/>
    <mergeCell ref="H33:J33"/>
    <mergeCell ref="M33:P33"/>
    <mergeCell ref="L35:P35"/>
    <mergeCell ref="C73:Q73"/>
    <mergeCell ref="F75:P7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Stránka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7752F-656A-4874-8C0A-D41E030C704A}">
  <sheetPr>
    <pageSetUpPr fitToPage="1"/>
  </sheetPr>
  <dimension ref="A1:I50"/>
  <sheetViews>
    <sheetView view="pageBreakPreview" zoomScaleNormal="100" zoomScaleSheetLayoutView="100" workbookViewId="0">
      <selection activeCell="B5" sqref="B5:G5"/>
    </sheetView>
  </sheetViews>
  <sheetFormatPr defaultRowHeight="11.4"/>
  <cols>
    <col min="1" max="1" width="4.42578125" style="344" customWidth="1"/>
    <col min="2" max="2" width="56.85546875" style="345" customWidth="1"/>
    <col min="3" max="3" width="8" style="344" customWidth="1"/>
    <col min="4" max="4" width="14.42578125" style="9" customWidth="1"/>
    <col min="5" max="5" width="20.7109375" style="10" customWidth="1"/>
    <col min="6" max="6" width="22" style="10" customWidth="1"/>
    <col min="7" max="7" width="10.7109375" style="346" customWidth="1"/>
    <col min="8" max="8" width="2" style="287" customWidth="1"/>
    <col min="9" max="9" width="27.85546875" style="287" customWidth="1"/>
    <col min="10" max="257" width="9.28515625" style="287"/>
    <col min="258" max="258" width="55.28515625" style="287" customWidth="1"/>
    <col min="259" max="259" width="8" style="287" customWidth="1"/>
    <col min="260" max="260" width="9.85546875" style="287" customWidth="1"/>
    <col min="261" max="261" width="11.28515625" style="287" customWidth="1"/>
    <col min="262" max="262" width="17.7109375" style="287" customWidth="1"/>
    <col min="263" max="263" width="10.7109375" style="287" customWidth="1"/>
    <col min="264" max="513" width="9.28515625" style="287"/>
    <col min="514" max="514" width="55.28515625" style="287" customWidth="1"/>
    <col min="515" max="515" width="8" style="287" customWidth="1"/>
    <col min="516" max="516" width="9.85546875" style="287" customWidth="1"/>
    <col min="517" max="517" width="11.28515625" style="287" customWidth="1"/>
    <col min="518" max="518" width="17.7109375" style="287" customWidth="1"/>
    <col min="519" max="519" width="10.7109375" style="287" customWidth="1"/>
    <col min="520" max="769" width="9.28515625" style="287"/>
    <col min="770" max="770" width="55.28515625" style="287" customWidth="1"/>
    <col min="771" max="771" width="8" style="287" customWidth="1"/>
    <col min="772" max="772" width="9.85546875" style="287" customWidth="1"/>
    <col min="773" max="773" width="11.28515625" style="287" customWidth="1"/>
    <col min="774" max="774" width="17.7109375" style="287" customWidth="1"/>
    <col min="775" max="775" width="10.7109375" style="287" customWidth="1"/>
    <col min="776" max="1025" width="9.28515625" style="287"/>
    <col min="1026" max="1026" width="55.28515625" style="287" customWidth="1"/>
    <col min="1027" max="1027" width="8" style="287" customWidth="1"/>
    <col min="1028" max="1028" width="9.85546875" style="287" customWidth="1"/>
    <col min="1029" max="1029" width="11.28515625" style="287" customWidth="1"/>
    <col min="1030" max="1030" width="17.7109375" style="287" customWidth="1"/>
    <col min="1031" max="1031" width="10.7109375" style="287" customWidth="1"/>
    <col min="1032" max="1281" width="9.28515625" style="287"/>
    <col min="1282" max="1282" width="55.28515625" style="287" customWidth="1"/>
    <col min="1283" max="1283" width="8" style="287" customWidth="1"/>
    <col min="1284" max="1284" width="9.85546875" style="287" customWidth="1"/>
    <col min="1285" max="1285" width="11.28515625" style="287" customWidth="1"/>
    <col min="1286" max="1286" width="17.7109375" style="287" customWidth="1"/>
    <col min="1287" max="1287" width="10.7109375" style="287" customWidth="1"/>
    <col min="1288" max="1537" width="9.28515625" style="287"/>
    <col min="1538" max="1538" width="55.28515625" style="287" customWidth="1"/>
    <col min="1539" max="1539" width="8" style="287" customWidth="1"/>
    <col min="1540" max="1540" width="9.85546875" style="287" customWidth="1"/>
    <col min="1541" max="1541" width="11.28515625" style="287" customWidth="1"/>
    <col min="1542" max="1542" width="17.7109375" style="287" customWidth="1"/>
    <col min="1543" max="1543" width="10.7109375" style="287" customWidth="1"/>
    <col min="1544" max="1793" width="9.28515625" style="287"/>
    <col min="1794" max="1794" width="55.28515625" style="287" customWidth="1"/>
    <col min="1795" max="1795" width="8" style="287" customWidth="1"/>
    <col min="1796" max="1796" width="9.85546875" style="287" customWidth="1"/>
    <col min="1797" max="1797" width="11.28515625" style="287" customWidth="1"/>
    <col min="1798" max="1798" width="17.7109375" style="287" customWidth="1"/>
    <col min="1799" max="1799" width="10.7109375" style="287" customWidth="1"/>
    <col min="1800" max="2049" width="9.28515625" style="287"/>
    <col min="2050" max="2050" width="55.28515625" style="287" customWidth="1"/>
    <col min="2051" max="2051" width="8" style="287" customWidth="1"/>
    <col min="2052" max="2052" width="9.85546875" style="287" customWidth="1"/>
    <col min="2053" max="2053" width="11.28515625" style="287" customWidth="1"/>
    <col min="2054" max="2054" width="17.7109375" style="287" customWidth="1"/>
    <col min="2055" max="2055" width="10.7109375" style="287" customWidth="1"/>
    <col min="2056" max="2305" width="9.28515625" style="287"/>
    <col min="2306" max="2306" width="55.28515625" style="287" customWidth="1"/>
    <col min="2307" max="2307" width="8" style="287" customWidth="1"/>
    <col min="2308" max="2308" width="9.85546875" style="287" customWidth="1"/>
    <col min="2309" max="2309" width="11.28515625" style="287" customWidth="1"/>
    <col min="2310" max="2310" width="17.7109375" style="287" customWidth="1"/>
    <col min="2311" max="2311" width="10.7109375" style="287" customWidth="1"/>
    <col min="2312" max="2561" width="9.28515625" style="287"/>
    <col min="2562" max="2562" width="55.28515625" style="287" customWidth="1"/>
    <col min="2563" max="2563" width="8" style="287" customWidth="1"/>
    <col min="2564" max="2564" width="9.85546875" style="287" customWidth="1"/>
    <col min="2565" max="2565" width="11.28515625" style="287" customWidth="1"/>
    <col min="2566" max="2566" width="17.7109375" style="287" customWidth="1"/>
    <col min="2567" max="2567" width="10.7109375" style="287" customWidth="1"/>
    <col min="2568" max="2817" width="9.28515625" style="287"/>
    <col min="2818" max="2818" width="55.28515625" style="287" customWidth="1"/>
    <col min="2819" max="2819" width="8" style="287" customWidth="1"/>
    <col min="2820" max="2820" width="9.85546875" style="287" customWidth="1"/>
    <col min="2821" max="2821" width="11.28515625" style="287" customWidth="1"/>
    <col min="2822" max="2822" width="17.7109375" style="287" customWidth="1"/>
    <col min="2823" max="2823" width="10.7109375" style="287" customWidth="1"/>
    <col min="2824" max="3073" width="9.28515625" style="287"/>
    <col min="3074" max="3074" width="55.28515625" style="287" customWidth="1"/>
    <col min="3075" max="3075" width="8" style="287" customWidth="1"/>
    <col min="3076" max="3076" width="9.85546875" style="287" customWidth="1"/>
    <col min="3077" max="3077" width="11.28515625" style="287" customWidth="1"/>
    <col min="3078" max="3078" width="17.7109375" style="287" customWidth="1"/>
    <col min="3079" max="3079" width="10.7109375" style="287" customWidth="1"/>
    <col min="3080" max="3329" width="9.28515625" style="287"/>
    <col min="3330" max="3330" width="55.28515625" style="287" customWidth="1"/>
    <col min="3331" max="3331" width="8" style="287" customWidth="1"/>
    <col min="3332" max="3332" width="9.85546875" style="287" customWidth="1"/>
    <col min="3333" max="3333" width="11.28515625" style="287" customWidth="1"/>
    <col min="3334" max="3334" width="17.7109375" style="287" customWidth="1"/>
    <col min="3335" max="3335" width="10.7109375" style="287" customWidth="1"/>
    <col min="3336" max="3585" width="9.28515625" style="287"/>
    <col min="3586" max="3586" width="55.28515625" style="287" customWidth="1"/>
    <col min="3587" max="3587" width="8" style="287" customWidth="1"/>
    <col min="3588" max="3588" width="9.85546875" style="287" customWidth="1"/>
    <col min="3589" max="3589" width="11.28515625" style="287" customWidth="1"/>
    <col min="3590" max="3590" width="17.7109375" style="287" customWidth="1"/>
    <col min="3591" max="3591" width="10.7109375" style="287" customWidth="1"/>
    <col min="3592" max="3841" width="9.28515625" style="287"/>
    <col min="3842" max="3842" width="55.28515625" style="287" customWidth="1"/>
    <col min="3843" max="3843" width="8" style="287" customWidth="1"/>
    <col min="3844" max="3844" width="9.85546875" style="287" customWidth="1"/>
    <col min="3845" max="3845" width="11.28515625" style="287" customWidth="1"/>
    <col min="3846" max="3846" width="17.7109375" style="287" customWidth="1"/>
    <col min="3847" max="3847" width="10.7109375" style="287" customWidth="1"/>
    <col min="3848" max="4097" width="9.28515625" style="287"/>
    <col min="4098" max="4098" width="55.28515625" style="287" customWidth="1"/>
    <col min="4099" max="4099" width="8" style="287" customWidth="1"/>
    <col min="4100" max="4100" width="9.85546875" style="287" customWidth="1"/>
    <col min="4101" max="4101" width="11.28515625" style="287" customWidth="1"/>
    <col min="4102" max="4102" width="17.7109375" style="287" customWidth="1"/>
    <col min="4103" max="4103" width="10.7109375" style="287" customWidth="1"/>
    <col min="4104" max="4353" width="9.28515625" style="287"/>
    <col min="4354" max="4354" width="55.28515625" style="287" customWidth="1"/>
    <col min="4355" max="4355" width="8" style="287" customWidth="1"/>
    <col min="4356" max="4356" width="9.85546875" style="287" customWidth="1"/>
    <col min="4357" max="4357" width="11.28515625" style="287" customWidth="1"/>
    <col min="4358" max="4358" width="17.7109375" style="287" customWidth="1"/>
    <col min="4359" max="4359" width="10.7109375" style="287" customWidth="1"/>
    <col min="4360" max="4609" width="9.28515625" style="287"/>
    <col min="4610" max="4610" width="55.28515625" style="287" customWidth="1"/>
    <col min="4611" max="4611" width="8" style="287" customWidth="1"/>
    <col min="4612" max="4612" width="9.85546875" style="287" customWidth="1"/>
    <col min="4613" max="4613" width="11.28515625" style="287" customWidth="1"/>
    <col min="4614" max="4614" width="17.7109375" style="287" customWidth="1"/>
    <col min="4615" max="4615" width="10.7109375" style="287" customWidth="1"/>
    <col min="4616" max="4865" width="9.28515625" style="287"/>
    <col min="4866" max="4866" width="55.28515625" style="287" customWidth="1"/>
    <col min="4867" max="4867" width="8" style="287" customWidth="1"/>
    <col min="4868" max="4868" width="9.85546875" style="287" customWidth="1"/>
    <col min="4869" max="4869" width="11.28515625" style="287" customWidth="1"/>
    <col min="4870" max="4870" width="17.7109375" style="287" customWidth="1"/>
    <col min="4871" max="4871" width="10.7109375" style="287" customWidth="1"/>
    <col min="4872" max="5121" width="9.28515625" style="287"/>
    <col min="5122" max="5122" width="55.28515625" style="287" customWidth="1"/>
    <col min="5123" max="5123" width="8" style="287" customWidth="1"/>
    <col min="5124" max="5124" width="9.85546875" style="287" customWidth="1"/>
    <col min="5125" max="5125" width="11.28515625" style="287" customWidth="1"/>
    <col min="5126" max="5126" width="17.7109375" style="287" customWidth="1"/>
    <col min="5127" max="5127" width="10.7109375" style="287" customWidth="1"/>
    <col min="5128" max="5377" width="9.28515625" style="287"/>
    <col min="5378" max="5378" width="55.28515625" style="287" customWidth="1"/>
    <col min="5379" max="5379" width="8" style="287" customWidth="1"/>
    <col min="5380" max="5380" width="9.85546875" style="287" customWidth="1"/>
    <col min="5381" max="5381" width="11.28515625" style="287" customWidth="1"/>
    <col min="5382" max="5382" width="17.7109375" style="287" customWidth="1"/>
    <col min="5383" max="5383" width="10.7109375" style="287" customWidth="1"/>
    <col min="5384" max="5633" width="9.28515625" style="287"/>
    <col min="5634" max="5634" width="55.28515625" style="287" customWidth="1"/>
    <col min="5635" max="5635" width="8" style="287" customWidth="1"/>
    <col min="5636" max="5636" width="9.85546875" style="287" customWidth="1"/>
    <col min="5637" max="5637" width="11.28515625" style="287" customWidth="1"/>
    <col min="5638" max="5638" width="17.7109375" style="287" customWidth="1"/>
    <col min="5639" max="5639" width="10.7109375" style="287" customWidth="1"/>
    <col min="5640" max="5889" width="9.28515625" style="287"/>
    <col min="5890" max="5890" width="55.28515625" style="287" customWidth="1"/>
    <col min="5891" max="5891" width="8" style="287" customWidth="1"/>
    <col min="5892" max="5892" width="9.85546875" style="287" customWidth="1"/>
    <col min="5893" max="5893" width="11.28515625" style="287" customWidth="1"/>
    <col min="5894" max="5894" width="17.7109375" style="287" customWidth="1"/>
    <col min="5895" max="5895" width="10.7109375" style="287" customWidth="1"/>
    <col min="5896" max="6145" width="9.28515625" style="287"/>
    <col min="6146" max="6146" width="55.28515625" style="287" customWidth="1"/>
    <col min="6147" max="6147" width="8" style="287" customWidth="1"/>
    <col min="6148" max="6148" width="9.85546875" style="287" customWidth="1"/>
    <col min="6149" max="6149" width="11.28515625" style="287" customWidth="1"/>
    <col min="6150" max="6150" width="17.7109375" style="287" customWidth="1"/>
    <col min="6151" max="6151" width="10.7109375" style="287" customWidth="1"/>
    <col min="6152" max="6401" width="9.28515625" style="287"/>
    <col min="6402" max="6402" width="55.28515625" style="287" customWidth="1"/>
    <col min="6403" max="6403" width="8" style="287" customWidth="1"/>
    <col min="6404" max="6404" width="9.85546875" style="287" customWidth="1"/>
    <col min="6405" max="6405" width="11.28515625" style="287" customWidth="1"/>
    <col min="6406" max="6406" width="17.7109375" style="287" customWidth="1"/>
    <col min="6407" max="6407" width="10.7109375" style="287" customWidth="1"/>
    <col min="6408" max="6657" width="9.28515625" style="287"/>
    <col min="6658" max="6658" width="55.28515625" style="287" customWidth="1"/>
    <col min="6659" max="6659" width="8" style="287" customWidth="1"/>
    <col min="6660" max="6660" width="9.85546875" style="287" customWidth="1"/>
    <col min="6661" max="6661" width="11.28515625" style="287" customWidth="1"/>
    <col min="6662" max="6662" width="17.7109375" style="287" customWidth="1"/>
    <col min="6663" max="6663" width="10.7109375" style="287" customWidth="1"/>
    <col min="6664" max="6913" width="9.28515625" style="287"/>
    <col min="6914" max="6914" width="55.28515625" style="287" customWidth="1"/>
    <col min="6915" max="6915" width="8" style="287" customWidth="1"/>
    <col min="6916" max="6916" width="9.85546875" style="287" customWidth="1"/>
    <col min="6917" max="6917" width="11.28515625" style="287" customWidth="1"/>
    <col min="6918" max="6918" width="17.7109375" style="287" customWidth="1"/>
    <col min="6919" max="6919" width="10.7109375" style="287" customWidth="1"/>
    <col min="6920" max="7169" width="9.28515625" style="287"/>
    <col min="7170" max="7170" width="55.28515625" style="287" customWidth="1"/>
    <col min="7171" max="7171" width="8" style="287" customWidth="1"/>
    <col min="7172" max="7172" width="9.85546875" style="287" customWidth="1"/>
    <col min="7173" max="7173" width="11.28515625" style="287" customWidth="1"/>
    <col min="7174" max="7174" width="17.7109375" style="287" customWidth="1"/>
    <col min="7175" max="7175" width="10.7109375" style="287" customWidth="1"/>
    <col min="7176" max="7425" width="9.28515625" style="287"/>
    <col min="7426" max="7426" width="55.28515625" style="287" customWidth="1"/>
    <col min="7427" max="7427" width="8" style="287" customWidth="1"/>
    <col min="7428" max="7428" width="9.85546875" style="287" customWidth="1"/>
    <col min="7429" max="7429" width="11.28515625" style="287" customWidth="1"/>
    <col min="7430" max="7430" width="17.7109375" style="287" customWidth="1"/>
    <col min="7431" max="7431" width="10.7109375" style="287" customWidth="1"/>
    <col min="7432" max="7681" width="9.28515625" style="287"/>
    <col min="7682" max="7682" width="55.28515625" style="287" customWidth="1"/>
    <col min="7683" max="7683" width="8" style="287" customWidth="1"/>
    <col min="7684" max="7684" width="9.85546875" style="287" customWidth="1"/>
    <col min="7685" max="7685" width="11.28515625" style="287" customWidth="1"/>
    <col min="7686" max="7686" width="17.7109375" style="287" customWidth="1"/>
    <col min="7687" max="7687" width="10.7109375" style="287" customWidth="1"/>
    <col min="7688" max="7937" width="9.28515625" style="287"/>
    <col min="7938" max="7938" width="55.28515625" style="287" customWidth="1"/>
    <col min="7939" max="7939" width="8" style="287" customWidth="1"/>
    <col min="7940" max="7940" width="9.85546875" style="287" customWidth="1"/>
    <col min="7941" max="7941" width="11.28515625" style="287" customWidth="1"/>
    <col min="7942" max="7942" width="17.7109375" style="287" customWidth="1"/>
    <col min="7943" max="7943" width="10.7109375" style="287" customWidth="1"/>
    <col min="7944" max="8193" width="9.28515625" style="287"/>
    <col min="8194" max="8194" width="55.28515625" style="287" customWidth="1"/>
    <col min="8195" max="8195" width="8" style="287" customWidth="1"/>
    <col min="8196" max="8196" width="9.85546875" style="287" customWidth="1"/>
    <col min="8197" max="8197" width="11.28515625" style="287" customWidth="1"/>
    <col min="8198" max="8198" width="17.7109375" style="287" customWidth="1"/>
    <col min="8199" max="8199" width="10.7109375" style="287" customWidth="1"/>
    <col min="8200" max="8449" width="9.28515625" style="287"/>
    <col min="8450" max="8450" width="55.28515625" style="287" customWidth="1"/>
    <col min="8451" max="8451" width="8" style="287" customWidth="1"/>
    <col min="8452" max="8452" width="9.85546875" style="287" customWidth="1"/>
    <col min="8453" max="8453" width="11.28515625" style="287" customWidth="1"/>
    <col min="8454" max="8454" width="17.7109375" style="287" customWidth="1"/>
    <col min="8455" max="8455" width="10.7109375" style="287" customWidth="1"/>
    <col min="8456" max="8705" width="9.28515625" style="287"/>
    <col min="8706" max="8706" width="55.28515625" style="287" customWidth="1"/>
    <col min="8707" max="8707" width="8" style="287" customWidth="1"/>
    <col min="8708" max="8708" width="9.85546875" style="287" customWidth="1"/>
    <col min="8709" max="8709" width="11.28515625" style="287" customWidth="1"/>
    <col min="8710" max="8710" width="17.7109375" style="287" customWidth="1"/>
    <col min="8711" max="8711" width="10.7109375" style="287" customWidth="1"/>
    <col min="8712" max="8961" width="9.28515625" style="287"/>
    <col min="8962" max="8962" width="55.28515625" style="287" customWidth="1"/>
    <col min="8963" max="8963" width="8" style="287" customWidth="1"/>
    <col min="8964" max="8964" width="9.85546875" style="287" customWidth="1"/>
    <col min="8965" max="8965" width="11.28515625" style="287" customWidth="1"/>
    <col min="8966" max="8966" width="17.7109375" style="287" customWidth="1"/>
    <col min="8967" max="8967" width="10.7109375" style="287" customWidth="1"/>
    <col min="8968" max="9217" width="9.28515625" style="287"/>
    <col min="9218" max="9218" width="55.28515625" style="287" customWidth="1"/>
    <col min="9219" max="9219" width="8" style="287" customWidth="1"/>
    <col min="9220" max="9220" width="9.85546875" style="287" customWidth="1"/>
    <col min="9221" max="9221" width="11.28515625" style="287" customWidth="1"/>
    <col min="9222" max="9222" width="17.7109375" style="287" customWidth="1"/>
    <col min="9223" max="9223" width="10.7109375" style="287" customWidth="1"/>
    <col min="9224" max="9473" width="9.28515625" style="287"/>
    <col min="9474" max="9474" width="55.28515625" style="287" customWidth="1"/>
    <col min="9475" max="9475" width="8" style="287" customWidth="1"/>
    <col min="9476" max="9476" width="9.85546875" style="287" customWidth="1"/>
    <col min="9477" max="9477" width="11.28515625" style="287" customWidth="1"/>
    <col min="9478" max="9478" width="17.7109375" style="287" customWidth="1"/>
    <col min="9479" max="9479" width="10.7109375" style="287" customWidth="1"/>
    <col min="9480" max="9729" width="9.28515625" style="287"/>
    <col min="9730" max="9730" width="55.28515625" style="287" customWidth="1"/>
    <col min="9731" max="9731" width="8" style="287" customWidth="1"/>
    <col min="9732" max="9732" width="9.85546875" style="287" customWidth="1"/>
    <col min="9733" max="9733" width="11.28515625" style="287" customWidth="1"/>
    <col min="9734" max="9734" width="17.7109375" style="287" customWidth="1"/>
    <col min="9735" max="9735" width="10.7109375" style="287" customWidth="1"/>
    <col min="9736" max="9985" width="9.28515625" style="287"/>
    <col min="9986" max="9986" width="55.28515625" style="287" customWidth="1"/>
    <col min="9987" max="9987" width="8" style="287" customWidth="1"/>
    <col min="9988" max="9988" width="9.85546875" style="287" customWidth="1"/>
    <col min="9989" max="9989" width="11.28515625" style="287" customWidth="1"/>
    <col min="9990" max="9990" width="17.7109375" style="287" customWidth="1"/>
    <col min="9991" max="9991" width="10.7109375" style="287" customWidth="1"/>
    <col min="9992" max="10241" width="9.28515625" style="287"/>
    <col min="10242" max="10242" width="55.28515625" style="287" customWidth="1"/>
    <col min="10243" max="10243" width="8" style="287" customWidth="1"/>
    <col min="10244" max="10244" width="9.85546875" style="287" customWidth="1"/>
    <col min="10245" max="10245" width="11.28515625" style="287" customWidth="1"/>
    <col min="10246" max="10246" width="17.7109375" style="287" customWidth="1"/>
    <col min="10247" max="10247" width="10.7109375" style="287" customWidth="1"/>
    <col min="10248" max="10497" width="9.28515625" style="287"/>
    <col min="10498" max="10498" width="55.28515625" style="287" customWidth="1"/>
    <col min="10499" max="10499" width="8" style="287" customWidth="1"/>
    <col min="10500" max="10500" width="9.85546875" style="287" customWidth="1"/>
    <col min="10501" max="10501" width="11.28515625" style="287" customWidth="1"/>
    <col min="10502" max="10502" width="17.7109375" style="287" customWidth="1"/>
    <col min="10503" max="10503" width="10.7109375" style="287" customWidth="1"/>
    <col min="10504" max="10753" width="9.28515625" style="287"/>
    <col min="10754" max="10754" width="55.28515625" style="287" customWidth="1"/>
    <col min="10755" max="10755" width="8" style="287" customWidth="1"/>
    <col min="10756" max="10756" width="9.85546875" style="287" customWidth="1"/>
    <col min="10757" max="10757" width="11.28515625" style="287" customWidth="1"/>
    <col min="10758" max="10758" width="17.7109375" style="287" customWidth="1"/>
    <col min="10759" max="10759" width="10.7109375" style="287" customWidth="1"/>
    <col min="10760" max="11009" width="9.28515625" style="287"/>
    <col min="11010" max="11010" width="55.28515625" style="287" customWidth="1"/>
    <col min="11011" max="11011" width="8" style="287" customWidth="1"/>
    <col min="11012" max="11012" width="9.85546875" style="287" customWidth="1"/>
    <col min="11013" max="11013" width="11.28515625" style="287" customWidth="1"/>
    <col min="11014" max="11014" width="17.7109375" style="287" customWidth="1"/>
    <col min="11015" max="11015" width="10.7109375" style="287" customWidth="1"/>
    <col min="11016" max="11265" width="9.28515625" style="287"/>
    <col min="11266" max="11266" width="55.28515625" style="287" customWidth="1"/>
    <col min="11267" max="11267" width="8" style="287" customWidth="1"/>
    <col min="11268" max="11268" width="9.85546875" style="287" customWidth="1"/>
    <col min="11269" max="11269" width="11.28515625" style="287" customWidth="1"/>
    <col min="11270" max="11270" width="17.7109375" style="287" customWidth="1"/>
    <col min="11271" max="11271" width="10.7109375" style="287" customWidth="1"/>
    <col min="11272" max="11521" width="9.28515625" style="287"/>
    <col min="11522" max="11522" width="55.28515625" style="287" customWidth="1"/>
    <col min="11523" max="11523" width="8" style="287" customWidth="1"/>
    <col min="11524" max="11524" width="9.85546875" style="287" customWidth="1"/>
    <col min="11525" max="11525" width="11.28515625" style="287" customWidth="1"/>
    <col min="11526" max="11526" width="17.7109375" style="287" customWidth="1"/>
    <col min="11527" max="11527" width="10.7109375" style="287" customWidth="1"/>
    <col min="11528" max="11777" width="9.28515625" style="287"/>
    <col min="11778" max="11778" width="55.28515625" style="287" customWidth="1"/>
    <col min="11779" max="11779" width="8" style="287" customWidth="1"/>
    <col min="11780" max="11780" width="9.85546875" style="287" customWidth="1"/>
    <col min="11781" max="11781" width="11.28515625" style="287" customWidth="1"/>
    <col min="11782" max="11782" width="17.7109375" style="287" customWidth="1"/>
    <col min="11783" max="11783" width="10.7109375" style="287" customWidth="1"/>
    <col min="11784" max="12033" width="9.28515625" style="287"/>
    <col min="12034" max="12034" width="55.28515625" style="287" customWidth="1"/>
    <col min="12035" max="12035" width="8" style="287" customWidth="1"/>
    <col min="12036" max="12036" width="9.85546875" style="287" customWidth="1"/>
    <col min="12037" max="12037" width="11.28515625" style="287" customWidth="1"/>
    <col min="12038" max="12038" width="17.7109375" style="287" customWidth="1"/>
    <col min="12039" max="12039" width="10.7109375" style="287" customWidth="1"/>
    <col min="12040" max="12289" width="9.28515625" style="287"/>
    <col min="12290" max="12290" width="55.28515625" style="287" customWidth="1"/>
    <col min="12291" max="12291" width="8" style="287" customWidth="1"/>
    <col min="12292" max="12292" width="9.85546875" style="287" customWidth="1"/>
    <col min="12293" max="12293" width="11.28515625" style="287" customWidth="1"/>
    <col min="12294" max="12294" width="17.7109375" style="287" customWidth="1"/>
    <col min="12295" max="12295" width="10.7109375" style="287" customWidth="1"/>
    <col min="12296" max="12545" width="9.28515625" style="287"/>
    <col min="12546" max="12546" width="55.28515625" style="287" customWidth="1"/>
    <col min="12547" max="12547" width="8" style="287" customWidth="1"/>
    <col min="12548" max="12548" width="9.85546875" style="287" customWidth="1"/>
    <col min="12549" max="12549" width="11.28515625" style="287" customWidth="1"/>
    <col min="12550" max="12550" width="17.7109375" style="287" customWidth="1"/>
    <col min="12551" max="12551" width="10.7109375" style="287" customWidth="1"/>
    <col min="12552" max="12801" width="9.28515625" style="287"/>
    <col min="12802" max="12802" width="55.28515625" style="287" customWidth="1"/>
    <col min="12803" max="12803" width="8" style="287" customWidth="1"/>
    <col min="12804" max="12804" width="9.85546875" style="287" customWidth="1"/>
    <col min="12805" max="12805" width="11.28515625" style="287" customWidth="1"/>
    <col min="12806" max="12806" width="17.7109375" style="287" customWidth="1"/>
    <col min="12807" max="12807" width="10.7109375" style="287" customWidth="1"/>
    <col min="12808" max="13057" width="9.28515625" style="287"/>
    <col min="13058" max="13058" width="55.28515625" style="287" customWidth="1"/>
    <col min="13059" max="13059" width="8" style="287" customWidth="1"/>
    <col min="13060" max="13060" width="9.85546875" style="287" customWidth="1"/>
    <col min="13061" max="13061" width="11.28515625" style="287" customWidth="1"/>
    <col min="13062" max="13062" width="17.7109375" style="287" customWidth="1"/>
    <col min="13063" max="13063" width="10.7109375" style="287" customWidth="1"/>
    <col min="13064" max="13313" width="9.28515625" style="287"/>
    <col min="13314" max="13314" width="55.28515625" style="287" customWidth="1"/>
    <col min="13315" max="13315" width="8" style="287" customWidth="1"/>
    <col min="13316" max="13316" width="9.85546875" style="287" customWidth="1"/>
    <col min="13317" max="13317" width="11.28515625" style="287" customWidth="1"/>
    <col min="13318" max="13318" width="17.7109375" style="287" customWidth="1"/>
    <col min="13319" max="13319" width="10.7109375" style="287" customWidth="1"/>
    <col min="13320" max="13569" width="9.28515625" style="287"/>
    <col min="13570" max="13570" width="55.28515625" style="287" customWidth="1"/>
    <col min="13571" max="13571" width="8" style="287" customWidth="1"/>
    <col min="13572" max="13572" width="9.85546875" style="287" customWidth="1"/>
    <col min="13573" max="13573" width="11.28515625" style="287" customWidth="1"/>
    <col min="13574" max="13574" width="17.7109375" style="287" customWidth="1"/>
    <col min="13575" max="13575" width="10.7109375" style="287" customWidth="1"/>
    <col min="13576" max="13825" width="9.28515625" style="287"/>
    <col min="13826" max="13826" width="55.28515625" style="287" customWidth="1"/>
    <col min="13827" max="13827" width="8" style="287" customWidth="1"/>
    <col min="13828" max="13828" width="9.85546875" style="287" customWidth="1"/>
    <col min="13829" max="13829" width="11.28515625" style="287" customWidth="1"/>
    <col min="13830" max="13830" width="17.7109375" style="287" customWidth="1"/>
    <col min="13831" max="13831" width="10.7109375" style="287" customWidth="1"/>
    <col min="13832" max="14081" width="9.28515625" style="287"/>
    <col min="14082" max="14082" width="55.28515625" style="287" customWidth="1"/>
    <col min="14083" max="14083" width="8" style="287" customWidth="1"/>
    <col min="14084" max="14084" width="9.85546875" style="287" customWidth="1"/>
    <col min="14085" max="14085" width="11.28515625" style="287" customWidth="1"/>
    <col min="14086" max="14086" width="17.7109375" style="287" customWidth="1"/>
    <col min="14087" max="14087" width="10.7109375" style="287" customWidth="1"/>
    <col min="14088" max="14337" width="9.28515625" style="287"/>
    <col min="14338" max="14338" width="55.28515625" style="287" customWidth="1"/>
    <col min="14339" max="14339" width="8" style="287" customWidth="1"/>
    <col min="14340" max="14340" width="9.85546875" style="287" customWidth="1"/>
    <col min="14341" max="14341" width="11.28515625" style="287" customWidth="1"/>
    <col min="14342" max="14342" width="17.7109375" style="287" customWidth="1"/>
    <col min="14343" max="14343" width="10.7109375" style="287" customWidth="1"/>
    <col min="14344" max="14593" width="9.28515625" style="287"/>
    <col min="14594" max="14594" width="55.28515625" style="287" customWidth="1"/>
    <col min="14595" max="14595" width="8" style="287" customWidth="1"/>
    <col min="14596" max="14596" width="9.85546875" style="287" customWidth="1"/>
    <col min="14597" max="14597" width="11.28515625" style="287" customWidth="1"/>
    <col min="14598" max="14598" width="17.7109375" style="287" customWidth="1"/>
    <col min="14599" max="14599" width="10.7109375" style="287" customWidth="1"/>
    <col min="14600" max="14849" width="9.28515625" style="287"/>
    <col min="14850" max="14850" width="55.28515625" style="287" customWidth="1"/>
    <col min="14851" max="14851" width="8" style="287" customWidth="1"/>
    <col min="14852" max="14852" width="9.85546875" style="287" customWidth="1"/>
    <col min="14853" max="14853" width="11.28515625" style="287" customWidth="1"/>
    <col min="14854" max="14854" width="17.7109375" style="287" customWidth="1"/>
    <col min="14855" max="14855" width="10.7109375" style="287" customWidth="1"/>
    <col min="14856" max="15105" width="9.28515625" style="287"/>
    <col min="15106" max="15106" width="55.28515625" style="287" customWidth="1"/>
    <col min="15107" max="15107" width="8" style="287" customWidth="1"/>
    <col min="15108" max="15108" width="9.85546875" style="287" customWidth="1"/>
    <col min="15109" max="15109" width="11.28515625" style="287" customWidth="1"/>
    <col min="15110" max="15110" width="17.7109375" style="287" customWidth="1"/>
    <col min="15111" max="15111" width="10.7109375" style="287" customWidth="1"/>
    <col min="15112" max="15361" width="9.28515625" style="287"/>
    <col min="15362" max="15362" width="55.28515625" style="287" customWidth="1"/>
    <col min="15363" max="15363" width="8" style="287" customWidth="1"/>
    <col min="15364" max="15364" width="9.85546875" style="287" customWidth="1"/>
    <col min="15365" max="15365" width="11.28515625" style="287" customWidth="1"/>
    <col min="15366" max="15366" width="17.7109375" style="287" customWidth="1"/>
    <col min="15367" max="15367" width="10.7109375" style="287" customWidth="1"/>
    <col min="15368" max="15617" width="9.28515625" style="287"/>
    <col min="15618" max="15618" width="55.28515625" style="287" customWidth="1"/>
    <col min="15619" max="15619" width="8" style="287" customWidth="1"/>
    <col min="15620" max="15620" width="9.85546875" style="287" customWidth="1"/>
    <col min="15621" max="15621" width="11.28515625" style="287" customWidth="1"/>
    <col min="15622" max="15622" width="17.7109375" style="287" customWidth="1"/>
    <col min="15623" max="15623" width="10.7109375" style="287" customWidth="1"/>
    <col min="15624" max="15873" width="9.28515625" style="287"/>
    <col min="15874" max="15874" width="55.28515625" style="287" customWidth="1"/>
    <col min="15875" max="15875" width="8" style="287" customWidth="1"/>
    <col min="15876" max="15876" width="9.85546875" style="287" customWidth="1"/>
    <col min="15877" max="15877" width="11.28515625" style="287" customWidth="1"/>
    <col min="15878" max="15878" width="17.7109375" style="287" customWidth="1"/>
    <col min="15879" max="15879" width="10.7109375" style="287" customWidth="1"/>
    <col min="15880" max="16129" width="9.28515625" style="287"/>
    <col min="16130" max="16130" width="55.28515625" style="287" customWidth="1"/>
    <col min="16131" max="16131" width="8" style="287" customWidth="1"/>
    <col min="16132" max="16132" width="9.85546875" style="287" customWidth="1"/>
    <col min="16133" max="16133" width="11.28515625" style="287" customWidth="1"/>
    <col min="16134" max="16134" width="17.7109375" style="287" customWidth="1"/>
    <col min="16135" max="16135" width="10.7109375" style="287" customWidth="1"/>
    <col min="16136" max="16384" width="9.28515625" style="287"/>
  </cols>
  <sheetData>
    <row r="1" spans="1:7" s="283" customFormat="1" ht="31.2" customHeight="1">
      <c r="B1" s="284" t="s">
        <v>3</v>
      </c>
      <c r="C1" s="285" t="str">
        <f>Rekapitulace!K4</f>
        <v>Revitalizace veřejného prostoru v proluce mezi ZUŠ a domem čp. 23 vč. přilehlých prostor ul. Radniční</v>
      </c>
      <c r="D1" s="285"/>
      <c r="E1" s="285"/>
      <c r="F1" s="285"/>
      <c r="G1" s="286"/>
    </row>
    <row r="2" spans="1:7" ht="12.75" customHeight="1">
      <c r="A2" s="287"/>
      <c r="B2" s="288"/>
      <c r="C2" s="289"/>
      <c r="D2" s="289"/>
      <c r="E2" s="289"/>
      <c r="F2" s="289"/>
      <c r="G2" s="290"/>
    </row>
    <row r="3" spans="1:7" ht="12.75" customHeight="1">
      <c r="A3" s="287"/>
      <c r="B3" s="291" t="s">
        <v>70</v>
      </c>
      <c r="C3" s="292"/>
      <c r="D3" s="292"/>
      <c r="E3" s="292"/>
      <c r="F3" s="292"/>
      <c r="G3" s="293"/>
    </row>
    <row r="4" spans="1:7" ht="12.75" customHeight="1">
      <c r="A4" s="287"/>
      <c r="B4" s="288"/>
      <c r="C4" s="289"/>
      <c r="D4" s="289"/>
      <c r="E4" s="289"/>
      <c r="F4" s="289"/>
      <c r="G4" s="290"/>
    </row>
    <row r="5" spans="1:7" s="283" customFormat="1" ht="14.4" thickBot="1">
      <c r="B5" s="294" t="s">
        <v>584</v>
      </c>
      <c r="C5" s="295"/>
      <c r="D5" s="295"/>
      <c r="E5" s="295"/>
      <c r="F5" s="295"/>
      <c r="G5" s="296"/>
    </row>
    <row r="6" spans="1:7" s="283" customFormat="1" ht="16.5" customHeight="1" thickBot="1">
      <c r="B6" s="297" t="s">
        <v>11</v>
      </c>
      <c r="C6" s="101">
        <f>Rekapitulace!K11</f>
        <v>0</v>
      </c>
      <c r="D6" s="101"/>
      <c r="E6" s="101"/>
      <c r="F6" s="101"/>
      <c r="G6" s="102"/>
    </row>
    <row r="7" spans="1:7" s="283" customFormat="1" ht="3.75" customHeight="1">
      <c r="B7" s="298"/>
      <c r="C7" s="298"/>
      <c r="D7" s="298"/>
      <c r="E7" s="298"/>
      <c r="F7" s="298"/>
      <c r="G7" s="298"/>
    </row>
    <row r="8" spans="1:7" s="299" customFormat="1" ht="42.75" customHeight="1">
      <c r="B8" s="300" t="s">
        <v>71</v>
      </c>
      <c r="C8" s="301"/>
      <c r="D8" s="301"/>
      <c r="E8" s="301"/>
      <c r="F8" s="301"/>
      <c r="G8" s="302"/>
    </row>
    <row r="9" spans="1:7" ht="6" customHeight="1">
      <c r="A9" s="287"/>
      <c r="B9" s="303"/>
      <c r="C9" s="303"/>
      <c r="D9" s="303"/>
      <c r="E9" s="303"/>
      <c r="F9" s="303"/>
      <c r="G9" s="303"/>
    </row>
    <row r="10" spans="1:7" s="306" customFormat="1" ht="20.399999999999999">
      <c r="A10" s="304" t="s">
        <v>46</v>
      </c>
      <c r="B10" s="304" t="s">
        <v>72</v>
      </c>
      <c r="C10" s="304" t="s">
        <v>73</v>
      </c>
      <c r="D10" s="11" t="s">
        <v>74</v>
      </c>
      <c r="E10" s="12" t="s">
        <v>75</v>
      </c>
      <c r="F10" s="13" t="s">
        <v>76</v>
      </c>
      <c r="G10" s="305" t="s">
        <v>77</v>
      </c>
    </row>
    <row r="11" spans="1:7" ht="5.25" customHeight="1" thickBot="1">
      <c r="A11" s="307"/>
      <c r="B11" s="308"/>
      <c r="C11" s="307"/>
      <c r="D11" s="14"/>
      <c r="E11" s="2"/>
      <c r="F11" s="15"/>
      <c r="G11" s="309"/>
    </row>
    <row r="12" spans="1:7" ht="25.8" customHeight="1" thickBot="1">
      <c r="A12" s="287"/>
      <c r="B12" s="310" t="s">
        <v>801</v>
      </c>
      <c r="C12" s="311"/>
      <c r="D12" s="311"/>
      <c r="E12" s="311"/>
      <c r="F12" s="311"/>
      <c r="G12" s="312"/>
    </row>
    <row r="13" spans="1:7" ht="13.8" thickBot="1">
      <c r="A13" s="313"/>
      <c r="B13" s="314" t="s">
        <v>570</v>
      </c>
      <c r="C13" s="313"/>
      <c r="D13" s="16"/>
      <c r="E13" s="77"/>
      <c r="F13" s="17">
        <f>SUM(F14:F17)</f>
        <v>0</v>
      </c>
      <c r="G13" s="315" t="s">
        <v>78</v>
      </c>
    </row>
    <row r="14" spans="1:7" ht="20.399999999999999">
      <c r="A14" s="316">
        <v>1</v>
      </c>
      <c r="B14" s="317" t="s">
        <v>571</v>
      </c>
      <c r="C14" s="316" t="s">
        <v>57</v>
      </c>
      <c r="D14" s="46">
        <v>1</v>
      </c>
      <c r="E14" s="75"/>
      <c r="F14" s="47">
        <f>E14*D14</f>
        <v>0</v>
      </c>
      <c r="G14" s="318"/>
    </row>
    <row r="15" spans="1:7" ht="20.399999999999999">
      <c r="A15" s="316">
        <f>A14+1</f>
        <v>2</v>
      </c>
      <c r="B15" s="317" t="s">
        <v>572</v>
      </c>
      <c r="C15" s="316" t="s">
        <v>57</v>
      </c>
      <c r="D15" s="46">
        <v>1</v>
      </c>
      <c r="E15" s="75"/>
      <c r="F15" s="47">
        <f>E15*D15</f>
        <v>0</v>
      </c>
      <c r="G15" s="318"/>
    </row>
    <row r="16" spans="1:7" ht="12">
      <c r="A16" s="316">
        <f>A15+1</f>
        <v>3</v>
      </c>
      <c r="B16" s="317" t="s">
        <v>784</v>
      </c>
      <c r="C16" s="316" t="s">
        <v>57</v>
      </c>
      <c r="D16" s="46">
        <v>1</v>
      </c>
      <c r="E16" s="75"/>
      <c r="F16" s="47">
        <f>E16*D16</f>
        <v>0</v>
      </c>
      <c r="G16" s="318"/>
    </row>
    <row r="17" spans="1:7" ht="4.5" customHeight="1" thickBot="1">
      <c r="A17" s="319"/>
      <c r="B17" s="320"/>
      <c r="C17" s="319"/>
      <c r="D17" s="18"/>
      <c r="E17" s="76"/>
      <c r="F17" s="2"/>
      <c r="G17" s="321"/>
    </row>
    <row r="18" spans="1:7" ht="13.8" thickBot="1">
      <c r="A18" s="313"/>
      <c r="B18" s="314" t="s">
        <v>573</v>
      </c>
      <c r="C18" s="313"/>
      <c r="D18" s="16"/>
      <c r="E18" s="77"/>
      <c r="F18" s="17">
        <f>SUM(F19:F21)</f>
        <v>0</v>
      </c>
      <c r="G18" s="315" t="s">
        <v>78</v>
      </c>
    </row>
    <row r="19" spans="1:7" ht="12">
      <c r="A19" s="316">
        <f>A16+1</f>
        <v>4</v>
      </c>
      <c r="B19" s="317" t="s">
        <v>574</v>
      </c>
      <c r="C19" s="316" t="s">
        <v>62</v>
      </c>
      <c r="D19" s="46">
        <v>22</v>
      </c>
      <c r="E19" s="75"/>
      <c r="F19" s="47">
        <f>E19*D19</f>
        <v>0</v>
      </c>
      <c r="G19" s="318"/>
    </row>
    <row r="20" spans="1:7" ht="12">
      <c r="A20" s="316">
        <f t="shared" ref="A20" si="0">A19+1</f>
        <v>5</v>
      </c>
      <c r="B20" s="317" t="s">
        <v>575</v>
      </c>
      <c r="C20" s="316" t="s">
        <v>62</v>
      </c>
      <c r="D20" s="46">
        <v>15</v>
      </c>
      <c r="E20" s="75"/>
      <c r="F20" s="47">
        <f>E20*D20</f>
        <v>0</v>
      </c>
      <c r="G20" s="318"/>
    </row>
    <row r="21" spans="1:7" ht="4.5" customHeight="1" thickBot="1">
      <c r="A21" s="319"/>
      <c r="B21" s="320"/>
      <c r="C21" s="319"/>
      <c r="D21" s="18"/>
      <c r="E21" s="76"/>
      <c r="F21" s="2"/>
      <c r="G21" s="321"/>
    </row>
    <row r="22" spans="1:7" ht="13.8" thickBot="1">
      <c r="A22" s="322"/>
      <c r="B22" s="314" t="s">
        <v>576</v>
      </c>
      <c r="C22" s="322"/>
      <c r="D22" s="19"/>
      <c r="E22" s="78"/>
      <c r="F22" s="17">
        <f>SUM(F23:F25)</f>
        <v>0</v>
      </c>
      <c r="G22" s="315" t="s">
        <v>78</v>
      </c>
    </row>
    <row r="23" spans="1:7" ht="12">
      <c r="A23" s="316">
        <f>A20+1</f>
        <v>6</v>
      </c>
      <c r="B23" s="317" t="s">
        <v>577</v>
      </c>
      <c r="C23" s="316" t="s">
        <v>57</v>
      </c>
      <c r="D23" s="46">
        <v>1</v>
      </c>
      <c r="E23" s="75"/>
      <c r="F23" s="47">
        <f>E23*D23</f>
        <v>0</v>
      </c>
      <c r="G23" s="318"/>
    </row>
    <row r="24" spans="1:7" ht="12">
      <c r="A24" s="316">
        <f t="shared" ref="A24" si="1">A23+1</f>
        <v>7</v>
      </c>
      <c r="B24" s="323" t="s">
        <v>578</v>
      </c>
      <c r="C24" s="316" t="s">
        <v>57</v>
      </c>
      <c r="D24" s="46">
        <v>1</v>
      </c>
      <c r="E24" s="79"/>
      <c r="F24" s="47">
        <f>E24*D24</f>
        <v>0</v>
      </c>
      <c r="G24" s="324"/>
    </row>
    <row r="25" spans="1:7" ht="12">
      <c r="A25" s="316">
        <f>A24+1</f>
        <v>8</v>
      </c>
      <c r="B25" s="317" t="s">
        <v>579</v>
      </c>
      <c r="C25" s="316" t="s">
        <v>57</v>
      </c>
      <c r="D25" s="46">
        <v>1</v>
      </c>
      <c r="E25" s="75"/>
      <c r="F25" s="47">
        <f>E25*D25</f>
        <v>0</v>
      </c>
      <c r="G25" s="318"/>
    </row>
    <row r="26" spans="1:7" ht="6" customHeight="1" thickBot="1">
      <c r="A26" s="325"/>
      <c r="B26" s="326"/>
      <c r="C26" s="325"/>
      <c r="D26" s="20"/>
      <c r="E26" s="76"/>
      <c r="F26" s="2"/>
      <c r="G26" s="321"/>
    </row>
    <row r="27" spans="1:7" ht="13.8" thickBot="1">
      <c r="A27" s="322"/>
      <c r="B27" s="314" t="s">
        <v>580</v>
      </c>
      <c r="C27" s="322"/>
      <c r="D27" s="19"/>
      <c r="E27" s="78"/>
      <c r="F27" s="17">
        <f>SUM(F28:F34)</f>
        <v>0</v>
      </c>
      <c r="G27" s="315" t="s">
        <v>78</v>
      </c>
    </row>
    <row r="28" spans="1:7" ht="12">
      <c r="A28" s="316">
        <f>A25+1</f>
        <v>9</v>
      </c>
      <c r="B28" s="323" t="s">
        <v>582</v>
      </c>
      <c r="C28" s="316" t="s">
        <v>54</v>
      </c>
      <c r="D28" s="46">
        <f>1.6*1.3*1.6*2</f>
        <v>6.6560000000000006</v>
      </c>
      <c r="E28" s="79"/>
      <c r="F28" s="47">
        <f t="shared" ref="F28:F34" si="2">E28*D28</f>
        <v>0</v>
      </c>
      <c r="G28" s="324"/>
    </row>
    <row r="29" spans="1:7" ht="20.399999999999999">
      <c r="A29" s="316">
        <f t="shared" ref="A29:A34" si="3">A28+1</f>
        <v>10</v>
      </c>
      <c r="B29" s="323" t="s">
        <v>785</v>
      </c>
      <c r="C29" s="316" t="s">
        <v>58</v>
      </c>
      <c r="D29" s="46">
        <f>SUM(D19:D20)</f>
        <v>37</v>
      </c>
      <c r="E29" s="79"/>
      <c r="F29" s="47">
        <f t="shared" si="2"/>
        <v>0</v>
      </c>
      <c r="G29" s="324"/>
    </row>
    <row r="30" spans="1:7" ht="12">
      <c r="A30" s="316">
        <f t="shared" si="3"/>
        <v>11</v>
      </c>
      <c r="B30" s="323" t="s">
        <v>583</v>
      </c>
      <c r="C30" s="316" t="s">
        <v>53</v>
      </c>
      <c r="D30" s="46">
        <f>1.4*1.1*2</f>
        <v>3.08</v>
      </c>
      <c r="E30" s="79"/>
      <c r="F30" s="47">
        <f t="shared" si="2"/>
        <v>0</v>
      </c>
      <c r="G30" s="324"/>
    </row>
    <row r="31" spans="1:7" ht="12">
      <c r="A31" s="316">
        <f t="shared" si="3"/>
        <v>12</v>
      </c>
      <c r="B31" s="323" t="s">
        <v>99</v>
      </c>
      <c r="C31" s="316" t="s">
        <v>60</v>
      </c>
      <c r="D31" s="46">
        <f>SUM(F13:F26)/2</f>
        <v>0</v>
      </c>
      <c r="E31" s="161"/>
      <c r="F31" s="47">
        <f t="shared" si="2"/>
        <v>0</v>
      </c>
      <c r="G31" s="324"/>
    </row>
    <row r="32" spans="1:7" ht="12">
      <c r="A32" s="316">
        <f t="shared" si="3"/>
        <v>13</v>
      </c>
      <c r="B32" s="323" t="s">
        <v>792</v>
      </c>
      <c r="C32" s="316" t="s">
        <v>61</v>
      </c>
      <c r="D32" s="46">
        <v>1</v>
      </c>
      <c r="E32" s="79"/>
      <c r="F32" s="47">
        <f t="shared" si="2"/>
        <v>0</v>
      </c>
      <c r="G32" s="324"/>
    </row>
    <row r="33" spans="1:9" ht="12">
      <c r="A33" s="316">
        <f t="shared" si="3"/>
        <v>14</v>
      </c>
      <c r="B33" s="323" t="s">
        <v>101</v>
      </c>
      <c r="C33" s="316" t="s">
        <v>62</v>
      </c>
      <c r="D33" s="46">
        <f>D29</f>
        <v>37</v>
      </c>
      <c r="E33" s="79"/>
      <c r="F33" s="47">
        <f t="shared" si="2"/>
        <v>0</v>
      </c>
      <c r="G33" s="324"/>
    </row>
    <row r="34" spans="1:9" ht="12">
      <c r="A34" s="316">
        <f t="shared" si="3"/>
        <v>15</v>
      </c>
      <c r="B34" s="323" t="s">
        <v>100</v>
      </c>
      <c r="C34" s="316" t="s">
        <v>61</v>
      </c>
      <c r="D34" s="46">
        <v>1</v>
      </c>
      <c r="E34" s="79"/>
      <c r="F34" s="47">
        <f t="shared" si="2"/>
        <v>0</v>
      </c>
      <c r="G34" s="324"/>
    </row>
    <row r="35" spans="1:9" ht="6" customHeight="1" thickBot="1">
      <c r="A35" s="325"/>
      <c r="B35" s="326"/>
      <c r="C35" s="325"/>
      <c r="D35" s="20"/>
      <c r="E35" s="76"/>
      <c r="F35" s="2"/>
      <c r="G35" s="321"/>
    </row>
    <row r="36" spans="1:9" ht="16.95" customHeight="1" thickBot="1">
      <c r="A36" s="327"/>
      <c r="B36" s="328" t="s">
        <v>94</v>
      </c>
      <c r="C36" s="327"/>
      <c r="D36" s="21"/>
      <c r="E36" s="4"/>
      <c r="F36" s="5">
        <f>SUM(F12:F35)/2</f>
        <v>0</v>
      </c>
      <c r="G36" s="329" t="s">
        <v>78</v>
      </c>
      <c r="I36" s="330">
        <f>SUM(F13:F36)/3</f>
        <v>0</v>
      </c>
    </row>
    <row r="37" spans="1:9" ht="4.8" customHeight="1">
      <c r="A37" s="331"/>
      <c r="B37" s="332"/>
      <c r="C37" s="331"/>
      <c r="D37" s="3"/>
      <c r="E37" s="1"/>
      <c r="F37" s="1"/>
      <c r="G37" s="333"/>
    </row>
    <row r="38" spans="1:9" ht="12">
      <c r="A38" s="287"/>
      <c r="B38" s="334" t="s">
        <v>79</v>
      </c>
      <c r="C38" s="334"/>
      <c r="D38" s="334"/>
      <c r="E38" s="334"/>
      <c r="F38" s="334"/>
      <c r="G38" s="334"/>
      <c r="H38" s="335"/>
    </row>
    <row r="39" spans="1:9" ht="4.95" customHeight="1">
      <c r="A39" s="336"/>
      <c r="B39" s="337"/>
      <c r="C39" s="336"/>
      <c r="D39" s="6"/>
      <c r="E39" s="7"/>
      <c r="F39" s="8"/>
      <c r="G39" s="335"/>
      <c r="H39" s="335"/>
    </row>
    <row r="40" spans="1:9">
      <c r="A40" s="287"/>
      <c r="B40" s="338" t="s">
        <v>80</v>
      </c>
      <c r="C40" s="338"/>
      <c r="D40" s="338"/>
      <c r="E40" s="338"/>
      <c r="F40" s="338"/>
      <c r="G40" s="338"/>
      <c r="H40" s="335"/>
    </row>
    <row r="41" spans="1:9">
      <c r="A41" s="287"/>
      <c r="B41" s="338" t="s">
        <v>220</v>
      </c>
      <c r="C41" s="338"/>
      <c r="D41" s="338"/>
      <c r="E41" s="338"/>
      <c r="F41" s="338"/>
      <c r="G41" s="338"/>
      <c r="H41" s="335"/>
    </row>
    <row r="42" spans="1:9">
      <c r="A42" s="287"/>
      <c r="B42" s="338" t="s">
        <v>221</v>
      </c>
      <c r="C42" s="338"/>
      <c r="D42" s="338"/>
      <c r="E42" s="338"/>
      <c r="F42" s="338"/>
      <c r="G42" s="338"/>
      <c r="H42" s="335"/>
    </row>
    <row r="43" spans="1:9" ht="7.95" customHeight="1">
      <c r="A43" s="336"/>
      <c r="B43" s="337"/>
      <c r="C43" s="336"/>
      <c r="D43" s="6"/>
      <c r="E43" s="7"/>
      <c r="F43" s="8"/>
      <c r="G43" s="335"/>
      <c r="H43" s="335"/>
    </row>
    <row r="44" spans="1:9" ht="42" customHeight="1">
      <c r="A44" s="287"/>
      <c r="B44" s="339" t="s">
        <v>81</v>
      </c>
      <c r="C44" s="339"/>
      <c r="D44" s="339"/>
      <c r="E44" s="339"/>
      <c r="F44" s="339"/>
      <c r="G44" s="339"/>
      <c r="H44" s="340"/>
    </row>
    <row r="45" spans="1:9" ht="6.75" customHeight="1">
      <c r="A45" s="336"/>
      <c r="B45" s="337"/>
      <c r="C45" s="336"/>
      <c r="D45" s="6"/>
      <c r="E45" s="7"/>
      <c r="F45" s="8"/>
      <c r="G45" s="335"/>
      <c r="H45" s="335"/>
    </row>
    <row r="46" spans="1:9" ht="64.2" customHeight="1">
      <c r="A46" s="287"/>
      <c r="B46" s="339" t="s">
        <v>82</v>
      </c>
      <c r="C46" s="339"/>
      <c r="D46" s="339"/>
      <c r="E46" s="339"/>
      <c r="F46" s="339"/>
      <c r="G46" s="339"/>
      <c r="H46" s="340"/>
    </row>
    <row r="47" spans="1:9" ht="5.4" customHeight="1">
      <c r="A47" s="336"/>
      <c r="B47" s="337"/>
      <c r="C47" s="336"/>
      <c r="D47" s="6"/>
      <c r="E47" s="7"/>
      <c r="F47" s="8"/>
      <c r="G47" s="335"/>
      <c r="H47" s="335"/>
    </row>
    <row r="48" spans="1:9">
      <c r="A48" s="287"/>
      <c r="B48" s="341" t="s">
        <v>83</v>
      </c>
      <c r="C48" s="341"/>
      <c r="D48" s="341"/>
      <c r="E48" s="341"/>
      <c r="F48" s="341"/>
      <c r="G48" s="341"/>
      <c r="H48" s="342"/>
    </row>
    <row r="49" spans="1:8" ht="4.2" customHeight="1">
      <c r="A49" s="336"/>
      <c r="B49" s="337"/>
      <c r="C49" s="336"/>
      <c r="D49" s="6"/>
      <c r="E49" s="7"/>
      <c r="F49" s="8"/>
      <c r="G49" s="335"/>
      <c r="H49" s="335"/>
    </row>
    <row r="50" spans="1:8">
      <c r="A50" s="287"/>
      <c r="B50" s="343" t="s">
        <v>229</v>
      </c>
      <c r="C50" s="343"/>
      <c r="D50" s="343"/>
      <c r="E50" s="343"/>
      <c r="F50" s="343"/>
      <c r="G50" s="343"/>
      <c r="H50" s="343"/>
    </row>
  </sheetData>
  <sheetProtection algorithmName="SHA-512" hashValue="T5DqZdqkGuRT2NFg+u/HLyk4EclUwB/27i4cSAWsgOBQtlJoqJCWKoW4WYm7I5Het0H3ZbxrvTC8RM35yNKQVg==" saltValue="i5y8wPFradIaAKckXauHcg==" spinCount="100000" sheet="1" objects="1" scenarios="1"/>
  <mergeCells count="18">
    <mergeCell ref="B50:H50"/>
    <mergeCell ref="B48:G48"/>
    <mergeCell ref="B2:G2"/>
    <mergeCell ref="C1:G1"/>
    <mergeCell ref="B12:G12"/>
    <mergeCell ref="B44:G44"/>
    <mergeCell ref="B46:G46"/>
    <mergeCell ref="B3:G3"/>
    <mergeCell ref="B4:G4"/>
    <mergeCell ref="B5:G5"/>
    <mergeCell ref="B7:G7"/>
    <mergeCell ref="B8:G8"/>
    <mergeCell ref="B9:G9"/>
    <mergeCell ref="C6:G6"/>
    <mergeCell ref="B42:G42"/>
    <mergeCell ref="B41:G41"/>
    <mergeCell ref="B40:G40"/>
    <mergeCell ref="B38:G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  <rowBreaks count="2" manualBreakCount="2">
    <brk id="50" min="1" max="6" man="1"/>
    <brk id="51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19</vt:i4>
      </vt:variant>
    </vt:vector>
  </HeadingPairs>
  <TitlesOfParts>
    <vt:vector size="30" baseType="lpstr">
      <vt:lpstr>Rekapitulace</vt:lpstr>
      <vt:lpstr>SO.01 bourání a demolice</vt:lpstr>
      <vt:lpstr>SO.02 proluka</vt:lpstr>
      <vt:lpstr>SO.03 dětské hřiště</vt:lpstr>
      <vt:lpstr>SO.04 vyvýšené sezení</vt:lpstr>
      <vt:lpstr>SO.05 ohradní zeď</vt:lpstr>
      <vt:lpstr>SO.06 sanace zdivo ZUŠ</vt:lpstr>
      <vt:lpstr>SO.09 sadové úpravy</vt:lpstr>
      <vt:lpstr>SO.07 přípojka vodovod</vt:lpstr>
      <vt:lpstr>SO.08 dešťová kanalizace</vt:lpstr>
      <vt:lpstr>Specifikace</vt:lpstr>
      <vt:lpstr>Rekapitulace!Názvy_tisku</vt:lpstr>
      <vt:lpstr>'SO.01 bourání a demolice'!Názvy_tisku</vt:lpstr>
      <vt:lpstr>'SO.04 vyvýšené sezení'!Názvy_tisku</vt:lpstr>
      <vt:lpstr>'SO.06 sanace zdivo ZUŠ'!Názvy_tisku</vt:lpstr>
      <vt:lpstr>'SO.07 přípojka vodovod'!Názvy_tisku</vt:lpstr>
      <vt:lpstr>'SO.08 dešťová kanalizace'!Názvy_tisku</vt:lpstr>
      <vt:lpstr>'SO.09 sadové úpravy'!Názvy_tisku</vt:lpstr>
      <vt:lpstr>Specifikace!Názvy_tisku</vt:lpstr>
      <vt:lpstr>Rekapitulace!Oblast_tisku</vt:lpstr>
      <vt:lpstr>'SO.01 bourání a demolice'!Oblast_tisku</vt:lpstr>
      <vt:lpstr>'SO.02 proluka'!Oblast_tisku</vt:lpstr>
      <vt:lpstr>'SO.03 dětské hřiště'!Oblast_tisku</vt:lpstr>
      <vt:lpstr>'SO.04 vyvýšené sezení'!Oblast_tisku</vt:lpstr>
      <vt:lpstr>'SO.05 ohradní zeď'!Oblast_tisku</vt:lpstr>
      <vt:lpstr>'SO.06 sanace zdivo ZUŠ'!Oblast_tisku</vt:lpstr>
      <vt:lpstr>'SO.07 přípojka vodovod'!Oblast_tisku</vt:lpstr>
      <vt:lpstr>'SO.08 dešťová kanalizace'!Oblast_tisku</vt:lpstr>
      <vt:lpstr>'SO.09 sadové úpravy'!Oblast_tisku</vt:lpstr>
      <vt:lpstr>Specifikace!Oblast_tisku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Kulhavý</dc:creator>
  <cp:lastModifiedBy>Jakub Kulhavý</cp:lastModifiedBy>
  <cp:lastPrinted>2025-12-16T21:14:00Z</cp:lastPrinted>
  <dcterms:created xsi:type="dcterms:W3CDTF">2018-01-04T16:39:17Z</dcterms:created>
  <dcterms:modified xsi:type="dcterms:W3CDTF">2025-12-16T21:33:27Z</dcterms:modified>
</cp:coreProperties>
</file>