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0" activeTab="0"/>
  </bookViews>
  <sheets>
    <sheet name="Krycí list rozpočtu" sheetId="1" r:id="rId1"/>
    <sheet name="VORN" sheetId="2" r:id="rId2"/>
    <sheet name="Rozpočet - skupiny" sheetId="3" r:id="rId3"/>
    <sheet name="Stavební rozpočet" sheetId="4" r:id="rId4"/>
  </sheets>
  <definedNames>
    <definedName name="_xlfn.SINGLE" hidden="1">#NAME?</definedName>
    <definedName name="_xlnm.Print_Titles" localSheetId="3">'Stavební rozpočet'!$1:$11</definedName>
    <definedName name="_xlnm.Print_Area" localSheetId="0">'Krycí list rozpočtu'!$A$1:$I$37</definedName>
    <definedName name="_xlnm.Print_Area" localSheetId="3">'Stavební rozpočet'!$A$1:$N$298</definedName>
    <definedName name="_xlnm.Print_Area" localSheetId="1">'VORN'!$A$1:$I$42</definedName>
    <definedName name="vorn_sum">'VORN'!$I$41:$I$41</definedName>
  </definedNames>
  <calcPr fullCalcOnLoad="1"/>
</workbook>
</file>

<file path=xl/sharedStrings.xml><?xml version="1.0" encoding="utf-8"?>
<sst xmlns="http://schemas.openxmlformats.org/spreadsheetml/2006/main" count="1810" uniqueCount="698">
  <si>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</si>
  <si>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</si>
  <si>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</si>
  <si>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</si>
  <si>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</si>
  <si>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</si>
  <si>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</si>
  <si>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</si>
  <si>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</si>
  <si>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</si>
  <si>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</si>
  <si>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</si>
  <si>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</si>
  <si>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</si>
  <si>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</si>
  <si>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</si>
  <si>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</si>
  <si>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</si>
  <si>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</si>
  <si>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</si>
  <si>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</si>
  <si>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</si>
  <si>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</si>
  <si>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</si>
  <si>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</si>
  <si>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</si>
  <si>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</si>
  <si>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</si>
  <si>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</si>
  <si>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</si>
  <si>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</si>
  <si>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</si>
  <si>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</si>
  <si>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</si>
  <si>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</si>
  <si>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</si>
  <si>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</si>
  <si>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</si>
  <si>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</si>
  <si>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</si>
  <si>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</si>
  <si>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</si>
  <si>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</si>
  <si>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</si>
  <si>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</si>
  <si>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</si>
  <si>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</si>
  <si>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</si>
  <si>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</si>
  <si>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</si>
  <si>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</si>
  <si>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</si>
  <si>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</si>
  <si>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</si>
  <si>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</si>
  <si>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</si>
  <si>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 66 230/CZ00266230</t>
  </si>
  <si>
    <t>12039373/CZ6407301032</t>
  </si>
  <si>
    <t>122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</si>
  <si>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</si>
  <si>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</si>
  <si>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</si>
  <si>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</si>
  <si>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</si>
  <si>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</si>
  <si>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</si>
  <si>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Vytyčení IS</t>
  </si>
  <si>
    <t>Dopravní značení</t>
  </si>
  <si>
    <t>Přechody, přejezdy výkopů v době stavby</t>
  </si>
  <si>
    <t>Geodetické vytyčení stavby - souřadnce</t>
  </si>
  <si>
    <t>Zkoušky hutnění výkopů</t>
  </si>
  <si>
    <t>Zaměření skutečného provedení stavby</t>
  </si>
  <si>
    <t>Celkem ORN</t>
  </si>
  <si>
    <t>Vedlejší a ostatní rozpočtové náklady</t>
  </si>
  <si>
    <t>Kč</t>
  </si>
  <si>
    <t>%</t>
  </si>
  <si>
    <t>Základna</t>
  </si>
  <si>
    <t>Stavební rozpočet - Jen skupiny</t>
  </si>
  <si>
    <t xml:space="preserve"> </t>
  </si>
  <si>
    <t>Objekt</t>
  </si>
  <si>
    <t>Kód</t>
  </si>
  <si>
    <t>1</t>
  </si>
  <si>
    <t>4</t>
  </si>
  <si>
    <t>5</t>
  </si>
  <si>
    <t>76</t>
  </si>
  <si>
    <t>8</t>
  </si>
  <si>
    <t>9</t>
  </si>
  <si>
    <t>Zkrácený popis</t>
  </si>
  <si>
    <t>Nezařazeno</t>
  </si>
  <si>
    <t>Zemní práce</t>
  </si>
  <si>
    <t>Vodorovné konstrukce</t>
  </si>
  <si>
    <t>Komunikace</t>
  </si>
  <si>
    <t>Konstrukce</t>
  </si>
  <si>
    <t>Trubní vedení</t>
  </si>
  <si>
    <t>Dokončovací práce, demolice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</si>
  <si>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</si>
  <si>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</si>
  <si>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</si>
  <si>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</si>
  <si>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</si>
  <si>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</si>
  <si>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</si>
  <si>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</si>
  <si>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T</t>
  </si>
  <si>
    <t>Stavební rozpočet</t>
  </si>
  <si>
    <t>Č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</si>
  <si>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</si>
  <si>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</si>
  <si>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</si>
  <si>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</si>
  <si>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</si>
  <si>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</si>
  <si>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</si>
  <si>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</si>
  <si>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</si>
  <si>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</si>
  <si>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</si>
  <si>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</si>
  <si>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</si>
  <si>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</si>
  <si>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</si>
  <si>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</si>
  <si>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</si>
  <si>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</si>
  <si>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</si>
  <si>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</si>
  <si>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</si>
  <si>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</si>
  <si>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</si>
  <si>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</si>
  <si>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</si>
  <si>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</si>
  <si>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</si>
  <si>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</si>
  <si>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</si>
  <si>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</si>
  <si>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</si>
  <si>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</si>
  <si>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</si>
  <si>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</si>
  <si>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</si>
  <si>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</si>
  <si>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</si>
  <si>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</si>
  <si>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</si>
  <si>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</si>
  <si>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</si>
  <si>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</si>
  <si>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</si>
  <si>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</si>
  <si>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</si>
  <si>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</si>
  <si>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</si>
  <si>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</si>
  <si>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</si>
  <si>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</si>
  <si>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</si>
  <si>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</si>
  <si>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</si>
  <si>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</si>
  <si>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</si>
  <si>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</si>
  <si>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</si>
  <si>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</si>
  <si>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</si>
  <si>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</si>
  <si>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</si>
  <si>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</si>
  <si>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</si>
  <si>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</si>
  <si>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</si>
  <si>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</si>
  <si>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</si>
  <si>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</si>
  <si>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</si>
  <si>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</si>
  <si>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</si>
  <si>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</si>
  <si>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</si>
  <si>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</si>
  <si>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</si>
  <si>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</si>
  <si>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</si>
  <si>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</si>
  <si>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</si>
  <si>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</si>
  <si>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</si>
  <si>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</si>
  <si>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</si>
  <si>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</si>
  <si>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</si>
  <si>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</si>
  <si>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</si>
  <si>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</si>
  <si>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</si>
  <si>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</si>
  <si>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</si>
  <si>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</si>
  <si>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</si>
  <si>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</si>
  <si>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</si>
  <si>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</si>
  <si>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</si>
  <si>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</si>
  <si>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</si>
  <si>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</si>
  <si>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</si>
  <si>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</si>
  <si>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</si>
  <si>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</si>
  <si>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</si>
  <si>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</si>
  <si>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</si>
  <si>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</si>
  <si>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</si>
  <si>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</si>
  <si>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</si>
  <si>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</si>
  <si>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</si>
  <si>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</si>
  <si>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</si>
  <si>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115101201R00</t>
  </si>
  <si>
    <t>115101301R00</t>
  </si>
  <si>
    <t>119001412R00</t>
  </si>
  <si>
    <t>119001422R00</t>
  </si>
  <si>
    <t>113106231R00</t>
  </si>
  <si>
    <t>113106121R00</t>
  </si>
  <si>
    <t>113106212R00</t>
  </si>
  <si>
    <t>113108415R00</t>
  </si>
  <si>
    <t>113107615R00</t>
  </si>
  <si>
    <t>113107610R00</t>
  </si>
  <si>
    <t>113201111R00</t>
  </si>
  <si>
    <t>113202111R00</t>
  </si>
  <si>
    <t>113106241R00</t>
  </si>
  <si>
    <t>120901121RT1</t>
  </si>
  <si>
    <t>133301102R00</t>
  </si>
  <si>
    <t>133301109R00</t>
  </si>
  <si>
    <t>131201202R00</t>
  </si>
  <si>
    <t>131301202R00</t>
  </si>
  <si>
    <t>132301212R00</t>
  </si>
  <si>
    <t>131301201R00</t>
  </si>
  <si>
    <t>132201212R00</t>
  </si>
  <si>
    <t>151201103R00</t>
  </si>
  <si>
    <t>15463210</t>
  </si>
  <si>
    <t>151201302R00</t>
  </si>
  <si>
    <t>13480815</t>
  </si>
  <si>
    <t>151201212R00</t>
  </si>
  <si>
    <t>151201312R00</t>
  </si>
  <si>
    <t>151201201R00</t>
  </si>
  <si>
    <t>151201112R00</t>
  </si>
  <si>
    <t>151201301R00</t>
  </si>
  <si>
    <t>151201311R00</t>
  </si>
  <si>
    <t>151101102R00</t>
  </si>
  <si>
    <t>151101112R00</t>
  </si>
  <si>
    <t>161101103R00</t>
  </si>
  <si>
    <t>162601101R00</t>
  </si>
  <si>
    <t>162701109R00</t>
  </si>
  <si>
    <t>161101102R00</t>
  </si>
  <si>
    <t>174101101R00</t>
  </si>
  <si>
    <t>58344198</t>
  </si>
  <si>
    <t>181006111R00</t>
  </si>
  <si>
    <t>180401211R00</t>
  </si>
  <si>
    <t>00572410</t>
  </si>
  <si>
    <t>451315111R00</t>
  </si>
  <si>
    <t>452384121R00</t>
  </si>
  <si>
    <t>59321209.A</t>
  </si>
  <si>
    <t>564851111RT4</t>
  </si>
  <si>
    <t>565151111RT2</t>
  </si>
  <si>
    <t>564831111RT2</t>
  </si>
  <si>
    <t>577141112RT2</t>
  </si>
  <si>
    <t>573211112R00</t>
  </si>
  <si>
    <t>573111112R00</t>
  </si>
  <si>
    <t>584000010RAA</t>
  </si>
  <si>
    <t>596215040R00</t>
  </si>
  <si>
    <t>596291113R00</t>
  </si>
  <si>
    <t>59248040</t>
  </si>
  <si>
    <t>596811111RT5</t>
  </si>
  <si>
    <t>591141111R00</t>
  </si>
  <si>
    <t>767</t>
  </si>
  <si>
    <t>767999801R00</t>
  </si>
  <si>
    <t>767999802R00</t>
  </si>
  <si>
    <t>831352121R00</t>
  </si>
  <si>
    <t>28614982</t>
  </si>
  <si>
    <t>59710633</t>
  </si>
  <si>
    <t>831372121R00</t>
  </si>
  <si>
    <t>59710699.A</t>
  </si>
  <si>
    <t>28614921</t>
  </si>
  <si>
    <t>59710698.A</t>
  </si>
  <si>
    <t>28614923</t>
  </si>
  <si>
    <t>837355121R00</t>
  </si>
  <si>
    <t>837375121R00</t>
  </si>
  <si>
    <t>871373121R00</t>
  </si>
  <si>
    <t>28614258</t>
  </si>
  <si>
    <t>871241121R00</t>
  </si>
  <si>
    <t>28613765</t>
  </si>
  <si>
    <t>28614261</t>
  </si>
  <si>
    <t>899643111R00</t>
  </si>
  <si>
    <t>899623161R00</t>
  </si>
  <si>
    <t>894423116R00</t>
  </si>
  <si>
    <t>592261022</t>
  </si>
  <si>
    <t>592261091</t>
  </si>
  <si>
    <t>592261027</t>
  </si>
  <si>
    <t>59226107</t>
  </si>
  <si>
    <t>592261020</t>
  </si>
  <si>
    <t>592261220</t>
  </si>
  <si>
    <t>899311113R00</t>
  </si>
  <si>
    <t>28697495</t>
  </si>
  <si>
    <t>891372121R00</t>
  </si>
  <si>
    <t>422245124</t>
  </si>
  <si>
    <t>892585111R00</t>
  </si>
  <si>
    <t>892581111R00</t>
  </si>
  <si>
    <t>892855114R00</t>
  </si>
  <si>
    <t>894421111RT1</t>
  </si>
  <si>
    <t>59225702</t>
  </si>
  <si>
    <t>894422111RT1</t>
  </si>
  <si>
    <t>59224172</t>
  </si>
  <si>
    <t>899304111R00</t>
  </si>
  <si>
    <t>55340322</t>
  </si>
  <si>
    <t>59224393</t>
  </si>
  <si>
    <t>919735112R00</t>
  </si>
  <si>
    <t>919731121R00</t>
  </si>
  <si>
    <t>916561111RT2</t>
  </si>
  <si>
    <t>917862111RT7</t>
  </si>
  <si>
    <t>965043431RT3</t>
  </si>
  <si>
    <t>981014314R00</t>
  </si>
  <si>
    <t>H27</t>
  </si>
  <si>
    <t>998276101R00</t>
  </si>
  <si>
    <t>M019VD</t>
  </si>
  <si>
    <t>019101005VD</t>
  </si>
  <si>
    <t>M46</t>
  </si>
  <si>
    <t>460200004RT2</t>
  </si>
  <si>
    <t>460270026RT1</t>
  </si>
  <si>
    <t>460080002R00</t>
  </si>
  <si>
    <t>460420041RT1</t>
  </si>
  <si>
    <t>460490012R00</t>
  </si>
  <si>
    <t>M65</t>
  </si>
  <si>
    <t>650033111R00</t>
  </si>
  <si>
    <t>S</t>
  </si>
  <si>
    <t>979086213R00</t>
  </si>
  <si>
    <t>979083117R00</t>
  </si>
  <si>
    <t>979083191R00</t>
  </si>
  <si>
    <t>979990107R00</t>
  </si>
  <si>
    <t>979990101R00</t>
  </si>
  <si>
    <t>979990108R00</t>
  </si>
  <si>
    <t>979082318R00</t>
  </si>
  <si>
    <t>979082319R00</t>
  </si>
  <si>
    <t>Rekonstrukce splaškové kanalizace v areálu Hornické nemocnice v Bílině</t>
  </si>
  <si>
    <t>Inženýrské sítě - Splašková kanalizace - sanace potrubí + ČS01</t>
  </si>
  <si>
    <t>Areál HNSP - p.p.č. 427/1, k.ú. Bílina</t>
  </si>
  <si>
    <t>Rozměry</t>
  </si>
  <si>
    <t>Přípravné a přidružené práce</t>
  </si>
  <si>
    <t>Čerpání vody na výšku do 10 m, přítok do 500 l/min</t>
  </si>
  <si>
    <t>5*20</t>
  </si>
  <si>
    <t>Pohotovost čerp.soupravy, výška 10 m, přítok 500 l</t>
  </si>
  <si>
    <t>2*30</t>
  </si>
  <si>
    <t>Dočasné zajištění beton.a plast.potrubí DN 200-500</t>
  </si>
  <si>
    <t>5*5</t>
  </si>
  <si>
    <t>Dočasné zajištění kabelů - v počtu 3 - 6 kabelů</t>
  </si>
  <si>
    <t>Rozebrání dlažeb ze zámkové dlažby v kamenivu</t>
  </si>
  <si>
    <t>4*1</t>
  </si>
  <si>
    <t>5*3</t>
  </si>
  <si>
    <t>5*1</t>
  </si>
  <si>
    <t>Rozebrání dlažeb z betonových dlaždic na sucho</t>
  </si>
  <si>
    <t>5*2</t>
  </si>
  <si>
    <t>Rozebrání dlažeb z velkých kostek v živici - betonu</t>
  </si>
  <si>
    <t>Odstranění asfaltové vrstvy pl.nad 50 m2, tl.15 cm</t>
  </si>
  <si>
    <t>Odstranění podkladu nad 50 m2,kam.drcené tl.15 cm</t>
  </si>
  <si>
    <t>10+40</t>
  </si>
  <si>
    <t>Odstranění podkladu nad 50 m2,kam.drcené tl.10 cm</t>
  </si>
  <si>
    <t>24+10</t>
  </si>
  <si>
    <t>Vytrhání obrubníků chodníkových a parkových</t>
  </si>
  <si>
    <t>5+5+4+5</t>
  </si>
  <si>
    <t>Vytrhání obrub obrubníků silničních</t>
  </si>
  <si>
    <t>Rozebrání ploch komunikací ze silničních panelů</t>
  </si>
  <si>
    <t>15*3</t>
  </si>
  <si>
    <t>Odkopávky a prokopávky</t>
  </si>
  <si>
    <t>Bourání konstrukcí z prostého betonu v odkopávkách</t>
  </si>
  <si>
    <t>2,5*2*0,45</t>
  </si>
  <si>
    <t>Hloubené vykopávky</t>
  </si>
  <si>
    <t>Hloubení šachet v hor.4 nad 100 m3</t>
  </si>
  <si>
    <t>4*4*5</t>
  </si>
  <si>
    <t>4*4*4</t>
  </si>
  <si>
    <t>4*4*4,5</t>
  </si>
  <si>
    <t>4*4*3,5</t>
  </si>
  <si>
    <t>Příplatek za lepivost - hloubení šachet v hor.4</t>
  </si>
  <si>
    <t>352</t>
  </si>
  <si>
    <t>Hloubení zapažených jam v hor.3 do 1000 m3</t>
  </si>
  <si>
    <t>4*4*2</t>
  </si>
  <si>
    <t>3*3*2</t>
  </si>
  <si>
    <t>Hloubení zapažených jam v hor.4 do 1000 m3</t>
  </si>
  <si>
    <t>4*4*1,5</t>
  </si>
  <si>
    <t>3*3*1,5</t>
  </si>
  <si>
    <t>3*3,5*3,5*1,5+5*2,5*2,5*1</t>
  </si>
  <si>
    <t>Hloubení rýh š.do 200 cm hor.4 do 1000 m3, STROJNĚ</t>
  </si>
  <si>
    <t>28*1,2*2,5</t>
  </si>
  <si>
    <t>Hloubení zapažených jam v hor.4 do 100 m3</t>
  </si>
  <si>
    <t>4*2,5*3</t>
  </si>
  <si>
    <t>Hloubení rýh š.do 200 cm hor.3 do 1000m3,STROJNĚ</t>
  </si>
  <si>
    <t>35*1*2</t>
  </si>
  <si>
    <t>4*1*1,5</t>
  </si>
  <si>
    <t>Roubení</t>
  </si>
  <si>
    <t>Pažení a rozepření stěn rýh - zátažné - hl. do 8 m</t>
  </si>
  <si>
    <t>2*(4*4)*5+2*(4*4)*4,5+1*(4*4)*3,5</t>
  </si>
  <si>
    <t>Pažnice Union 11320 profil číslo 6100930</t>
  </si>
  <si>
    <t>((5*64*5*8,4)/1000)*0,5</t>
  </si>
  <si>
    <t>;ztratné 25%; 1,68</t>
  </si>
  <si>
    <t>Rozepření stěn pažení - zátažné -  hl. do 8 m</t>
  </si>
  <si>
    <t>2*4*4*5+2*4*4*4,5+1*4*4*3,5</t>
  </si>
  <si>
    <t>Tyč průřezu I 200, hrubé, jakost oceli S235</t>
  </si>
  <si>
    <t>5*((4*4)*3*23/1000)</t>
  </si>
  <si>
    <t>Odstranění pažení stěn - zátažné - hl. do 8 m</t>
  </si>
  <si>
    <t>360</t>
  </si>
  <si>
    <t>Odstranění rozepření stěn - zátažné - hl. do 8 m</t>
  </si>
  <si>
    <t>Pažení stěn výkopu - zátažné - hloubky do 4 m</t>
  </si>
  <si>
    <t>4*3*3,5</t>
  </si>
  <si>
    <t>Odstranění pažení stěn rýh - zátažné - hl. do 4 m</t>
  </si>
  <si>
    <t>Rozepření stěn pažení - zátažné -  hl. do 4 m</t>
  </si>
  <si>
    <t>4*4*3,5+4*3*3,5</t>
  </si>
  <si>
    <t>Odstranění rozepření stěn - zátažné - hl. do 4 m</t>
  </si>
  <si>
    <t>Pažení a rozepření stěn rýh - příložné - hl.do 4 m</t>
  </si>
  <si>
    <t>(28)*2,5*2</t>
  </si>
  <si>
    <t>Odstranění pažení stěn rýh - příložné - hl. do 4 m</t>
  </si>
  <si>
    <t>140</t>
  </si>
  <si>
    <t>(4+2,5+4+2,5)*3</t>
  </si>
  <si>
    <t>Přemístění výkopku</t>
  </si>
  <si>
    <t>Svislé přemístění výkopku z hor.1-4 do 6,0 m</t>
  </si>
  <si>
    <t>Vodorovné přemístění výkopku z hor.1-4 do 4000 m</t>
  </si>
  <si>
    <t>352+30</t>
  </si>
  <si>
    <t>Příplatek k vod. přemístění hor.1-4 za další 1 km</t>
  </si>
  <si>
    <t>(352+30)*4</t>
  </si>
  <si>
    <t>Svislé přemístění výkopku z hor.1-4 do 4,0 m</t>
  </si>
  <si>
    <t>Konstrukce ze zemin</t>
  </si>
  <si>
    <t>Zásyp jam, rýh, šachet se zhutněním</t>
  </si>
  <si>
    <t>Štěrkodrtě frakce 0-63 B</t>
  </si>
  <si>
    <t>(352+30)*1,8</t>
  </si>
  <si>
    <t>Povrchové úpravy terénu</t>
  </si>
  <si>
    <t>Rozprostření zemin v rov./sklonu 1:5, tl. do 10 cm</t>
  </si>
  <si>
    <t>10*10</t>
  </si>
  <si>
    <t>Založení trávníku lučního výsevem v rovině</t>
  </si>
  <si>
    <t>Směs travní parková II. mírná zátěž PROFI</t>
  </si>
  <si>
    <t>100*0,15</t>
  </si>
  <si>
    <t>Podkladní a vedlejší konstrukce (kromě vozovek a železničního svršku)</t>
  </si>
  <si>
    <t>Podkladní vrstva z betonu prostého C 25/30 do 10cm</t>
  </si>
  <si>
    <t>6*4*1</t>
  </si>
  <si>
    <t>Podkladní pražce z betonu C -/7,5 do 50000 mm2</t>
  </si>
  <si>
    <t>Podkladní pražec pod KAM potrubí</t>
  </si>
  <si>
    <t>5*6</t>
  </si>
  <si>
    <t>Podkladní vrstvy komunikací, letišť a ploch</t>
  </si>
  <si>
    <t>Podklad ze štěrkodrti po zhutnění tloušťky 15 cm</t>
  </si>
  <si>
    <t>40+10</t>
  </si>
  <si>
    <t>Podklad z obal kam.ACP 16+,ACP 22+,do 3 m,tl. 7 cm</t>
  </si>
  <si>
    <t>Podklad ze štěrkodrti po zhutnění tloušťky 10 cm</t>
  </si>
  <si>
    <t>Kryty pozemních komunikací, letišť a ploch z kameniva nebo živičné</t>
  </si>
  <si>
    <t>Beton asfalt. ACO 11+,nebo ACO 16+,do 3 m, tl.5 cm</t>
  </si>
  <si>
    <t>Postřik živičný spojovací z asfaltu 0,2 kg/m2</t>
  </si>
  <si>
    <t>Postřik živičný infiltr.+ posyp,z asfaltu 1 kg/m2</t>
  </si>
  <si>
    <t>Kryty pozemních komunikací, letišť a ploch z betonu a ostatních hmot</t>
  </si>
  <si>
    <t>Komunikace ze silničních panelů včetně IZD 3/10 300 x 150 x 15 cm</t>
  </si>
  <si>
    <t>45+10</t>
  </si>
  <si>
    <t>Kryty pozemních komunikací, letišť a ploch dlážděných (předlažby)</t>
  </si>
  <si>
    <t>Kladení zámkové dlažby tl. 8 cm do drtě tl. 4 cm</t>
  </si>
  <si>
    <t>Řezání zámkové dlažby tl. 80 mm</t>
  </si>
  <si>
    <t>Dlažba zámková GRANIT 20/10/8 II přírodní</t>
  </si>
  <si>
    <t>Kladení dlaždic kom.pro pěší, lože z kameniva těž.</t>
  </si>
  <si>
    <t>Kladení dlažby velké kostky, lože z MC tl. 5 cm</t>
  </si>
  <si>
    <t>Konstrukce doplňkové stavební (zámečnické)</t>
  </si>
  <si>
    <t>Demontáž  a zpětná montáž doplňků staveb o hmotnosti do 50 kg</t>
  </si>
  <si>
    <t>45+35</t>
  </si>
  <si>
    <t>Demontáž doplňků staveb o hmotnosti do 100 kg</t>
  </si>
  <si>
    <t>450</t>
  </si>
  <si>
    <t>Potrubí z trub kameninových</t>
  </si>
  <si>
    <t>Montáž trub kameninových, pryž. kroužek, DN 200</t>
  </si>
  <si>
    <t>4*2</t>
  </si>
  <si>
    <t>Manžeta těsnicí - převlečná na KT 200 - šíře 190 mm - nerez</t>
  </si>
  <si>
    <t>Trouba kameninová hrdlová DN 200, l=1,00 m, FN 32</t>
  </si>
  <si>
    <t>Montáž trub kameninových, pryž. kroužek, DN 300</t>
  </si>
  <si>
    <t>1*2</t>
  </si>
  <si>
    <t>1*3</t>
  </si>
  <si>
    <t>Trouba kameninová hrdlová DN 300, l=2,50 m, FN 48</t>
  </si>
  <si>
    <t>Manžeta těsnicí - převlečná na KT 300 - šíře 190 mm - nerez</t>
  </si>
  <si>
    <t>Trouba kameninová hrdlová DN 250, l=2,50 m, FN 40</t>
  </si>
  <si>
    <t>Manžeta těsnicí - převlečná na KT 250 - šíře 190 mm - nerez</t>
  </si>
  <si>
    <t>Výsek a montáž kamenin. odbočky na potrubí DN 200</t>
  </si>
  <si>
    <t>Výsek a montáž kamenin. odbočky na potrubí DN 300</t>
  </si>
  <si>
    <t>1+1</t>
  </si>
  <si>
    <t>Potrubí z trub plastických, skleněných a čedičových</t>
  </si>
  <si>
    <t>Montáž trub z plastu, gumový kroužek, DN 300</t>
  </si>
  <si>
    <t>Trubka kanalizační PP 2 SN 10 250x5000 mm</t>
  </si>
  <si>
    <t>(28)/5</t>
  </si>
  <si>
    <t>;ztratné 5%; 0,28</t>
  </si>
  <si>
    <t>Montáž potrubí polyetylenového ve výkopu d 90 mm</t>
  </si>
  <si>
    <t>Trubka tlaková PE HD (PE100) d 90 x 5,4 mm PN 10</t>
  </si>
  <si>
    <t>;ztratné 5%; 0,15</t>
  </si>
  <si>
    <t>Trubka kanalizační ULTRA-RIB 2 SN 10 300x5000 mm</t>
  </si>
  <si>
    <t>(35)/5</t>
  </si>
  <si>
    <t>Ostatní konstrukce a práce na trubním vedení</t>
  </si>
  <si>
    <t>Bednění pro obetonování potrubí v otevřeném výkopu</t>
  </si>
  <si>
    <t>6*2*0,5*3</t>
  </si>
  <si>
    <t>Obetonování potrubí nebo zdiva stok betonem C20/25</t>
  </si>
  <si>
    <t>6*0,5*3-6*3*0,3*0,3*3,14/4</t>
  </si>
  <si>
    <t>Osaz. bet. dílců šachet, dna, na kroužek, do 7,0 t</t>
  </si>
  <si>
    <t>4+2</t>
  </si>
  <si>
    <t>Skruž nádrže PNK Q.1 150/100 SKP 1,76 m3</t>
  </si>
  <si>
    <t>Skruž nádrže PNK Q.1 200/100 SKP 3,140 m3</t>
  </si>
  <si>
    <t>Dno nádrže PNK Q.1 150/164 BZP 2,78 m3</t>
  </si>
  <si>
    <t>Dno nádrže PNK Q.1 200/200 BZP 6,283 m3</t>
  </si>
  <si>
    <t>Deska zákrytová nádrže PNK-Q.1 150-63/17 ZDP</t>
  </si>
  <si>
    <t>Deska zákrytová nádrže PNK-Q.1 220/20 ZDP 1K 60</t>
  </si>
  <si>
    <t>Osazení poklopů litinových s rámem do 150 kg</t>
  </si>
  <si>
    <t>Poklop kompozitní EKODECK EKO 800 D400 d=800 mm</t>
  </si>
  <si>
    <t>Montáž kanalizačních šoupátek nebo stavítek DN 300</t>
  </si>
  <si>
    <t>Šoupátko deskové  DN200 + ovládání vytažené k poklopu šachty - do hrnečku</t>
  </si>
  <si>
    <t>Zabezpečení konců a zkouška vzduch. kan. DN do 300</t>
  </si>
  <si>
    <t>Zkouška těsnosti kanalizace DN do 300, vodou</t>
  </si>
  <si>
    <t>5*4</t>
  </si>
  <si>
    <t>Kontrola kanalizace TV kamerou do 200 m  po dokončení prací - předání stavby</t>
  </si>
  <si>
    <t>6*15</t>
  </si>
  <si>
    <t>Osazení betonových dílců šachet</t>
  </si>
  <si>
    <t>Skruž betonová TBX 2-100/50/12</t>
  </si>
  <si>
    <t>Skruž přechodová TBR-Q 625/600/120/SPK (SLK)</t>
  </si>
  <si>
    <t>Osazení poklopu s rámem železobetonového</t>
  </si>
  <si>
    <t>Poklop D 400 - BEGU B-1, bet. výplň, bez odvětrání</t>
  </si>
  <si>
    <t>Prstenec vyrovnávací TBW - Q  625x100</t>
  </si>
  <si>
    <t>Doplňující konstrukce a práce na pozemních komunikacích a zpevněných plochách</t>
  </si>
  <si>
    <t>Řezání stávajícího živičného krytu tl. 5 - 10 cm</t>
  </si>
  <si>
    <t>4*5</t>
  </si>
  <si>
    <t>3*4</t>
  </si>
  <si>
    <t>Zarovnání styčné plochy živičné tl. do 5 cm</t>
  </si>
  <si>
    <t>Osazení záhon.obrubníků do lože z C 12/15 s opěrou  včetně obrubníku   50/5/20 cm</t>
  </si>
  <si>
    <t>Osazení stojat. obrub.bet. s opěrou,lože z C 12/15  včetně obrubníku ABO 2 - 15 100/15/25</t>
  </si>
  <si>
    <t>Bourání konstrukcí</t>
  </si>
  <si>
    <t>Bourání podkladů bet., potěr tl. 15 cm, pl. 4 m2</t>
  </si>
  <si>
    <t>5*4*0,2</t>
  </si>
  <si>
    <t>Demolice</t>
  </si>
  <si>
    <t>Demolice budov mechanizací, zdivo, konstr. do 25 %</t>
  </si>
  <si>
    <t>5*4*3</t>
  </si>
  <si>
    <t>Vedení trubní dálková a přípojná</t>
  </si>
  <si>
    <t>Přesun hmot, trubní vedení plastová, otevř. výkop</t>
  </si>
  <si>
    <t>1001,94-78-34</t>
  </si>
  <si>
    <t>KANALIZACE</t>
  </si>
  <si>
    <t>Dodávka a montáž technologie čerpací stanice  ČS1 + elektro napojení  do rozvaděče NN + telemetrie na SČVK</t>
  </si>
  <si>
    <t>Zemní práce při montážích</t>
  </si>
  <si>
    <t>Výkop kabelové rýhy 20/50 cm, hornina 4</t>
  </si>
  <si>
    <t>Pilíř zděný pro 2 skříně SR 5 s koncovým dílem</t>
  </si>
  <si>
    <t>Betonový základ do bednění</t>
  </si>
  <si>
    <t>1,5</t>
  </si>
  <si>
    <t>Zřízení kab.lože v rýze 100 cm z pís./cem. 12 cm</t>
  </si>
  <si>
    <t>Fólie výstražná z PVC, šířka 33 cm</t>
  </si>
  <si>
    <t>Elektroinstalce</t>
  </si>
  <si>
    <t>Montáž skříně ovládací -  rozvaděč ČS1 systémová dodávka a montáž</t>
  </si>
  <si>
    <t>Přesuny sutí</t>
  </si>
  <si>
    <t>Nakládání vybouraných hmot na dopravní prostředek</t>
  </si>
  <si>
    <t>(60*0,25+4)*1,8</t>
  </si>
  <si>
    <t>Vodorovné přemístění suti na skládku do 6000 m</t>
  </si>
  <si>
    <t>34,2</t>
  </si>
  <si>
    <t>Příplatek za dalších započatých 1000 m nad 6000 m</t>
  </si>
  <si>
    <t>34,2*6</t>
  </si>
  <si>
    <t>Poplatek za skládku suti - směs betonu,cihel,dřeva</t>
  </si>
  <si>
    <t>Poplatek za skládku - výkopek</t>
  </si>
  <si>
    <t>382*1,8</t>
  </si>
  <si>
    <t>Poplatek za skládku suti - asfalt z komunikace</t>
  </si>
  <si>
    <t>13,2</t>
  </si>
  <si>
    <t>Vodorovná doprava suti a hmot po suchu do 6000 m</t>
  </si>
  <si>
    <t>Příplatek k vodor.dopravě po suchu, dalších 1000 m</t>
  </si>
  <si>
    <t>13,2*4</t>
  </si>
  <si>
    <t>20 hod na jímku</t>
  </si>
  <si>
    <t>30dní dve pracovní fronty</t>
  </si>
  <si>
    <t>jáma 1</t>
  </si>
  <si>
    <t>jáma 2</t>
  </si>
  <si>
    <t>jáma 3</t>
  </si>
  <si>
    <t>jáma 4</t>
  </si>
  <si>
    <t>jámy 1;2;3;4</t>
  </si>
  <si>
    <t>mezi ČS a TRAFEM CEZ - (nelze je použít nazpátek - rozbité)</t>
  </si>
  <si>
    <t>konstrukce rampy - jáma 2</t>
  </si>
  <si>
    <t>jáma1</t>
  </si>
  <si>
    <t>jáma2</t>
  </si>
  <si>
    <t>jáma3</t>
  </si>
  <si>
    <t>jáma4</t>
  </si>
  <si>
    <t>jáma5</t>
  </si>
  <si>
    <t>čs1</t>
  </si>
  <si>
    <t>š0</t>
  </si>
  <si>
    <t>š3-10</t>
  </si>
  <si>
    <t>SK1 Š0 až Šy3</t>
  </si>
  <si>
    <t>jáma pro opravu u ŠY2</t>
  </si>
  <si>
    <t>OK1</t>
  </si>
  <si>
    <t>V1</t>
  </si>
  <si>
    <t>64 pažnic na jámu-(délka 5 m); 8,4 kg/1bm (50% obrátkovost)</t>
  </si>
  <si>
    <t>3 rámy na jámu</t>
  </si>
  <si>
    <t>čs1 materiál bude použit ze sanací -jáma 1-5</t>
  </si>
  <si>
    <t xml:space="preserve"> materiál bude použit ze sanací -jáma 1-5</t>
  </si>
  <si>
    <t>SK1</t>
  </si>
  <si>
    <t>jáma ŠY2</t>
  </si>
  <si>
    <t>kolem ČS + jáma 5</t>
  </si>
  <si>
    <t>lože pod KT</t>
  </si>
  <si>
    <t>plocha kolem ČS a trafo ČEZ</t>
  </si>
  <si>
    <t>jáma 2obnova rampy</t>
  </si>
  <si>
    <t>jáma 4 rondel</t>
  </si>
  <si>
    <t>2x zábradlí rampy - odstranění s rozebráním + zpětná montáž + kotvy (bez poškození)</t>
  </si>
  <si>
    <t>vyřezání technologie ČS</t>
  </si>
  <si>
    <t>jáma 2-3-4-5</t>
  </si>
  <si>
    <t>3 m na jámu</t>
  </si>
  <si>
    <t>Š0+ČS</t>
  </si>
  <si>
    <t>S0+ČS</t>
  </si>
  <si>
    <t>Ś0</t>
  </si>
  <si>
    <t>kontrola opravy potrubí v jámě: 1-5+ŠY2  včetně nájezdu kamery potrubím</t>
  </si>
  <si>
    <t>ŠX1</t>
  </si>
  <si>
    <t>beton v trase kolem ČS</t>
  </si>
  <si>
    <t>stávající ČS</t>
  </si>
  <si>
    <t>asfalty z kom</t>
  </si>
  <si>
    <t>MJ</t>
  </si>
  <si>
    <t>h</t>
  </si>
  <si>
    <t>den</t>
  </si>
  <si>
    <t>m</t>
  </si>
  <si>
    <t>m2</t>
  </si>
  <si>
    <t>m3</t>
  </si>
  <si>
    <t>t</t>
  </si>
  <si>
    <t>kg</t>
  </si>
  <si>
    <t>kus</t>
  </si>
  <si>
    <t>úsek</t>
  </si>
  <si>
    <t>soubor</t>
  </si>
  <si>
    <t>Množství</t>
  </si>
  <si>
    <t>2.25</t>
  </si>
  <si>
    <t>13.5</t>
  </si>
  <si>
    <t>86.38</t>
  </si>
  <si>
    <t>6.72</t>
  </si>
  <si>
    <t>1.68</t>
  </si>
  <si>
    <t>5.52</t>
  </si>
  <si>
    <t>687.6</t>
  </si>
  <si>
    <t>5.6</t>
  </si>
  <si>
    <t>0.28</t>
  </si>
  <si>
    <t>0.15</t>
  </si>
  <si>
    <t>7.73</t>
  </si>
  <si>
    <t>889.94</t>
  </si>
  <si>
    <t>1.5</t>
  </si>
  <si>
    <t>34.2</t>
  </si>
  <si>
    <t>205.2</t>
  </si>
  <si>
    <t>13.2</t>
  </si>
  <si>
    <t>52.8</t>
  </si>
  <si>
    <t>15.09.2021</t>
  </si>
  <si>
    <t>Cena/MJ</t>
  </si>
  <si>
    <t>(Kč)</t>
  </si>
  <si>
    <t>Město Bílina, Břežanská 50/4, 418 01  Bílina</t>
  </si>
  <si>
    <t>Ing. Jiří Šír - VISTA</t>
  </si>
  <si>
    <t>vzejde z výberového řízení</t>
  </si>
  <si>
    <t>Jednot.</t>
  </si>
  <si>
    <t>Cenová</t>
  </si>
  <si>
    <t>soustava</t>
  </si>
  <si>
    <t>RTS I / 2021</t>
  </si>
  <si>
    <t>RTS II / 2020</t>
  </si>
  <si>
    <t>RTS II / 2021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</si>
  <si>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</si>
  <si>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</si>
  <si>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</si>
  <si>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</si>
  <si>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</si>
  <si>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</si>
  <si>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</si>
  <si>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</si>
  <si>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</si>
  <si>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</si>
  <si>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</si>
  <si>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</si>
  <si>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</si>
  <si>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15_</t>
  </si>
  <si>
    <t>16_</t>
  </si>
  <si>
    <t>17_</t>
  </si>
  <si>
    <t>18_</t>
  </si>
  <si>
    <t>45_</t>
  </si>
  <si>
    <t>56_</t>
  </si>
  <si>
    <t>57_</t>
  </si>
  <si>
    <t>58_</t>
  </si>
  <si>
    <t>59_</t>
  </si>
  <si>
    <t>767_</t>
  </si>
  <si>
    <t>83_</t>
  </si>
  <si>
    <t>87_</t>
  </si>
  <si>
    <t>89_</t>
  </si>
  <si>
    <t>91_</t>
  </si>
  <si>
    <t>96_</t>
  </si>
  <si>
    <t>98_</t>
  </si>
  <si>
    <t>H27_</t>
  </si>
  <si>
    <t>M019VD_</t>
  </si>
  <si>
    <t>M46_</t>
  </si>
  <si>
    <t>M65_</t>
  </si>
  <si>
    <t>S_</t>
  </si>
  <si>
    <t>_1_</t>
  </si>
  <si>
    <t>_4_</t>
  </si>
  <si>
    <t>_5_</t>
  </si>
  <si>
    <t>_76_</t>
  </si>
  <si>
    <t>_8_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</si>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</sst>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37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0" fontId="4" fillId="33" borderId="43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" fontId="12" fillId="7" borderId="0" xfId="0" applyNumberFormat="1" applyFont="1" applyFill="1" applyBorder="1" applyAlignment="1" applyProtection="1">
      <alignment horizontal="right" vertical="center"/>
      <protection/>
    </xf>
    <xf numFmtId="4" fontId="13" fillId="7" borderId="0" xfId="0" applyNumberFormat="1" applyFont="1" applyFill="1" applyBorder="1" applyAlignment="1" applyProtection="1">
      <alignment horizontal="right" vertical="center"/>
      <protection/>
    </xf>
    <xf numFmtId="4" fontId="1" fillId="7" borderId="11" xfId="0" applyNumberFormat="1" applyFont="1" applyFill="1" applyBorder="1" applyAlignment="1" applyProtection="1">
      <alignment horizontal="right" vertical="center"/>
      <protection/>
    </xf>
    <xf numFmtId="4" fontId="1" fillId="7" borderId="1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000FF"/>
      <rgbColor rgb="00000000"/>
      <rgbColor rgb="00000000"/>
      <rgbColor rgb="00DBDBDB"/>
      <rgbColor rgb="00000000"/>
      <rgbColor rgb="0000FFFF"/>
      <rgbColor rgb="00000000"/>
      <rgbColor rgb="00C0C0C0"/>
      <rgbColor rgb="00000000"/>
      <rgbColor rgb="00000000"/>
      <rgbColor rgb="00800080"/>
      <rgbColor rgb="00000000"/>
      <rgbColor rgb="000000FF"/>
      <rgbColor rgb="000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46" sqref="F4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27.710937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4.5" customHeight="1">
      <c r="A1" s="94"/>
      <c r="B1" s="1"/>
      <c r="C1" s="95" t="s">
        <v>22</v>
      </c>
      <c r="D1" s="96"/>
      <c r="E1" s="96"/>
      <c r="F1" s="96"/>
      <c r="G1" s="96"/>
      <c r="H1" s="96"/>
      <c r="I1" s="96"/>
    </row>
    <row r="2" spans="1:10" ht="12">
      <c r="A2" s="97" t="s">
        <v>0</v>
      </c>
      <c r="B2" s="98"/>
      <c r="C2" s="101" t="str">
        <f>'Stavební rozpočet'!D2</f>
        <v>Rekonstrukce splaškové kanalizace v areálu Hornické nemocnice v Bílině</v>
      </c>
      <c r="D2" s="102"/>
      <c r="E2" s="104" t="s">
        <v>32</v>
      </c>
      <c r="F2" s="104" t="str">
        <f>'Stavební rozpočet'!J2</f>
        <v>Město Bílina, Břežanská 50/4, 418 01  Bílina</v>
      </c>
      <c r="G2" s="98"/>
      <c r="H2" s="104" t="s">
        <v>52</v>
      </c>
      <c r="I2" s="105" t="s">
        <v>56</v>
      </c>
      <c r="J2" s="18"/>
    </row>
    <row r="3" spans="1:10" ht="25.5" customHeight="1">
      <c r="A3" s="99"/>
      <c r="B3" s="100"/>
      <c r="C3" s="103"/>
      <c r="D3" s="103"/>
      <c r="E3" s="100"/>
      <c r="F3" s="100"/>
      <c r="G3" s="100"/>
      <c r="H3" s="100"/>
      <c r="I3" s="106"/>
      <c r="J3" s="18"/>
    </row>
    <row r="4" spans="1:10" ht="12">
      <c r="A4" s="107" t="s">
        <v>1</v>
      </c>
      <c r="B4" s="100"/>
      <c r="C4" s="108" t="str">
        <f>'Stavební rozpočet'!D4</f>
        <v>Inženýrské sítě - Splašková kanalizace - sanace potrubí + ČS01</v>
      </c>
      <c r="D4" s="100"/>
      <c r="E4" s="108" t="s">
        <v>33</v>
      </c>
      <c r="F4" s="108" t="str">
        <f>'Stavební rozpočet'!J4</f>
        <v>Ing. Jiří Šír - VISTA</v>
      </c>
      <c r="G4" s="100"/>
      <c r="H4" s="108" t="s">
        <v>52</v>
      </c>
      <c r="I4" s="109" t="s">
        <v>57</v>
      </c>
      <c r="J4" s="18"/>
    </row>
    <row r="5" spans="1:10" ht="12">
      <c r="A5" s="99"/>
      <c r="B5" s="100"/>
      <c r="C5" s="100"/>
      <c r="D5" s="100"/>
      <c r="E5" s="100"/>
      <c r="F5" s="100"/>
      <c r="G5" s="100"/>
      <c r="H5" s="100"/>
      <c r="I5" s="106"/>
      <c r="J5" s="18"/>
    </row>
    <row r="6" spans="1:10" ht="12">
      <c r="A6" s="107" t="s">
        <v>2</v>
      </c>
      <c r="B6" s="100"/>
      <c r="C6" s="108" t="str">
        <f>'Stavební rozpočet'!D6</f>
        <v>Areál HNSP - p.p.č. 427/1, k.ú. Bílina</v>
      </c>
      <c r="D6" s="100"/>
      <c r="E6" s="108" t="s">
        <v>34</v>
      </c>
      <c r="F6" s="108" t="str">
        <f>'Stavební rozpočet'!J6</f>
        <v>vzejde z výberového řízení</v>
      </c>
      <c r="G6" s="100"/>
      <c r="H6" s="108" t="s">
        <v>52</v>
      </c>
      <c r="I6" s="109"/>
      <c r="J6" s="18"/>
    </row>
    <row r="7" spans="1:10" ht="12">
      <c r="A7" s="99"/>
      <c r="B7" s="100"/>
      <c r="C7" s="100"/>
      <c r="D7" s="100"/>
      <c r="E7" s="100"/>
      <c r="F7" s="100"/>
      <c r="G7" s="100"/>
      <c r="H7" s="100"/>
      <c r="I7" s="106"/>
      <c r="J7" s="18"/>
    </row>
    <row r="8" spans="1:10" ht="12">
      <c r="A8" s="107" t="s">
        <v>3</v>
      </c>
      <c r="B8" s="100"/>
      <c r="C8" s="108" t="str">
        <f>'Stavební rozpočet'!H4</f>
        <v> </v>
      </c>
      <c r="D8" s="100"/>
      <c r="E8" s="108" t="s">
        <v>35</v>
      </c>
      <c r="F8" s="108" t="str">
        <f>'Stavební rozpočet'!H6</f>
        <v> </v>
      </c>
      <c r="G8" s="100"/>
      <c r="H8" s="110" t="s">
        <v>53</v>
      </c>
      <c r="I8" s="109" t="s">
        <v>58</v>
      </c>
      <c r="J8" s="18"/>
    </row>
    <row r="9" spans="1:10" ht="12">
      <c r="A9" s="99"/>
      <c r="B9" s="100"/>
      <c r="C9" s="100"/>
      <c r="D9" s="100"/>
      <c r="E9" s="100"/>
      <c r="F9" s="100"/>
      <c r="G9" s="100"/>
      <c r="H9" s="100"/>
      <c r="I9" s="106"/>
      <c r="J9" s="18"/>
    </row>
    <row r="10" spans="1:10" ht="12">
      <c r="A10" s="107" t="s">
        <v>4</v>
      </c>
      <c r="B10" s="100"/>
      <c r="C10" s="108">
        <f>'Stavební rozpočet'!D8</f>
        <v>8272152</v>
      </c>
      <c r="D10" s="100"/>
      <c r="E10" s="108" t="s">
        <v>36</v>
      </c>
      <c r="F10" s="108" t="str">
        <f>'Stavební rozpočet'!J8</f>
        <v>Ing. Jiří Šír - VISTA</v>
      </c>
      <c r="G10" s="100"/>
      <c r="H10" s="110" t="s">
        <v>54</v>
      </c>
      <c r="I10" s="113" t="str">
        <f>'Stavební rozpočet'!H8</f>
        <v>15.09.2021</v>
      </c>
      <c r="J10" s="18"/>
    </row>
    <row r="11" spans="1:10" ht="12">
      <c r="A11" s="111"/>
      <c r="B11" s="112"/>
      <c r="C11" s="112"/>
      <c r="D11" s="112"/>
      <c r="E11" s="112"/>
      <c r="F11" s="112"/>
      <c r="G11" s="112"/>
      <c r="H11" s="112"/>
      <c r="I11" s="114"/>
      <c r="J11" s="18"/>
    </row>
    <row r="12" spans="1:9" ht="23.25" customHeight="1">
      <c r="A12" s="115" t="s">
        <v>5</v>
      </c>
      <c r="B12" s="116"/>
      <c r="C12" s="116"/>
      <c r="D12" s="116"/>
      <c r="E12" s="116"/>
      <c r="F12" s="116"/>
      <c r="G12" s="116"/>
      <c r="H12" s="116"/>
      <c r="I12" s="116"/>
    </row>
    <row r="13" spans="1:10" ht="26.25" customHeight="1">
      <c r="A13" s="2" t="s">
        <v>6</v>
      </c>
      <c r="B13" s="117" t="s">
        <v>19</v>
      </c>
      <c r="C13" s="118"/>
      <c r="D13" s="2" t="s">
        <v>23</v>
      </c>
      <c r="E13" s="117" t="s">
        <v>37</v>
      </c>
      <c r="F13" s="118"/>
      <c r="G13" s="2" t="s">
        <v>38</v>
      </c>
      <c r="H13" s="117" t="s">
        <v>55</v>
      </c>
      <c r="I13" s="118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rozpočet'!AB12:AB297)</f>
        <v>0</v>
      </c>
      <c r="D14" s="119" t="s">
        <v>24</v>
      </c>
      <c r="E14" s="120"/>
      <c r="F14" s="12">
        <f>VORN!I15</f>
        <v>0</v>
      </c>
      <c r="G14" s="119" t="s">
        <v>39</v>
      </c>
      <c r="H14" s="120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rozpočet'!AC12:AC297)</f>
        <v>0</v>
      </c>
      <c r="D15" s="119" t="s">
        <v>25</v>
      </c>
      <c r="E15" s="120"/>
      <c r="F15" s="12">
        <f>VORN!I16</f>
        <v>0</v>
      </c>
      <c r="G15" s="119" t="s">
        <v>40</v>
      </c>
      <c r="H15" s="120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rozpočet'!AD12:AD297)</f>
        <v>0</v>
      </c>
      <c r="D16" s="119" t="s">
        <v>26</v>
      </c>
      <c r="E16" s="120"/>
      <c r="F16" s="12">
        <f>VORN!I17</f>
        <v>0</v>
      </c>
      <c r="G16" s="119" t="s">
        <v>41</v>
      </c>
      <c r="H16" s="120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rozpočet'!AE12:AE297)</f>
        <v>0</v>
      </c>
      <c r="D17" s="119"/>
      <c r="E17" s="120"/>
      <c r="F17" s="13"/>
      <c r="G17" s="119" t="s">
        <v>42</v>
      </c>
      <c r="H17" s="120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rozpočet'!AF12:AF297)</f>
        <v>0</v>
      </c>
      <c r="D18" s="119"/>
      <c r="E18" s="120"/>
      <c r="F18" s="13"/>
      <c r="G18" s="119" t="s">
        <v>43</v>
      </c>
      <c r="H18" s="120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rozpočet'!AG12:AG297)</f>
        <v>0</v>
      </c>
      <c r="D19" s="119"/>
      <c r="E19" s="120"/>
      <c r="F19" s="13"/>
      <c r="G19" s="119" t="s">
        <v>44</v>
      </c>
      <c r="H19" s="120"/>
      <c r="I19" s="12">
        <f>VORN!I26</f>
        <v>0</v>
      </c>
      <c r="J19" s="18"/>
    </row>
    <row r="20" spans="1:10" ht="15" customHeight="1">
      <c r="A20" s="121" t="s">
        <v>10</v>
      </c>
      <c r="B20" s="122"/>
      <c r="C20" s="12">
        <f>SUM('Stavební rozpočet'!AH12:AH297)</f>
        <v>0</v>
      </c>
      <c r="D20" s="119"/>
      <c r="E20" s="120"/>
      <c r="F20" s="13"/>
      <c r="G20" s="119"/>
      <c r="H20" s="120"/>
      <c r="I20" s="13"/>
      <c r="J20" s="18"/>
    </row>
    <row r="21" spans="1:10" ht="15" customHeight="1">
      <c r="A21" s="121" t="s">
        <v>11</v>
      </c>
      <c r="B21" s="122"/>
      <c r="C21" s="12">
        <f>SUM('Stavební rozpočet'!Z12:Z297)</f>
        <v>0</v>
      </c>
      <c r="D21" s="119"/>
      <c r="E21" s="120"/>
      <c r="F21" s="13"/>
      <c r="G21" s="119"/>
      <c r="H21" s="120"/>
      <c r="I21" s="13"/>
      <c r="J21" s="18"/>
    </row>
    <row r="22" spans="1:10" ht="16.5" customHeight="1">
      <c r="A22" s="121" t="s">
        <v>12</v>
      </c>
      <c r="B22" s="122"/>
      <c r="C22" s="12">
        <f>ROUND(SUM(C14:C21),1)</f>
        <v>0</v>
      </c>
      <c r="D22" s="121" t="s">
        <v>27</v>
      </c>
      <c r="E22" s="122"/>
      <c r="F22" s="12">
        <f>SUM(F14:F21)</f>
        <v>0</v>
      </c>
      <c r="G22" s="121" t="s">
        <v>45</v>
      </c>
      <c r="H22" s="122"/>
      <c r="I22" s="12">
        <f>SUM(I14:I21)</f>
        <v>0</v>
      </c>
      <c r="J22" s="18"/>
    </row>
    <row r="23" spans="1:10" ht="15" customHeight="1">
      <c r="A23" s="5"/>
      <c r="B23" s="5"/>
      <c r="C23" s="10"/>
      <c r="D23" s="121" t="s">
        <v>28</v>
      </c>
      <c r="E23" s="122"/>
      <c r="F23" s="14">
        <v>0</v>
      </c>
      <c r="G23" s="121" t="s">
        <v>46</v>
      </c>
      <c r="H23" s="122"/>
      <c r="I23" s="12">
        <v>0</v>
      </c>
      <c r="J23" s="18"/>
    </row>
    <row r="24" spans="4:10" ht="15" customHeight="1">
      <c r="D24" s="5"/>
      <c r="E24" s="5"/>
      <c r="F24" s="15"/>
      <c r="G24" s="121" t="s">
        <v>47</v>
      </c>
      <c r="H24" s="122"/>
      <c r="I24" s="12">
        <f>vorn_sum</f>
        <v>0</v>
      </c>
      <c r="J24" s="18"/>
    </row>
    <row r="25" spans="6:10" ht="15" customHeight="1">
      <c r="F25" s="16"/>
      <c r="G25" s="121" t="s">
        <v>48</v>
      </c>
      <c r="H25" s="122"/>
      <c r="I25" s="12">
        <v>0</v>
      </c>
      <c r="J25" s="18"/>
    </row>
    <row r="26" spans="1:9" ht="12">
      <c r="A26" s="1"/>
      <c r="B26" s="1"/>
      <c r="C26" s="1"/>
      <c r="G26" s="5"/>
      <c r="H26" s="5"/>
      <c r="I26" s="5"/>
    </row>
    <row r="27" spans="1:9" ht="15" customHeight="1">
      <c r="A27" s="123" t="s">
        <v>13</v>
      </c>
      <c r="B27" s="124"/>
      <c r="C27" s="20">
        <f>ROUND(SUM('Stavební rozpočet'!AJ12:AJ297),1)</f>
        <v>0</v>
      </c>
      <c r="D27" s="11"/>
      <c r="E27" s="1"/>
      <c r="F27" s="1"/>
      <c r="G27" s="1"/>
      <c r="H27" s="1"/>
      <c r="I27" s="1"/>
    </row>
    <row r="28" spans="1:10" ht="15" customHeight="1">
      <c r="A28" s="123" t="s">
        <v>14</v>
      </c>
      <c r="B28" s="124"/>
      <c r="C28" s="20">
        <f>ROUND(SUM('Stavební rozpočet'!AK12:AK297),1)</f>
        <v>0</v>
      </c>
      <c r="D28" s="123" t="s">
        <v>29</v>
      </c>
      <c r="E28" s="124"/>
      <c r="F28" s="20">
        <f>ROUND(C28*(15/100),2)</f>
        <v>0</v>
      </c>
      <c r="G28" s="123" t="s">
        <v>49</v>
      </c>
      <c r="H28" s="124"/>
      <c r="I28" s="20">
        <f>ROUND(SUM(C27:C29),1)</f>
        <v>0</v>
      </c>
      <c r="J28" s="18"/>
    </row>
    <row r="29" spans="1:10" ht="15" customHeight="1">
      <c r="A29" s="123" t="s">
        <v>15</v>
      </c>
      <c r="B29" s="124"/>
      <c r="C29" s="20">
        <f>ROUND(SUM('Stavební rozpočet'!AL12:AL297)+(F22+I22+F23+I23+I24+I25),1)</f>
        <v>0</v>
      </c>
      <c r="D29" s="123" t="s">
        <v>30</v>
      </c>
      <c r="E29" s="124"/>
      <c r="F29" s="20">
        <f>ROUND(C29*(21/100),2)</f>
        <v>0</v>
      </c>
      <c r="G29" s="123" t="s">
        <v>50</v>
      </c>
      <c r="H29" s="124"/>
      <c r="I29" s="20">
        <f>ROUND(SUM(F28:F29)+I28,1)</f>
        <v>0</v>
      </c>
      <c r="J29" s="18"/>
    </row>
    <row r="30" spans="1:9" ht="12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25" t="s">
        <v>16</v>
      </c>
      <c r="B31" s="126"/>
      <c r="C31" s="127"/>
      <c r="D31" s="125" t="s">
        <v>31</v>
      </c>
      <c r="E31" s="126"/>
      <c r="F31" s="127"/>
      <c r="G31" s="125" t="s">
        <v>51</v>
      </c>
      <c r="H31" s="126"/>
      <c r="I31" s="127"/>
      <c r="J31" s="19"/>
    </row>
    <row r="32" spans="1:10" ht="14.25" customHeight="1">
      <c r="A32" s="128"/>
      <c r="B32" s="129"/>
      <c r="C32" s="130"/>
      <c r="D32" s="128"/>
      <c r="E32" s="129"/>
      <c r="F32" s="130"/>
      <c r="G32" s="128"/>
      <c r="H32" s="129"/>
      <c r="I32" s="130"/>
      <c r="J32" s="19"/>
    </row>
    <row r="33" spans="1:10" ht="14.25" customHeight="1">
      <c r="A33" s="128"/>
      <c r="B33" s="129"/>
      <c r="C33" s="130"/>
      <c r="D33" s="128"/>
      <c r="E33" s="129"/>
      <c r="F33" s="130"/>
      <c r="G33" s="128"/>
      <c r="H33" s="129"/>
      <c r="I33" s="130"/>
      <c r="J33" s="19"/>
    </row>
    <row r="34" spans="1:10" ht="14.25" customHeight="1">
      <c r="A34" s="128"/>
      <c r="B34" s="129"/>
      <c r="C34" s="130"/>
      <c r="D34" s="128"/>
      <c r="E34" s="129"/>
      <c r="F34" s="130"/>
      <c r="G34" s="128"/>
      <c r="H34" s="129"/>
      <c r="I34" s="130"/>
      <c r="J34" s="19"/>
    </row>
    <row r="35" spans="1:10" ht="14.25" customHeight="1">
      <c r="A35" s="131" t="s">
        <v>17</v>
      </c>
      <c r="B35" s="132"/>
      <c r="C35" s="133"/>
      <c r="D35" s="131" t="s">
        <v>17</v>
      </c>
      <c r="E35" s="132"/>
      <c r="F35" s="133"/>
      <c r="G35" s="131" t="s">
        <v>17</v>
      </c>
      <c r="H35" s="132"/>
      <c r="I35" s="133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">
      <c r="A37" s="108"/>
      <c r="B37" s="100"/>
      <c r="C37" s="100"/>
      <c r="D37" s="100"/>
      <c r="E37" s="100"/>
      <c r="F37" s="100"/>
      <c r="G37" s="100"/>
      <c r="H37" s="100"/>
      <c r="I37" s="10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44" header="0.5" footer="0.31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H47" sqref="H4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30" customHeight="1">
      <c r="A1" s="94"/>
      <c r="B1" s="1"/>
      <c r="C1" s="95" t="s">
        <v>73</v>
      </c>
      <c r="D1" s="96"/>
      <c r="E1" s="96"/>
      <c r="F1" s="96"/>
      <c r="G1" s="96"/>
      <c r="H1" s="96"/>
      <c r="I1" s="96"/>
    </row>
    <row r="2" spans="1:10" ht="12">
      <c r="A2" s="97" t="s">
        <v>0</v>
      </c>
      <c r="B2" s="98"/>
      <c r="C2" s="101" t="str">
        <f>'Stavební rozpočet'!D2</f>
        <v>Rekonstrukce splaškové kanalizace v areálu Hornické nemocnice v Bílině</v>
      </c>
      <c r="D2" s="102"/>
      <c r="E2" s="104" t="s">
        <v>32</v>
      </c>
      <c r="F2" s="104" t="str">
        <f>'Stavební rozpočet'!J2</f>
        <v>Město Bílina, Břežanská 50/4, 418 01  Bílina</v>
      </c>
      <c r="G2" s="98"/>
      <c r="H2" s="104" t="s">
        <v>52</v>
      </c>
      <c r="I2" s="105" t="s">
        <v>56</v>
      </c>
      <c r="J2" s="18"/>
    </row>
    <row r="3" spans="1:10" ht="25.5" customHeight="1">
      <c r="A3" s="99"/>
      <c r="B3" s="100"/>
      <c r="C3" s="103"/>
      <c r="D3" s="103"/>
      <c r="E3" s="100"/>
      <c r="F3" s="100"/>
      <c r="G3" s="100"/>
      <c r="H3" s="100"/>
      <c r="I3" s="106"/>
      <c r="J3" s="18"/>
    </row>
    <row r="4" spans="1:10" ht="12">
      <c r="A4" s="107" t="s">
        <v>1</v>
      </c>
      <c r="B4" s="100"/>
      <c r="C4" s="108" t="str">
        <f>'Stavební rozpočet'!D4</f>
        <v>Inženýrské sítě - Splašková kanalizace - sanace potrubí + ČS01</v>
      </c>
      <c r="D4" s="100"/>
      <c r="E4" s="108" t="s">
        <v>33</v>
      </c>
      <c r="F4" s="108" t="str">
        <f>'Stavební rozpočet'!J4</f>
        <v>Ing. Jiří Šír - VISTA</v>
      </c>
      <c r="G4" s="100"/>
      <c r="H4" s="108" t="s">
        <v>52</v>
      </c>
      <c r="I4" s="109" t="s">
        <v>57</v>
      </c>
      <c r="J4" s="18"/>
    </row>
    <row r="5" spans="1:10" ht="12">
      <c r="A5" s="99"/>
      <c r="B5" s="100"/>
      <c r="C5" s="100"/>
      <c r="D5" s="100"/>
      <c r="E5" s="100"/>
      <c r="F5" s="100"/>
      <c r="G5" s="100"/>
      <c r="H5" s="100"/>
      <c r="I5" s="106"/>
      <c r="J5" s="18"/>
    </row>
    <row r="6" spans="1:10" ht="12">
      <c r="A6" s="107" t="s">
        <v>2</v>
      </c>
      <c r="B6" s="100"/>
      <c r="C6" s="108" t="str">
        <f>'Stavební rozpočet'!D6</f>
        <v>Areál HNSP - p.p.č. 427/1, k.ú. Bílina</v>
      </c>
      <c r="D6" s="100"/>
      <c r="E6" s="108" t="s">
        <v>34</v>
      </c>
      <c r="F6" s="108" t="str">
        <f>'Stavební rozpočet'!J6</f>
        <v>vzejde z výberového řízení</v>
      </c>
      <c r="G6" s="100"/>
      <c r="H6" s="108" t="s">
        <v>52</v>
      </c>
      <c r="I6" s="109"/>
      <c r="J6" s="18"/>
    </row>
    <row r="7" spans="1:10" ht="12">
      <c r="A7" s="99"/>
      <c r="B7" s="100"/>
      <c r="C7" s="100"/>
      <c r="D7" s="100"/>
      <c r="E7" s="100"/>
      <c r="F7" s="100"/>
      <c r="G7" s="100"/>
      <c r="H7" s="100"/>
      <c r="I7" s="106"/>
      <c r="J7" s="18"/>
    </row>
    <row r="8" spans="1:10" ht="12">
      <c r="A8" s="107" t="s">
        <v>3</v>
      </c>
      <c r="B8" s="100"/>
      <c r="C8" s="108" t="str">
        <f>'Stavební rozpočet'!H4</f>
        <v> </v>
      </c>
      <c r="D8" s="100"/>
      <c r="E8" s="108" t="s">
        <v>35</v>
      </c>
      <c r="F8" s="108" t="str">
        <f>'Stavební rozpočet'!H6</f>
        <v> </v>
      </c>
      <c r="G8" s="100"/>
      <c r="H8" s="110" t="s">
        <v>53</v>
      </c>
      <c r="I8" s="109" t="s">
        <v>58</v>
      </c>
      <c r="J8" s="18"/>
    </row>
    <row r="9" spans="1:10" ht="12">
      <c r="A9" s="99"/>
      <c r="B9" s="100"/>
      <c r="C9" s="100"/>
      <c r="D9" s="100"/>
      <c r="E9" s="100"/>
      <c r="F9" s="100"/>
      <c r="G9" s="100"/>
      <c r="H9" s="100"/>
      <c r="I9" s="106"/>
      <c r="J9" s="18"/>
    </row>
    <row r="10" spans="1:10" ht="12">
      <c r="A10" s="107" t="s">
        <v>4</v>
      </c>
      <c r="B10" s="100"/>
      <c r="C10" s="108">
        <f>'Stavební rozpočet'!D8</f>
        <v>8272152</v>
      </c>
      <c r="D10" s="100"/>
      <c r="E10" s="108" t="s">
        <v>36</v>
      </c>
      <c r="F10" s="108" t="str">
        <f>'Stavební rozpočet'!J8</f>
        <v>Ing. Jiří Šír - VISTA</v>
      </c>
      <c r="G10" s="100"/>
      <c r="H10" s="110" t="s">
        <v>54</v>
      </c>
      <c r="I10" s="113" t="str">
        <f>'Stavební rozpočet'!H8</f>
        <v>15.09.2021</v>
      </c>
      <c r="J10" s="18"/>
    </row>
    <row r="11" spans="1:10" ht="12">
      <c r="A11" s="111"/>
      <c r="B11" s="112"/>
      <c r="C11" s="112"/>
      <c r="D11" s="112"/>
      <c r="E11" s="112"/>
      <c r="F11" s="112"/>
      <c r="G11" s="112"/>
      <c r="H11" s="112"/>
      <c r="I11" s="114"/>
      <c r="J11" s="18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34" t="s">
        <v>59</v>
      </c>
      <c r="B13" s="135"/>
      <c r="C13" s="135"/>
      <c r="D13" s="135"/>
      <c r="E13" s="135"/>
      <c r="F13" s="22"/>
      <c r="G13" s="22"/>
      <c r="H13" s="22"/>
      <c r="I13" s="22"/>
    </row>
    <row r="14" spans="1:10" ht="12.75">
      <c r="A14" s="136" t="s">
        <v>60</v>
      </c>
      <c r="B14" s="137"/>
      <c r="C14" s="137"/>
      <c r="D14" s="137"/>
      <c r="E14" s="138"/>
      <c r="F14" s="23" t="s">
        <v>74</v>
      </c>
      <c r="G14" s="23" t="s">
        <v>75</v>
      </c>
      <c r="H14" s="23" t="s">
        <v>76</v>
      </c>
      <c r="I14" s="23" t="s">
        <v>74</v>
      </c>
      <c r="J14" s="19"/>
    </row>
    <row r="15" spans="1:10" ht="12">
      <c r="A15" s="139" t="s">
        <v>24</v>
      </c>
      <c r="B15" s="140"/>
      <c r="C15" s="140"/>
      <c r="D15" s="140"/>
      <c r="E15" s="141"/>
      <c r="F15" s="24">
        <v>0</v>
      </c>
      <c r="G15" s="27"/>
      <c r="H15" s="27"/>
      <c r="I15" s="24">
        <f>F15</f>
        <v>0</v>
      </c>
      <c r="J15" s="18"/>
    </row>
    <row r="16" spans="1:10" ht="12">
      <c r="A16" s="139" t="s">
        <v>25</v>
      </c>
      <c r="B16" s="140"/>
      <c r="C16" s="140"/>
      <c r="D16" s="140"/>
      <c r="E16" s="141"/>
      <c r="F16" s="24">
        <v>0</v>
      </c>
      <c r="G16" s="27"/>
      <c r="H16" s="27"/>
      <c r="I16" s="24">
        <f>F16</f>
        <v>0</v>
      </c>
      <c r="J16" s="18"/>
    </row>
    <row r="17" spans="1:10" ht="12">
      <c r="A17" s="142" t="s">
        <v>26</v>
      </c>
      <c r="B17" s="143"/>
      <c r="C17" s="143"/>
      <c r="D17" s="143"/>
      <c r="E17" s="144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45" t="s">
        <v>61</v>
      </c>
      <c r="B18" s="146"/>
      <c r="C18" s="146"/>
      <c r="D18" s="146"/>
      <c r="E18" s="147"/>
      <c r="F18" s="26"/>
      <c r="G18" s="29"/>
      <c r="H18" s="29"/>
      <c r="I18" s="30">
        <f>SUM(I15:I17)</f>
        <v>0</v>
      </c>
      <c r="J18" s="19"/>
    </row>
    <row r="19" spans="1:9" ht="12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36" t="s">
        <v>55</v>
      </c>
      <c r="B20" s="137"/>
      <c r="C20" s="137"/>
      <c r="D20" s="137"/>
      <c r="E20" s="138"/>
      <c r="F20" s="23" t="s">
        <v>74</v>
      </c>
      <c r="G20" s="23" t="s">
        <v>75</v>
      </c>
      <c r="H20" s="23" t="s">
        <v>76</v>
      </c>
      <c r="I20" s="23" t="s">
        <v>74</v>
      </c>
      <c r="J20" s="19"/>
    </row>
    <row r="21" spans="1:10" ht="12">
      <c r="A21" s="139" t="s">
        <v>39</v>
      </c>
      <c r="B21" s="140"/>
      <c r="C21" s="140"/>
      <c r="D21" s="140"/>
      <c r="E21" s="141"/>
      <c r="F21" s="27"/>
      <c r="G21" s="185"/>
      <c r="H21" s="24">
        <f>'Krycí list rozpočtu'!C22</f>
        <v>0</v>
      </c>
      <c r="I21" s="24">
        <f>ROUND((G21/100)*H21,2)</f>
        <v>0</v>
      </c>
      <c r="J21" s="18"/>
    </row>
    <row r="22" spans="1:10" ht="12">
      <c r="A22" s="139" t="s">
        <v>40</v>
      </c>
      <c r="B22" s="140"/>
      <c r="C22" s="140"/>
      <c r="D22" s="140"/>
      <c r="E22" s="141"/>
      <c r="F22" s="24">
        <v>0</v>
      </c>
      <c r="G22" s="27"/>
      <c r="H22" s="27"/>
      <c r="I22" s="24">
        <f>F22</f>
        <v>0</v>
      </c>
      <c r="J22" s="18"/>
    </row>
    <row r="23" spans="1:10" ht="12">
      <c r="A23" s="139" t="s">
        <v>41</v>
      </c>
      <c r="B23" s="140"/>
      <c r="C23" s="140"/>
      <c r="D23" s="140"/>
      <c r="E23" s="141"/>
      <c r="F23" s="24">
        <v>0</v>
      </c>
      <c r="G23" s="27"/>
      <c r="H23" s="27"/>
      <c r="I23" s="24">
        <f>F23</f>
        <v>0</v>
      </c>
      <c r="J23" s="18"/>
    </row>
    <row r="24" spans="1:10" ht="12">
      <c r="A24" s="139" t="s">
        <v>42</v>
      </c>
      <c r="B24" s="140"/>
      <c r="C24" s="140"/>
      <c r="D24" s="140"/>
      <c r="E24" s="141"/>
      <c r="F24" s="24">
        <v>0</v>
      </c>
      <c r="G24" s="27"/>
      <c r="H24" s="27"/>
      <c r="I24" s="24">
        <f>F24</f>
        <v>0</v>
      </c>
      <c r="J24" s="18"/>
    </row>
    <row r="25" spans="1:10" ht="12">
      <c r="A25" s="139" t="s">
        <v>43</v>
      </c>
      <c r="B25" s="140"/>
      <c r="C25" s="140"/>
      <c r="D25" s="140"/>
      <c r="E25" s="141"/>
      <c r="F25" s="24">
        <v>0</v>
      </c>
      <c r="G25" s="27"/>
      <c r="H25" s="27"/>
      <c r="I25" s="24">
        <f>F25</f>
        <v>0</v>
      </c>
      <c r="J25" s="18"/>
    </row>
    <row r="26" spans="1:10" ht="12">
      <c r="A26" s="142" t="s">
        <v>44</v>
      </c>
      <c r="B26" s="143"/>
      <c r="C26" s="143"/>
      <c r="D26" s="143"/>
      <c r="E26" s="144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45" t="s">
        <v>62</v>
      </c>
      <c r="B27" s="146"/>
      <c r="C27" s="146"/>
      <c r="D27" s="146"/>
      <c r="E27" s="147"/>
      <c r="F27" s="26"/>
      <c r="G27" s="29"/>
      <c r="H27" s="29"/>
      <c r="I27" s="30">
        <f>SUM(I21:I26)</f>
        <v>0</v>
      </c>
      <c r="J27" s="19"/>
    </row>
    <row r="28" spans="1:9" ht="12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48" t="s">
        <v>63</v>
      </c>
      <c r="B29" s="149"/>
      <c r="C29" s="149"/>
      <c r="D29" s="149"/>
      <c r="E29" s="150"/>
      <c r="F29" s="151">
        <f>I18+I27</f>
        <v>0</v>
      </c>
      <c r="G29" s="152"/>
      <c r="H29" s="152"/>
      <c r="I29" s="153"/>
      <c r="J29" s="19"/>
    </row>
    <row r="30" spans="1:9" ht="12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34" t="s">
        <v>64</v>
      </c>
      <c r="B33" s="135"/>
      <c r="C33" s="135"/>
      <c r="D33" s="135"/>
      <c r="E33" s="135"/>
      <c r="F33" s="22"/>
      <c r="G33" s="22"/>
      <c r="H33" s="22"/>
      <c r="I33" s="22"/>
    </row>
    <row r="34" spans="1:10" ht="12.75">
      <c r="A34" s="136" t="s">
        <v>65</v>
      </c>
      <c r="B34" s="137"/>
      <c r="C34" s="137"/>
      <c r="D34" s="137"/>
      <c r="E34" s="138"/>
      <c r="F34" s="23" t="s">
        <v>74</v>
      </c>
      <c r="G34" s="23" t="s">
        <v>75</v>
      </c>
      <c r="H34" s="23" t="s">
        <v>76</v>
      </c>
      <c r="I34" s="23" t="s">
        <v>74</v>
      </c>
      <c r="J34" s="19"/>
    </row>
    <row r="35" spans="1:10" ht="12">
      <c r="A35" s="139" t="s">
        <v>66</v>
      </c>
      <c r="B35" s="140"/>
      <c r="C35" s="140"/>
      <c r="D35" s="140"/>
      <c r="E35" s="141"/>
      <c r="F35" s="185"/>
      <c r="G35" s="27"/>
      <c r="H35" s="27"/>
      <c r="I35" s="24">
        <f aca="true" t="shared" si="0" ref="I35:I40">F35</f>
        <v>0</v>
      </c>
      <c r="J35" s="18"/>
    </row>
    <row r="36" spans="1:10" ht="12">
      <c r="A36" s="139" t="s">
        <v>67</v>
      </c>
      <c r="B36" s="140"/>
      <c r="C36" s="140"/>
      <c r="D36" s="140"/>
      <c r="E36" s="141"/>
      <c r="F36" s="185"/>
      <c r="G36" s="27"/>
      <c r="H36" s="27"/>
      <c r="I36" s="24">
        <f t="shared" si="0"/>
        <v>0</v>
      </c>
      <c r="J36" s="18"/>
    </row>
    <row r="37" spans="1:10" ht="12">
      <c r="A37" s="139" t="s">
        <v>68</v>
      </c>
      <c r="B37" s="140"/>
      <c r="C37" s="140"/>
      <c r="D37" s="140"/>
      <c r="E37" s="141"/>
      <c r="F37" s="185"/>
      <c r="G37" s="27"/>
      <c r="H37" s="27"/>
      <c r="I37" s="24">
        <f t="shared" si="0"/>
        <v>0</v>
      </c>
      <c r="J37" s="18"/>
    </row>
    <row r="38" spans="1:10" ht="12">
      <c r="A38" s="139" t="s">
        <v>69</v>
      </c>
      <c r="B38" s="140"/>
      <c r="C38" s="140"/>
      <c r="D38" s="140"/>
      <c r="E38" s="141"/>
      <c r="F38" s="185"/>
      <c r="G38" s="27"/>
      <c r="H38" s="27"/>
      <c r="I38" s="24">
        <f t="shared" si="0"/>
        <v>0</v>
      </c>
      <c r="J38" s="18"/>
    </row>
    <row r="39" spans="1:10" ht="12">
      <c r="A39" s="139" t="s">
        <v>70</v>
      </c>
      <c r="B39" s="140"/>
      <c r="C39" s="140"/>
      <c r="D39" s="140"/>
      <c r="E39" s="141"/>
      <c r="F39" s="185"/>
      <c r="G39" s="27"/>
      <c r="H39" s="27"/>
      <c r="I39" s="24">
        <f t="shared" si="0"/>
        <v>0</v>
      </c>
      <c r="J39" s="18"/>
    </row>
    <row r="40" spans="1:10" ht="12">
      <c r="A40" s="142" t="s">
        <v>71</v>
      </c>
      <c r="B40" s="143"/>
      <c r="C40" s="143"/>
      <c r="D40" s="143"/>
      <c r="E40" s="144"/>
      <c r="F40" s="186"/>
      <c r="G40" s="28"/>
      <c r="H40" s="28"/>
      <c r="I40" s="25">
        <f t="shared" si="0"/>
        <v>0</v>
      </c>
      <c r="J40" s="18"/>
    </row>
    <row r="41" spans="1:10" ht="12.75">
      <c r="A41" s="145" t="s">
        <v>72</v>
      </c>
      <c r="B41" s="146"/>
      <c r="C41" s="146"/>
      <c r="D41" s="146"/>
      <c r="E41" s="147"/>
      <c r="F41" s="26"/>
      <c r="G41" s="29"/>
      <c r="H41" s="29"/>
      <c r="I41" s="30">
        <f>SUM(I35:I40)</f>
        <v>0</v>
      </c>
      <c r="J41" s="19"/>
    </row>
    <row r="42" spans="1:9" ht="12">
      <c r="A42" s="9"/>
      <c r="B42" s="9"/>
      <c r="C42" s="9"/>
      <c r="D42" s="9"/>
      <c r="E42" s="9"/>
      <c r="F42" s="9"/>
      <c r="G42" s="9"/>
      <c r="H42" s="9"/>
      <c r="I42" s="9"/>
    </row>
  </sheetData>
  <sheetProtection/>
  <mergeCells count="56">
    <mergeCell ref="A41:E41"/>
    <mergeCell ref="A35:E35"/>
    <mergeCell ref="A36:E36"/>
    <mergeCell ref="A37:E37"/>
    <mergeCell ref="A38:E38"/>
    <mergeCell ref="A39:E39"/>
    <mergeCell ref="A40:E40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r:id="rId2"/>
  <rowBreaks count="1" manualBreakCount="1">
    <brk id="3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7.57421875" style="0" customWidth="1"/>
    <col min="2" max="2" width="5.7109375" style="0" customWidth="1"/>
    <col min="3" max="8" width="15.7109375" style="0" customWidth="1"/>
    <col min="9" max="12" width="14.28125" style="0" customWidth="1"/>
    <col min="13" max="16" width="12.140625" style="0" hidden="1" customWidth="1"/>
  </cols>
  <sheetData>
    <row r="1" spans="1:12" ht="72.75" customHeight="1">
      <c r="A1" s="154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2">
      <c r="A2" s="97" t="s">
        <v>0</v>
      </c>
      <c r="B2" s="98"/>
      <c r="C2" s="98"/>
      <c r="D2" s="101" t="str">
        <f>'Stavební rozpočet'!D2</f>
        <v>Rekonstrukce splaškové kanalizace v areálu Hornické nemocnice v Bílině</v>
      </c>
      <c r="E2" s="102"/>
      <c r="F2" s="102"/>
      <c r="G2" s="104" t="s">
        <v>95</v>
      </c>
      <c r="H2" s="104" t="str">
        <f>'Stavební rozpočet'!H2</f>
        <v> </v>
      </c>
      <c r="I2" s="104" t="s">
        <v>32</v>
      </c>
      <c r="J2" s="104" t="str">
        <f>'Stavební rozpočet'!J2</f>
        <v>Město Bílina, Břežanská 50/4, 418 01  Bílina</v>
      </c>
      <c r="K2" s="98"/>
      <c r="L2" s="155"/>
      <c r="M2" s="18"/>
    </row>
    <row r="3" spans="1:13" ht="12">
      <c r="A3" s="99"/>
      <c r="B3" s="100"/>
      <c r="C3" s="100"/>
      <c r="D3" s="103"/>
      <c r="E3" s="103"/>
      <c r="F3" s="103"/>
      <c r="G3" s="100"/>
      <c r="H3" s="100"/>
      <c r="I3" s="100"/>
      <c r="J3" s="100"/>
      <c r="K3" s="100"/>
      <c r="L3" s="106"/>
      <c r="M3" s="18"/>
    </row>
    <row r="4" spans="1:13" ht="12">
      <c r="A4" s="107" t="s">
        <v>1</v>
      </c>
      <c r="B4" s="100"/>
      <c r="C4" s="100"/>
      <c r="D4" s="108" t="str">
        <f>'Stavební rozpočet'!D4</f>
        <v>Inženýrské sítě - Splašková kanalizace - sanace potrubí + ČS01</v>
      </c>
      <c r="E4" s="100"/>
      <c r="F4" s="100"/>
      <c r="G4" s="108" t="s">
        <v>3</v>
      </c>
      <c r="H4" s="108" t="str">
        <f>'Stavební rozpočet'!H4</f>
        <v> </v>
      </c>
      <c r="I4" s="108" t="s">
        <v>33</v>
      </c>
      <c r="J4" s="108" t="str">
        <f>'Stavební rozpočet'!J4</f>
        <v>Ing. Jiří Šír - VISTA</v>
      </c>
      <c r="K4" s="100"/>
      <c r="L4" s="106"/>
      <c r="M4" s="18"/>
    </row>
    <row r="5" spans="1:13" ht="1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6"/>
      <c r="M5" s="18"/>
    </row>
    <row r="6" spans="1:13" ht="12">
      <c r="A6" s="107" t="s">
        <v>2</v>
      </c>
      <c r="B6" s="100"/>
      <c r="C6" s="100"/>
      <c r="D6" s="108" t="str">
        <f>'Stavební rozpočet'!D6</f>
        <v>Areál HNSP - p.p.č. 427/1, k.ú. Bílina</v>
      </c>
      <c r="E6" s="100"/>
      <c r="F6" s="100"/>
      <c r="G6" s="108" t="s">
        <v>35</v>
      </c>
      <c r="H6" s="108" t="str">
        <f>'Stavební rozpočet'!H6</f>
        <v> </v>
      </c>
      <c r="I6" s="108" t="s">
        <v>34</v>
      </c>
      <c r="J6" s="108" t="str">
        <f>'Stavební rozpočet'!J6</f>
        <v>vzejde z výberového řízení</v>
      </c>
      <c r="K6" s="100"/>
      <c r="L6" s="106"/>
      <c r="M6" s="18"/>
    </row>
    <row r="7" spans="1:13" ht="1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6"/>
      <c r="M7" s="18"/>
    </row>
    <row r="8" spans="1:13" ht="12">
      <c r="A8" s="107" t="s">
        <v>4</v>
      </c>
      <c r="B8" s="100"/>
      <c r="C8" s="100"/>
      <c r="D8" s="108">
        <f>'Stavební rozpočet'!D8</f>
        <v>8272152</v>
      </c>
      <c r="E8" s="100"/>
      <c r="F8" s="100"/>
      <c r="G8" s="108" t="s">
        <v>96</v>
      </c>
      <c r="H8" s="108" t="str">
        <f>'Stavební rozpočet'!H8</f>
        <v>15.09.2021</v>
      </c>
      <c r="I8" s="108" t="s">
        <v>36</v>
      </c>
      <c r="J8" s="108" t="str">
        <f>'Stavební rozpočet'!J8</f>
        <v>Ing. Jiří Šír - VISTA</v>
      </c>
      <c r="K8" s="100"/>
      <c r="L8" s="106"/>
      <c r="M8" s="18"/>
    </row>
    <row r="9" spans="1:13" ht="12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M9" s="18"/>
    </row>
    <row r="10" spans="1:13" ht="12.75">
      <c r="A10" s="31" t="s">
        <v>78</v>
      </c>
      <c r="B10" s="37" t="s">
        <v>78</v>
      </c>
      <c r="C10" s="159" t="s">
        <v>78</v>
      </c>
      <c r="D10" s="160"/>
      <c r="E10" s="160"/>
      <c r="F10" s="160"/>
      <c r="G10" s="160"/>
      <c r="H10" s="161"/>
      <c r="I10" s="162" t="s">
        <v>97</v>
      </c>
      <c r="J10" s="163"/>
      <c r="K10" s="164"/>
      <c r="L10" s="44" t="s">
        <v>101</v>
      </c>
      <c r="M10" s="19"/>
    </row>
    <row r="11" spans="1:13" ht="12.75">
      <c r="A11" s="32" t="s">
        <v>79</v>
      </c>
      <c r="B11" s="38" t="s">
        <v>80</v>
      </c>
      <c r="C11" s="165" t="s">
        <v>87</v>
      </c>
      <c r="D11" s="166"/>
      <c r="E11" s="166"/>
      <c r="F11" s="166"/>
      <c r="G11" s="166"/>
      <c r="H11" s="167"/>
      <c r="I11" s="41" t="s">
        <v>98</v>
      </c>
      <c r="J11" s="42" t="s">
        <v>21</v>
      </c>
      <c r="K11" s="43" t="s">
        <v>100</v>
      </c>
      <c r="L11" s="45" t="s">
        <v>100</v>
      </c>
      <c r="M11" s="19"/>
    </row>
    <row r="12" spans="1:16" ht="12">
      <c r="A12" s="33"/>
      <c r="B12" s="39"/>
      <c r="C12" s="168" t="s">
        <v>88</v>
      </c>
      <c r="D12" s="160"/>
      <c r="E12" s="160"/>
      <c r="F12" s="160"/>
      <c r="G12" s="160"/>
      <c r="H12" s="160"/>
      <c r="I12" s="47">
        <f>'Stavební rozpočet'!I12</f>
        <v>0</v>
      </c>
      <c r="J12" s="47">
        <f>'Stavební rozpočet'!J12</f>
        <v>0</v>
      </c>
      <c r="K12" s="47">
        <f>'Stavební rozpočet'!K12</f>
        <v>0</v>
      </c>
      <c r="L12" s="51">
        <f>'Stavební rozpočet'!M12</f>
        <v>1001.944571</v>
      </c>
      <c r="M12" s="46" t="s">
        <v>102</v>
      </c>
      <c r="N12" s="48">
        <f aca="true" t="shared" si="0" ref="N12:N18">IF(M12="F",0,K12)</f>
        <v>0</v>
      </c>
      <c r="O12" s="17"/>
      <c r="P12" s="48">
        <f aca="true" t="shared" si="1" ref="P12:P18">IF(M12="T",0,K12)</f>
        <v>0</v>
      </c>
    </row>
    <row r="13" spans="1:16" ht="12">
      <c r="A13" s="34"/>
      <c r="B13" s="17" t="s">
        <v>81</v>
      </c>
      <c r="C13" s="110" t="s">
        <v>89</v>
      </c>
      <c r="D13" s="100"/>
      <c r="E13" s="100"/>
      <c r="F13" s="100"/>
      <c r="G13" s="100"/>
      <c r="H13" s="100"/>
      <c r="I13" s="48">
        <f>SUMIF('Stavební rozpočet'!AZ13:AZ297,"_1_",'Stavební rozpočet'!AW13:AW297)</f>
        <v>0</v>
      </c>
      <c r="J13" s="48">
        <f>SUMIF('Stavební rozpočet'!AZ13:AZ297,"_1_",'Stavební rozpočet'!AX13:AX297)</f>
        <v>0</v>
      </c>
      <c r="K13" s="48">
        <f>SUMIF('Stavební rozpočet'!AZ13:AZ297,"_1_",'Stavební rozpočet'!AV13:AV297)</f>
        <v>0</v>
      </c>
      <c r="L13" s="52">
        <f>SUMIF('Stavební rozpočet'!AZ13:AZ297,"_1_",'Stavební rozpočet'!BF13:BF297)</f>
        <v>781.1946700000001</v>
      </c>
      <c r="M13" s="46" t="s">
        <v>103</v>
      </c>
      <c r="N13" s="48">
        <f t="shared" si="0"/>
        <v>0</v>
      </c>
      <c r="O13" s="17"/>
      <c r="P13" s="48">
        <f t="shared" si="1"/>
        <v>0</v>
      </c>
    </row>
    <row r="14" spans="1:16" ht="12">
      <c r="A14" s="34"/>
      <c r="B14" s="17" t="s">
        <v>82</v>
      </c>
      <c r="C14" s="110" t="s">
        <v>90</v>
      </c>
      <c r="D14" s="100"/>
      <c r="E14" s="100"/>
      <c r="F14" s="100"/>
      <c r="G14" s="100"/>
      <c r="H14" s="100"/>
      <c r="I14" s="48">
        <f>SUMIF('Stavební rozpočet'!AZ13:AZ297,"_4_",'Stavební rozpočet'!AW13:AW297)</f>
        <v>0</v>
      </c>
      <c r="J14" s="48">
        <f>SUMIF('Stavební rozpočet'!AZ13:AZ297,"_4_",'Stavební rozpočet'!AX13:AX297)</f>
        <v>0</v>
      </c>
      <c r="K14" s="48">
        <f>SUMIF('Stavební rozpočet'!AZ13:AZ297,"_4_",'Stavební rozpočet'!AV13:AV297)</f>
        <v>0</v>
      </c>
      <c r="L14" s="52">
        <f>SUMIF('Stavební rozpočet'!AZ13:AZ297,"_4_",'Stavební rozpočet'!BF13:BF297)</f>
        <v>7.54749</v>
      </c>
      <c r="M14" s="46" t="s">
        <v>103</v>
      </c>
      <c r="N14" s="48">
        <f t="shared" si="0"/>
        <v>0</v>
      </c>
      <c r="O14" s="17"/>
      <c r="P14" s="48">
        <f t="shared" si="1"/>
        <v>0</v>
      </c>
    </row>
    <row r="15" spans="1:16" ht="12">
      <c r="A15" s="34"/>
      <c r="B15" s="17" t="s">
        <v>83</v>
      </c>
      <c r="C15" s="110" t="s">
        <v>91</v>
      </c>
      <c r="D15" s="100"/>
      <c r="E15" s="100"/>
      <c r="F15" s="100"/>
      <c r="G15" s="100"/>
      <c r="H15" s="100"/>
      <c r="I15" s="48">
        <f>SUMIF('Stavební rozpočet'!AZ13:AZ297,"_5_",'Stavební rozpočet'!AW13:AW297)</f>
        <v>0</v>
      </c>
      <c r="J15" s="48">
        <f>SUMIF('Stavební rozpočet'!AZ13:AZ297,"_5_",'Stavební rozpočet'!AX13:AX297)</f>
        <v>0</v>
      </c>
      <c r="K15" s="48">
        <f>SUMIF('Stavební rozpočet'!AZ13:AZ297,"_5_",'Stavební rozpočet'!AV13:AV297)</f>
        <v>0</v>
      </c>
      <c r="L15" s="52">
        <f>SUMIF('Stavební rozpočet'!AZ13:AZ297,"_5_",'Stavební rozpočet'!BF13:BF297)</f>
        <v>109.67525000000002</v>
      </c>
      <c r="M15" s="46" t="s">
        <v>103</v>
      </c>
      <c r="N15" s="48">
        <f t="shared" si="0"/>
        <v>0</v>
      </c>
      <c r="O15" s="17"/>
      <c r="P15" s="48">
        <f t="shared" si="1"/>
        <v>0</v>
      </c>
    </row>
    <row r="16" spans="1:16" ht="12">
      <c r="A16" s="34"/>
      <c r="B16" s="17" t="s">
        <v>84</v>
      </c>
      <c r="C16" s="110" t="s">
        <v>92</v>
      </c>
      <c r="D16" s="100"/>
      <c r="E16" s="100"/>
      <c r="F16" s="100"/>
      <c r="G16" s="100"/>
      <c r="H16" s="100"/>
      <c r="I16" s="48">
        <f>SUMIF('Stavební rozpočet'!AZ13:AZ297,"_76_",'Stavební rozpočet'!AW13:AW297)</f>
        <v>0</v>
      </c>
      <c r="J16" s="48">
        <f>SUMIF('Stavební rozpočet'!AZ13:AZ297,"_76_",'Stavební rozpočet'!AX13:AX297)</f>
        <v>0</v>
      </c>
      <c r="K16" s="48">
        <f>SUMIF('Stavební rozpočet'!AZ13:AZ297,"_76_",'Stavební rozpočet'!AV13:AV297)</f>
        <v>0</v>
      </c>
      <c r="L16" s="52">
        <f>SUMIF('Stavební rozpočet'!AZ13:AZ297,"_76_",'Stavební rozpočet'!BF13:BF297)</f>
        <v>0.5618</v>
      </c>
      <c r="M16" s="46" t="s">
        <v>103</v>
      </c>
      <c r="N16" s="48">
        <f t="shared" si="0"/>
        <v>0</v>
      </c>
      <c r="O16" s="17"/>
      <c r="P16" s="48">
        <f t="shared" si="1"/>
        <v>0</v>
      </c>
    </row>
    <row r="17" spans="1:16" ht="12">
      <c r="A17" s="34"/>
      <c r="B17" s="17" t="s">
        <v>85</v>
      </c>
      <c r="C17" s="110" t="s">
        <v>93</v>
      </c>
      <c r="D17" s="100"/>
      <c r="E17" s="100"/>
      <c r="F17" s="100"/>
      <c r="G17" s="100"/>
      <c r="H17" s="100"/>
      <c r="I17" s="48">
        <f>SUMIF('Stavební rozpočet'!AZ13:AZ297,"_8_",'Stavební rozpočet'!AW13:AW297)</f>
        <v>0</v>
      </c>
      <c r="J17" s="48">
        <f>SUMIF('Stavební rozpočet'!AZ13:AZ297,"_8_",'Stavební rozpočet'!AX13:AX297)</f>
        <v>0</v>
      </c>
      <c r="K17" s="48">
        <f>SUMIF('Stavební rozpočet'!AZ13:AZ297,"_8_",'Stavební rozpočet'!AV13:AV297)</f>
        <v>0</v>
      </c>
      <c r="L17" s="52">
        <f>SUMIF('Stavební rozpočet'!AZ13:AZ297,"_8_",'Stavební rozpočet'!BF13:BF297)</f>
        <v>50.58954099999999</v>
      </c>
      <c r="M17" s="46" t="s">
        <v>103</v>
      </c>
      <c r="N17" s="48">
        <f t="shared" si="0"/>
        <v>0</v>
      </c>
      <c r="O17" s="17"/>
      <c r="P17" s="48">
        <f t="shared" si="1"/>
        <v>0</v>
      </c>
    </row>
    <row r="18" spans="1:16" ht="12">
      <c r="A18" s="35"/>
      <c r="B18" s="40" t="s">
        <v>86</v>
      </c>
      <c r="C18" s="169" t="s">
        <v>94</v>
      </c>
      <c r="D18" s="112"/>
      <c r="E18" s="112"/>
      <c r="F18" s="112"/>
      <c r="G18" s="112"/>
      <c r="H18" s="112"/>
      <c r="I18" s="49">
        <f>SUMIF('Stavební rozpočet'!AZ13:AZ297,"_9_",'Stavební rozpočet'!AW13:AW297)</f>
        <v>0</v>
      </c>
      <c r="J18" s="49">
        <f>SUMIF('Stavební rozpočet'!AZ13:AZ297,"_9_",'Stavební rozpočet'!AX13:AX297)</f>
        <v>0</v>
      </c>
      <c r="K18" s="49">
        <f>SUMIF('Stavební rozpočet'!AZ13:AZ297,"_9_",'Stavební rozpočet'!AV13:AV297)</f>
        <v>0</v>
      </c>
      <c r="L18" s="53">
        <f>SUMIF('Stavební rozpočet'!AZ13:AZ297,"_9_",'Stavební rozpočet'!BF13:BF297)</f>
        <v>52.37582</v>
      </c>
      <c r="M18" s="46" t="s">
        <v>103</v>
      </c>
      <c r="N18" s="48">
        <f t="shared" si="0"/>
        <v>0</v>
      </c>
      <c r="O18" s="17"/>
      <c r="P18" s="48">
        <f t="shared" si="1"/>
        <v>0</v>
      </c>
    </row>
    <row r="19" spans="1:12" ht="12.75">
      <c r="A19" s="5"/>
      <c r="B19" s="5"/>
      <c r="C19" s="5"/>
      <c r="D19" s="5"/>
      <c r="E19" s="5"/>
      <c r="F19" s="5"/>
      <c r="G19" s="5"/>
      <c r="H19" s="5"/>
      <c r="I19" s="170" t="s">
        <v>99</v>
      </c>
      <c r="J19" s="102"/>
      <c r="K19" s="50">
        <f>ROUND(SUM(N12:N18),1)</f>
        <v>0</v>
      </c>
      <c r="L19" s="5"/>
    </row>
    <row r="20" ht="11.25" customHeight="1">
      <c r="A20" s="36" t="s">
        <v>18</v>
      </c>
    </row>
    <row r="21" spans="1:12" ht="12">
      <c r="A21" s="108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</sheetData>
  <sheetProtection/>
  <mergeCells count="37">
    <mergeCell ref="C15:H15"/>
    <mergeCell ref="C16:H16"/>
    <mergeCell ref="C17:H17"/>
    <mergeCell ref="C18:H18"/>
    <mergeCell ref="I19:J19"/>
    <mergeCell ref="A21:L21"/>
    <mergeCell ref="C10:H10"/>
    <mergeCell ref="I10:K10"/>
    <mergeCell ref="C11:H11"/>
    <mergeCell ref="C12:H12"/>
    <mergeCell ref="C13:H13"/>
    <mergeCell ref="C14:H14"/>
    <mergeCell ref="A8:C9"/>
    <mergeCell ref="D8:F9"/>
    <mergeCell ref="G8:G9"/>
    <mergeCell ref="H8:H9"/>
    <mergeCell ref="I8:I9"/>
    <mergeCell ref="J8:L9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J4:L5"/>
    <mergeCell ref="A1:L1"/>
    <mergeCell ref="A2:C3"/>
    <mergeCell ref="D2:F3"/>
    <mergeCell ref="G2:G3"/>
    <mergeCell ref="H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0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K303" sqref="K30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28.7109375" style="0" customWidth="1"/>
    <col min="5" max="5" width="72.140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5.5" customHeight="1">
      <c r="A1" s="154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ht="12">
      <c r="A2" s="97" t="s">
        <v>0</v>
      </c>
      <c r="B2" s="98"/>
      <c r="C2" s="98"/>
      <c r="D2" s="101" t="s">
        <v>346</v>
      </c>
      <c r="E2" s="102"/>
      <c r="F2" s="171" t="s">
        <v>95</v>
      </c>
      <c r="G2" s="98"/>
      <c r="H2" s="171" t="s">
        <v>78</v>
      </c>
      <c r="I2" s="104" t="s">
        <v>32</v>
      </c>
      <c r="J2" s="104" t="s">
        <v>641</v>
      </c>
      <c r="K2" s="98"/>
      <c r="L2" s="98"/>
      <c r="M2" s="98"/>
      <c r="N2" s="155"/>
      <c r="O2" s="18"/>
    </row>
    <row r="3" spans="1:15" ht="12">
      <c r="A3" s="99"/>
      <c r="B3" s="100"/>
      <c r="C3" s="100"/>
      <c r="D3" s="103"/>
      <c r="E3" s="103"/>
      <c r="F3" s="100"/>
      <c r="G3" s="100"/>
      <c r="H3" s="100"/>
      <c r="I3" s="100"/>
      <c r="J3" s="100"/>
      <c r="K3" s="100"/>
      <c r="L3" s="100"/>
      <c r="M3" s="100"/>
      <c r="N3" s="106"/>
      <c r="O3" s="18"/>
    </row>
    <row r="4" spans="1:15" ht="12">
      <c r="A4" s="107" t="s">
        <v>1</v>
      </c>
      <c r="B4" s="100"/>
      <c r="C4" s="100"/>
      <c r="D4" s="108" t="s">
        <v>347</v>
      </c>
      <c r="E4" s="100"/>
      <c r="F4" s="110" t="s">
        <v>3</v>
      </c>
      <c r="G4" s="100"/>
      <c r="H4" s="110" t="s">
        <v>78</v>
      </c>
      <c r="I4" s="108" t="s">
        <v>33</v>
      </c>
      <c r="J4" s="108" t="s">
        <v>642</v>
      </c>
      <c r="K4" s="100"/>
      <c r="L4" s="100"/>
      <c r="M4" s="100"/>
      <c r="N4" s="106"/>
      <c r="O4" s="18"/>
    </row>
    <row r="5" spans="1:15" ht="1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6"/>
      <c r="O5" s="18"/>
    </row>
    <row r="6" spans="1:15" ht="12">
      <c r="A6" s="107" t="s">
        <v>2</v>
      </c>
      <c r="B6" s="100"/>
      <c r="C6" s="100"/>
      <c r="D6" s="108" t="s">
        <v>348</v>
      </c>
      <c r="E6" s="100"/>
      <c r="F6" s="110" t="s">
        <v>35</v>
      </c>
      <c r="G6" s="100"/>
      <c r="H6" s="110" t="s">
        <v>78</v>
      </c>
      <c r="I6" s="108" t="s">
        <v>34</v>
      </c>
      <c r="J6" s="108" t="s">
        <v>643</v>
      </c>
      <c r="K6" s="100"/>
      <c r="L6" s="100"/>
      <c r="M6" s="100"/>
      <c r="N6" s="106"/>
      <c r="O6" s="18"/>
    </row>
    <row r="7" spans="1:15" ht="12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6"/>
      <c r="O7" s="18"/>
    </row>
    <row r="8" spans="1:15" ht="12">
      <c r="A8" s="107" t="s">
        <v>4</v>
      </c>
      <c r="B8" s="100"/>
      <c r="C8" s="100"/>
      <c r="D8" s="108">
        <v>8272152</v>
      </c>
      <c r="E8" s="100"/>
      <c r="F8" s="110" t="s">
        <v>96</v>
      </c>
      <c r="G8" s="100"/>
      <c r="H8" s="110" t="s">
        <v>638</v>
      </c>
      <c r="I8" s="108" t="s">
        <v>36</v>
      </c>
      <c r="J8" s="108" t="s">
        <v>642</v>
      </c>
      <c r="K8" s="100"/>
      <c r="L8" s="100"/>
      <c r="M8" s="100"/>
      <c r="N8" s="106"/>
      <c r="O8" s="18"/>
    </row>
    <row r="9" spans="1:15" ht="12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18"/>
    </row>
    <row r="10" spans="1:64" ht="12.75">
      <c r="A10" s="54" t="s">
        <v>105</v>
      </c>
      <c r="B10" s="60" t="s">
        <v>79</v>
      </c>
      <c r="C10" s="60" t="s">
        <v>80</v>
      </c>
      <c r="D10" s="172" t="s">
        <v>87</v>
      </c>
      <c r="E10" s="173"/>
      <c r="F10" s="60" t="s">
        <v>609</v>
      </c>
      <c r="G10" s="72" t="s">
        <v>620</v>
      </c>
      <c r="H10" s="77" t="s">
        <v>639</v>
      </c>
      <c r="I10" s="162" t="s">
        <v>97</v>
      </c>
      <c r="J10" s="163"/>
      <c r="K10" s="164"/>
      <c r="L10" s="162" t="s">
        <v>101</v>
      </c>
      <c r="M10" s="164"/>
      <c r="N10" s="81" t="s">
        <v>645</v>
      </c>
      <c r="O10" s="19"/>
      <c r="BK10" s="80" t="s">
        <v>694</v>
      </c>
      <c r="BL10" s="91" t="s">
        <v>697</v>
      </c>
    </row>
    <row r="11" spans="1:62" ht="12.75">
      <c r="A11" s="55" t="s">
        <v>78</v>
      </c>
      <c r="B11" s="61" t="s">
        <v>78</v>
      </c>
      <c r="C11" s="61" t="s">
        <v>78</v>
      </c>
      <c r="D11" s="165" t="s">
        <v>349</v>
      </c>
      <c r="E11" s="174"/>
      <c r="F11" s="61" t="s">
        <v>78</v>
      </c>
      <c r="G11" s="61" t="s">
        <v>78</v>
      </c>
      <c r="H11" s="78" t="s">
        <v>640</v>
      </c>
      <c r="I11" s="41" t="s">
        <v>98</v>
      </c>
      <c r="J11" s="42" t="s">
        <v>21</v>
      </c>
      <c r="K11" s="43" t="s">
        <v>100</v>
      </c>
      <c r="L11" s="41" t="s">
        <v>644</v>
      </c>
      <c r="M11" s="43" t="s">
        <v>100</v>
      </c>
      <c r="N11" s="82" t="s">
        <v>646</v>
      </c>
      <c r="O11" s="19"/>
      <c r="Z11" s="80" t="s">
        <v>651</v>
      </c>
      <c r="AA11" s="80" t="s">
        <v>652</v>
      </c>
      <c r="AB11" s="80" t="s">
        <v>653</v>
      </c>
      <c r="AC11" s="80" t="s">
        <v>654</v>
      </c>
      <c r="AD11" s="80" t="s">
        <v>655</v>
      </c>
      <c r="AE11" s="80" t="s">
        <v>656</v>
      </c>
      <c r="AF11" s="80" t="s">
        <v>657</v>
      </c>
      <c r="AG11" s="80" t="s">
        <v>658</v>
      </c>
      <c r="AH11" s="80" t="s">
        <v>659</v>
      </c>
      <c r="BH11" s="80" t="s">
        <v>691</v>
      </c>
      <c r="BI11" s="80" t="s">
        <v>692</v>
      </c>
      <c r="BJ11" s="80" t="s">
        <v>693</v>
      </c>
    </row>
    <row r="12" spans="1:15" ht="12.75">
      <c r="A12" s="56"/>
      <c r="B12" s="62"/>
      <c r="C12" s="62"/>
      <c r="D12" s="175" t="s">
        <v>88</v>
      </c>
      <c r="E12" s="176"/>
      <c r="F12" s="70" t="s">
        <v>78</v>
      </c>
      <c r="G12" s="70" t="s">
        <v>78</v>
      </c>
      <c r="H12" s="70" t="s">
        <v>78</v>
      </c>
      <c r="I12" s="92">
        <f>I13+I43+I46+I69+I100+I109+I114+I121+I128+I135+I142+I145+I156+I161+I183+I198+I245+I255+I258+I261+I264+I267+I278+I281</f>
        <v>0</v>
      </c>
      <c r="J12" s="92">
        <f>J13+J43+J46+J69+J100+J109+J114+J121+J128+J135+J142+J145+J156+J161+J183+J198+J245+J255+J258+J261+J264+J267+J278+J281</f>
        <v>0</v>
      </c>
      <c r="K12" s="92">
        <f>K13+K43+K46+K69+K100+K109+K114+K121+K128+K135+K142+K145+K156+K161+K183+K198+K245+K255+K258+K261+K264+K267+K278+K281</f>
        <v>0</v>
      </c>
      <c r="L12" s="79"/>
      <c r="M12" s="92">
        <f>M13+M43+M46+M69+M100+M109+M114+M121+M128+M135+M142+M145+M156+M161+M183+M198+M245+M255+M258+M261+M264+M267+M278+M281</f>
        <v>1001.944571</v>
      </c>
      <c r="N12" s="83"/>
      <c r="O12" s="18"/>
    </row>
    <row r="13" spans="1:47" ht="12.75">
      <c r="A13" s="57"/>
      <c r="B13" s="63"/>
      <c r="C13" s="63" t="s">
        <v>111</v>
      </c>
      <c r="D13" s="177" t="s">
        <v>350</v>
      </c>
      <c r="E13" s="178"/>
      <c r="F13" s="71" t="s">
        <v>78</v>
      </c>
      <c r="G13" s="71" t="s">
        <v>78</v>
      </c>
      <c r="H13" s="71" t="s">
        <v>78</v>
      </c>
      <c r="I13" s="93">
        <f>SUM(I14:I41)</f>
        <v>0</v>
      </c>
      <c r="J13" s="93">
        <f>SUM(J14:J41)</f>
        <v>0</v>
      </c>
      <c r="K13" s="93">
        <f>SUM(K14:K41)</f>
        <v>0</v>
      </c>
      <c r="L13" s="80"/>
      <c r="M13" s="93">
        <f>SUM(M14:M41)</f>
        <v>77.99125000000001</v>
      </c>
      <c r="N13" s="84"/>
      <c r="O13" s="18"/>
      <c r="AI13" s="80"/>
      <c r="AS13" s="93">
        <f>SUM(AJ14:AJ41)</f>
        <v>0</v>
      </c>
      <c r="AT13" s="93">
        <f>SUM(AK14:AK41)</f>
        <v>0</v>
      </c>
      <c r="AU13" s="93">
        <f>SUM(AL14:AL41)</f>
        <v>0</v>
      </c>
    </row>
    <row r="14" spans="1:64" ht="12.75">
      <c r="A14" s="58" t="s">
        <v>81</v>
      </c>
      <c r="B14" s="64"/>
      <c r="C14" s="64" t="s">
        <v>221</v>
      </c>
      <c r="D14" s="179" t="s">
        <v>351</v>
      </c>
      <c r="E14" s="180"/>
      <c r="F14" s="64" t="s">
        <v>610</v>
      </c>
      <c r="G14" s="73">
        <v>100</v>
      </c>
      <c r="H14" s="183"/>
      <c r="I14" s="73">
        <f>G14*AO14</f>
        <v>0</v>
      </c>
      <c r="J14" s="73">
        <f>G14*AP14</f>
        <v>0</v>
      </c>
      <c r="K14" s="73">
        <f>G14*H14</f>
        <v>0</v>
      </c>
      <c r="L14" s="73">
        <v>0</v>
      </c>
      <c r="M14" s="73">
        <f>G14*L14</f>
        <v>0</v>
      </c>
      <c r="N14" s="85" t="s">
        <v>647</v>
      </c>
      <c r="O14" s="18"/>
      <c r="Z14" s="48">
        <f>IF(AQ14="5",BJ14,0)</f>
        <v>0</v>
      </c>
      <c r="AB14" s="48">
        <f>IF(AQ14="1",BH14,0)</f>
        <v>0</v>
      </c>
      <c r="AC14" s="48">
        <f>IF(AQ14="1",BI14,0)</f>
        <v>0</v>
      </c>
      <c r="AD14" s="48">
        <f>IF(AQ14="7",BH14,0)</f>
        <v>0</v>
      </c>
      <c r="AE14" s="48">
        <f>IF(AQ14="7",BI14,0)</f>
        <v>0</v>
      </c>
      <c r="AF14" s="48">
        <f>IF(AQ14="2",BH14,0)</f>
        <v>0</v>
      </c>
      <c r="AG14" s="48">
        <f>IF(AQ14="2",BI14,0)</f>
        <v>0</v>
      </c>
      <c r="AH14" s="48">
        <f>IF(AQ14="0",BJ14,0)</f>
        <v>0</v>
      </c>
      <c r="AI14" s="80"/>
      <c r="AJ14" s="73">
        <f>IF(AN14=0,K14,0)</f>
        <v>0</v>
      </c>
      <c r="AK14" s="73">
        <f>IF(AN14=15,K14,0)</f>
        <v>0</v>
      </c>
      <c r="AL14" s="73">
        <f>IF(AN14=21,K14,0)</f>
        <v>0</v>
      </c>
      <c r="AN14" s="48">
        <v>21</v>
      </c>
      <c r="AO14" s="48">
        <f>H14*0</f>
        <v>0</v>
      </c>
      <c r="AP14" s="48">
        <f>H14*(1-0)</f>
        <v>0</v>
      </c>
      <c r="AQ14" s="88" t="s">
        <v>81</v>
      </c>
      <c r="AV14" s="48">
        <f>AW14+AX14</f>
        <v>0</v>
      </c>
      <c r="AW14" s="48">
        <f>G14*AO14</f>
        <v>0</v>
      </c>
      <c r="AX14" s="48">
        <f>G14*AP14</f>
        <v>0</v>
      </c>
      <c r="AY14" s="90" t="s">
        <v>660</v>
      </c>
      <c r="AZ14" s="90" t="s">
        <v>684</v>
      </c>
      <c r="BA14" s="80" t="s">
        <v>690</v>
      </c>
      <c r="BC14" s="48">
        <f>AW14+AX14</f>
        <v>0</v>
      </c>
      <c r="BD14" s="48">
        <f>H14/(100-BE14)*100</f>
        <v>0</v>
      </c>
      <c r="BE14" s="48">
        <v>0</v>
      </c>
      <c r="BF14" s="48">
        <f>M14</f>
        <v>0</v>
      </c>
      <c r="BH14" s="73">
        <f>G14*AO14</f>
        <v>0</v>
      </c>
      <c r="BI14" s="73">
        <f>G14*AP14</f>
        <v>0</v>
      </c>
      <c r="BJ14" s="73">
        <f>G14*H14</f>
        <v>0</v>
      </c>
      <c r="BK14" s="73" t="s">
        <v>695</v>
      </c>
      <c r="BL14" s="48">
        <v>11</v>
      </c>
    </row>
    <row r="15" spans="1:15" ht="12.75">
      <c r="A15" s="18"/>
      <c r="D15" s="66" t="s">
        <v>352</v>
      </c>
      <c r="E15" s="68" t="s">
        <v>565</v>
      </c>
      <c r="G15" s="74">
        <v>100</v>
      </c>
      <c r="N15" s="16"/>
      <c r="O15" s="18"/>
    </row>
    <row r="16" spans="1:64" ht="12.75">
      <c r="A16" s="58" t="s">
        <v>106</v>
      </c>
      <c r="B16" s="64"/>
      <c r="C16" s="64" t="s">
        <v>222</v>
      </c>
      <c r="D16" s="179" t="s">
        <v>353</v>
      </c>
      <c r="E16" s="180"/>
      <c r="F16" s="64" t="s">
        <v>611</v>
      </c>
      <c r="G16" s="73">
        <v>60</v>
      </c>
      <c r="H16" s="183"/>
      <c r="I16" s="73">
        <f>G16*AO16</f>
        <v>0</v>
      </c>
      <c r="J16" s="73">
        <f>G16*AP16</f>
        <v>0</v>
      </c>
      <c r="K16" s="73">
        <f>G16*H16</f>
        <v>0</v>
      </c>
      <c r="L16" s="73">
        <v>0</v>
      </c>
      <c r="M16" s="73">
        <f>G16*L16</f>
        <v>0</v>
      </c>
      <c r="N16" s="85" t="s">
        <v>647</v>
      </c>
      <c r="O16" s="18"/>
      <c r="Z16" s="48">
        <f>IF(AQ16="5",BJ16,0)</f>
        <v>0</v>
      </c>
      <c r="AB16" s="48">
        <f>IF(AQ16="1",BH16,0)</f>
        <v>0</v>
      </c>
      <c r="AC16" s="48">
        <f>IF(AQ16="1",BI16,0)</f>
        <v>0</v>
      </c>
      <c r="AD16" s="48">
        <f>IF(AQ16="7",BH16,0)</f>
        <v>0</v>
      </c>
      <c r="AE16" s="48">
        <f>IF(AQ16="7",BI16,0)</f>
        <v>0</v>
      </c>
      <c r="AF16" s="48">
        <f>IF(AQ16="2",BH16,0)</f>
        <v>0</v>
      </c>
      <c r="AG16" s="48">
        <f>IF(AQ16="2",BI16,0)</f>
        <v>0</v>
      </c>
      <c r="AH16" s="48">
        <f>IF(AQ16="0",BJ16,0)</f>
        <v>0</v>
      </c>
      <c r="AI16" s="80"/>
      <c r="AJ16" s="73">
        <f>IF(AN16=0,K16,0)</f>
        <v>0</v>
      </c>
      <c r="AK16" s="73">
        <f>IF(AN16=15,K16,0)</f>
        <v>0</v>
      </c>
      <c r="AL16" s="73">
        <f>IF(AN16=21,K16,0)</f>
        <v>0</v>
      </c>
      <c r="AN16" s="48">
        <v>21</v>
      </c>
      <c r="AO16" s="48">
        <f>H16*0</f>
        <v>0</v>
      </c>
      <c r="AP16" s="48">
        <f>H16*(1-0)</f>
        <v>0</v>
      </c>
      <c r="AQ16" s="88" t="s">
        <v>81</v>
      </c>
      <c r="AV16" s="48">
        <f>AW16+AX16</f>
        <v>0</v>
      </c>
      <c r="AW16" s="48">
        <f>G16*AO16</f>
        <v>0</v>
      </c>
      <c r="AX16" s="48">
        <f>G16*AP16</f>
        <v>0</v>
      </c>
      <c r="AY16" s="90" t="s">
        <v>660</v>
      </c>
      <c r="AZ16" s="90" t="s">
        <v>684</v>
      </c>
      <c r="BA16" s="80" t="s">
        <v>690</v>
      </c>
      <c r="BC16" s="48">
        <f>AW16+AX16</f>
        <v>0</v>
      </c>
      <c r="BD16" s="48">
        <f>H16/(100-BE16)*100</f>
        <v>0</v>
      </c>
      <c r="BE16" s="48">
        <v>0</v>
      </c>
      <c r="BF16" s="48">
        <f>M16</f>
        <v>0</v>
      </c>
      <c r="BH16" s="73">
        <f>G16*AO16</f>
        <v>0</v>
      </c>
      <c r="BI16" s="73">
        <f>G16*AP16</f>
        <v>0</v>
      </c>
      <c r="BJ16" s="73">
        <f>G16*H16</f>
        <v>0</v>
      </c>
      <c r="BK16" s="73" t="s">
        <v>695</v>
      </c>
      <c r="BL16" s="48">
        <v>11</v>
      </c>
    </row>
    <row r="17" spans="1:15" ht="12.75">
      <c r="A17" s="18"/>
      <c r="D17" s="66" t="s">
        <v>354</v>
      </c>
      <c r="E17" s="68" t="s">
        <v>566</v>
      </c>
      <c r="G17" s="74">
        <v>60</v>
      </c>
      <c r="N17" s="16"/>
      <c r="O17" s="18"/>
    </row>
    <row r="18" spans="1:64" ht="12.75">
      <c r="A18" s="58" t="s">
        <v>107</v>
      </c>
      <c r="B18" s="64"/>
      <c r="C18" s="64" t="s">
        <v>223</v>
      </c>
      <c r="D18" s="179" t="s">
        <v>355</v>
      </c>
      <c r="E18" s="180"/>
      <c r="F18" s="64" t="s">
        <v>612</v>
      </c>
      <c r="G18" s="73">
        <v>25</v>
      </c>
      <c r="H18" s="183"/>
      <c r="I18" s="73">
        <f>G18*AO18</f>
        <v>0</v>
      </c>
      <c r="J18" s="73">
        <f>G18*AP18</f>
        <v>0</v>
      </c>
      <c r="K18" s="73">
        <f>G18*H18</f>
        <v>0</v>
      </c>
      <c r="L18" s="73">
        <v>0.01271</v>
      </c>
      <c r="M18" s="73">
        <f>G18*L18</f>
        <v>0.31775000000000003</v>
      </c>
      <c r="N18" s="85" t="s">
        <v>647</v>
      </c>
      <c r="O18" s="18"/>
      <c r="Z18" s="48">
        <f>IF(AQ18="5",BJ18,0)</f>
        <v>0</v>
      </c>
      <c r="AB18" s="48">
        <f>IF(AQ18="1",BH18,0)</f>
        <v>0</v>
      </c>
      <c r="AC18" s="48">
        <f>IF(AQ18="1",BI18,0)</f>
        <v>0</v>
      </c>
      <c r="AD18" s="48">
        <f>IF(AQ18="7",BH18,0)</f>
        <v>0</v>
      </c>
      <c r="AE18" s="48">
        <f>IF(AQ18="7",BI18,0)</f>
        <v>0</v>
      </c>
      <c r="AF18" s="48">
        <f>IF(AQ18="2",BH18,0)</f>
        <v>0</v>
      </c>
      <c r="AG18" s="48">
        <f>IF(AQ18="2",BI18,0)</f>
        <v>0</v>
      </c>
      <c r="AH18" s="48">
        <f>IF(AQ18="0",BJ18,0)</f>
        <v>0</v>
      </c>
      <c r="AI18" s="80"/>
      <c r="AJ18" s="73">
        <f>IF(AN18=0,K18,0)</f>
        <v>0</v>
      </c>
      <c r="AK18" s="73">
        <f>IF(AN18=15,K18,0)</f>
        <v>0</v>
      </c>
      <c r="AL18" s="73">
        <f>IF(AN18=21,K18,0)</f>
        <v>0</v>
      </c>
      <c r="AN18" s="48">
        <v>21</v>
      </c>
      <c r="AO18" s="48">
        <f>H18*0.239161883428998</f>
        <v>0</v>
      </c>
      <c r="AP18" s="48">
        <f>H18*(1-0.239161883428998)</f>
        <v>0</v>
      </c>
      <c r="AQ18" s="88" t="s">
        <v>81</v>
      </c>
      <c r="AV18" s="48">
        <f>AW18+AX18</f>
        <v>0</v>
      </c>
      <c r="AW18" s="48">
        <f>G18*AO18</f>
        <v>0</v>
      </c>
      <c r="AX18" s="48">
        <f>G18*AP18</f>
        <v>0</v>
      </c>
      <c r="AY18" s="90" t="s">
        <v>660</v>
      </c>
      <c r="AZ18" s="90" t="s">
        <v>684</v>
      </c>
      <c r="BA18" s="80" t="s">
        <v>690</v>
      </c>
      <c r="BC18" s="48">
        <f>AW18+AX18</f>
        <v>0</v>
      </c>
      <c r="BD18" s="48">
        <f>H18/(100-BE18)*100</f>
        <v>0</v>
      </c>
      <c r="BE18" s="48">
        <v>0</v>
      </c>
      <c r="BF18" s="48">
        <f>M18</f>
        <v>0.31775000000000003</v>
      </c>
      <c r="BH18" s="73">
        <f>G18*AO18</f>
        <v>0</v>
      </c>
      <c r="BI18" s="73">
        <f>G18*AP18</f>
        <v>0</v>
      </c>
      <c r="BJ18" s="73">
        <f>G18*H18</f>
        <v>0</v>
      </c>
      <c r="BK18" s="73" t="s">
        <v>695</v>
      </c>
      <c r="BL18" s="48">
        <v>11</v>
      </c>
    </row>
    <row r="19" spans="1:15" ht="12.75">
      <c r="A19" s="18"/>
      <c r="D19" s="66" t="s">
        <v>356</v>
      </c>
      <c r="E19" s="68"/>
      <c r="G19" s="74">
        <v>25</v>
      </c>
      <c r="N19" s="16"/>
      <c r="O19" s="18"/>
    </row>
    <row r="20" spans="1:64" ht="12.75">
      <c r="A20" s="58" t="s">
        <v>82</v>
      </c>
      <c r="B20" s="64"/>
      <c r="C20" s="64" t="s">
        <v>224</v>
      </c>
      <c r="D20" s="179" t="s">
        <v>357</v>
      </c>
      <c r="E20" s="180"/>
      <c r="F20" s="64" t="s">
        <v>612</v>
      </c>
      <c r="G20" s="73">
        <v>25</v>
      </c>
      <c r="H20" s="183"/>
      <c r="I20" s="73">
        <f>G20*AO20</f>
        <v>0</v>
      </c>
      <c r="J20" s="73">
        <f>G20*AP20</f>
        <v>0</v>
      </c>
      <c r="K20" s="73">
        <f>G20*H20</f>
        <v>0</v>
      </c>
      <c r="L20" s="73">
        <v>0.03974</v>
      </c>
      <c r="M20" s="73">
        <f>G20*L20</f>
        <v>0.9934999999999999</v>
      </c>
      <c r="N20" s="85" t="s">
        <v>647</v>
      </c>
      <c r="O20" s="18"/>
      <c r="Z20" s="48">
        <f>IF(AQ20="5",BJ20,0)</f>
        <v>0</v>
      </c>
      <c r="AB20" s="48">
        <f>IF(AQ20="1",BH20,0)</f>
        <v>0</v>
      </c>
      <c r="AC20" s="48">
        <f>IF(AQ20="1",BI20,0)</f>
        <v>0</v>
      </c>
      <c r="AD20" s="48">
        <f>IF(AQ20="7",BH20,0)</f>
        <v>0</v>
      </c>
      <c r="AE20" s="48">
        <f>IF(AQ20="7",BI20,0)</f>
        <v>0</v>
      </c>
      <c r="AF20" s="48">
        <f>IF(AQ20="2",BH20,0)</f>
        <v>0</v>
      </c>
      <c r="AG20" s="48">
        <f>IF(AQ20="2",BI20,0)</f>
        <v>0</v>
      </c>
      <c r="AH20" s="48">
        <f>IF(AQ20="0",BJ20,0)</f>
        <v>0</v>
      </c>
      <c r="AI20" s="80"/>
      <c r="AJ20" s="73">
        <f>IF(AN20=0,K20,0)</f>
        <v>0</v>
      </c>
      <c r="AK20" s="73">
        <f>IF(AN20=15,K20,0)</f>
        <v>0</v>
      </c>
      <c r="AL20" s="73">
        <f>IF(AN20=21,K20,0)</f>
        <v>0</v>
      </c>
      <c r="AN20" s="48">
        <v>21</v>
      </c>
      <c r="AO20" s="48">
        <f>H20*0.263537582837469</f>
        <v>0</v>
      </c>
      <c r="AP20" s="48">
        <f>H20*(1-0.263537582837469)</f>
        <v>0</v>
      </c>
      <c r="AQ20" s="88" t="s">
        <v>81</v>
      </c>
      <c r="AV20" s="48">
        <f>AW20+AX20</f>
        <v>0</v>
      </c>
      <c r="AW20" s="48">
        <f>G20*AO20</f>
        <v>0</v>
      </c>
      <c r="AX20" s="48">
        <f>G20*AP20</f>
        <v>0</v>
      </c>
      <c r="AY20" s="90" t="s">
        <v>660</v>
      </c>
      <c r="AZ20" s="90" t="s">
        <v>684</v>
      </c>
      <c r="BA20" s="80" t="s">
        <v>690</v>
      </c>
      <c r="BC20" s="48">
        <f>AW20+AX20</f>
        <v>0</v>
      </c>
      <c r="BD20" s="48">
        <f>H20/(100-BE20)*100</f>
        <v>0</v>
      </c>
      <c r="BE20" s="48">
        <v>0</v>
      </c>
      <c r="BF20" s="48">
        <f>M20</f>
        <v>0.9934999999999999</v>
      </c>
      <c r="BH20" s="73">
        <f>G20*AO20</f>
        <v>0</v>
      </c>
      <c r="BI20" s="73">
        <f>G20*AP20</f>
        <v>0</v>
      </c>
      <c r="BJ20" s="73">
        <f>G20*H20</f>
        <v>0</v>
      </c>
      <c r="BK20" s="73" t="s">
        <v>695</v>
      </c>
      <c r="BL20" s="48">
        <v>11</v>
      </c>
    </row>
    <row r="21" spans="1:15" ht="12.75">
      <c r="A21" s="18"/>
      <c r="D21" s="66" t="s">
        <v>356</v>
      </c>
      <c r="E21" s="68"/>
      <c r="G21" s="74">
        <v>25</v>
      </c>
      <c r="N21" s="16"/>
      <c r="O21" s="18"/>
    </row>
    <row r="22" spans="1:64" ht="12.75">
      <c r="A22" s="58" t="s">
        <v>83</v>
      </c>
      <c r="B22" s="64"/>
      <c r="C22" s="64" t="s">
        <v>225</v>
      </c>
      <c r="D22" s="179" t="s">
        <v>358</v>
      </c>
      <c r="E22" s="180"/>
      <c r="F22" s="64" t="s">
        <v>613</v>
      </c>
      <c r="G22" s="73">
        <v>24</v>
      </c>
      <c r="H22" s="183"/>
      <c r="I22" s="73">
        <f>G22*AO22</f>
        <v>0</v>
      </c>
      <c r="J22" s="73">
        <f>G22*AP22</f>
        <v>0</v>
      </c>
      <c r="K22" s="73">
        <f>G22*H22</f>
        <v>0</v>
      </c>
      <c r="L22" s="73">
        <v>0.225</v>
      </c>
      <c r="M22" s="73">
        <f>G22*L22</f>
        <v>5.4</v>
      </c>
      <c r="N22" s="85" t="s">
        <v>648</v>
      </c>
      <c r="O22" s="18"/>
      <c r="Z22" s="48">
        <f>IF(AQ22="5",BJ22,0)</f>
        <v>0</v>
      </c>
      <c r="AB22" s="48">
        <f>IF(AQ22="1",BH22,0)</f>
        <v>0</v>
      </c>
      <c r="AC22" s="48">
        <f>IF(AQ22="1",BI22,0)</f>
        <v>0</v>
      </c>
      <c r="AD22" s="48">
        <f>IF(AQ22="7",BH22,0)</f>
        <v>0</v>
      </c>
      <c r="AE22" s="48">
        <f>IF(AQ22="7",BI22,0)</f>
        <v>0</v>
      </c>
      <c r="AF22" s="48">
        <f>IF(AQ22="2",BH22,0)</f>
        <v>0</v>
      </c>
      <c r="AG22" s="48">
        <f>IF(AQ22="2",BI22,0)</f>
        <v>0</v>
      </c>
      <c r="AH22" s="48">
        <f>IF(AQ22="0",BJ22,0)</f>
        <v>0</v>
      </c>
      <c r="AI22" s="80"/>
      <c r="AJ22" s="73">
        <f>IF(AN22=0,K22,0)</f>
        <v>0</v>
      </c>
      <c r="AK22" s="73">
        <f>IF(AN22=15,K22,0)</f>
        <v>0</v>
      </c>
      <c r="AL22" s="73">
        <f>IF(AN22=21,K22,0)</f>
        <v>0</v>
      </c>
      <c r="AN22" s="48">
        <v>21</v>
      </c>
      <c r="AO22" s="48">
        <f>H22*0</f>
        <v>0</v>
      </c>
      <c r="AP22" s="48">
        <f>H22*(1-0)</f>
        <v>0</v>
      </c>
      <c r="AQ22" s="88" t="s">
        <v>81</v>
      </c>
      <c r="AV22" s="48">
        <f>AW22+AX22</f>
        <v>0</v>
      </c>
      <c r="AW22" s="48">
        <f>G22*AO22</f>
        <v>0</v>
      </c>
      <c r="AX22" s="48">
        <f>G22*AP22</f>
        <v>0</v>
      </c>
      <c r="AY22" s="90" t="s">
        <v>660</v>
      </c>
      <c r="AZ22" s="90" t="s">
        <v>684</v>
      </c>
      <c r="BA22" s="80" t="s">
        <v>690</v>
      </c>
      <c r="BC22" s="48">
        <f>AW22+AX22</f>
        <v>0</v>
      </c>
      <c r="BD22" s="48">
        <f>H22/(100-BE22)*100</f>
        <v>0</v>
      </c>
      <c r="BE22" s="48">
        <v>0</v>
      </c>
      <c r="BF22" s="48">
        <f>M22</f>
        <v>5.4</v>
      </c>
      <c r="BH22" s="73">
        <f>G22*AO22</f>
        <v>0</v>
      </c>
      <c r="BI22" s="73">
        <f>G22*AP22</f>
        <v>0</v>
      </c>
      <c r="BJ22" s="73">
        <f>G22*H22</f>
        <v>0</v>
      </c>
      <c r="BK22" s="73" t="s">
        <v>695</v>
      </c>
      <c r="BL22" s="48">
        <v>11</v>
      </c>
    </row>
    <row r="23" spans="1:15" ht="12.75">
      <c r="A23" s="18"/>
      <c r="D23" s="66" t="s">
        <v>359</v>
      </c>
      <c r="E23" s="68" t="s">
        <v>567</v>
      </c>
      <c r="G23" s="74">
        <v>4</v>
      </c>
      <c r="N23" s="16"/>
      <c r="O23" s="18"/>
    </row>
    <row r="24" spans="1:15" ht="12.75">
      <c r="A24" s="18"/>
      <c r="D24" s="66" t="s">
        <v>360</v>
      </c>
      <c r="E24" s="68" t="s">
        <v>568</v>
      </c>
      <c r="G24" s="74">
        <v>15</v>
      </c>
      <c r="N24" s="16"/>
      <c r="O24" s="18"/>
    </row>
    <row r="25" spans="1:15" ht="12.75">
      <c r="A25" s="18"/>
      <c r="D25" s="66" t="s">
        <v>361</v>
      </c>
      <c r="E25" s="68" t="s">
        <v>569</v>
      </c>
      <c r="G25" s="74">
        <v>5</v>
      </c>
      <c r="N25" s="16"/>
      <c r="O25" s="18"/>
    </row>
    <row r="26" spans="1:64" ht="12.75">
      <c r="A26" s="58" t="s">
        <v>108</v>
      </c>
      <c r="B26" s="64"/>
      <c r="C26" s="64" t="s">
        <v>226</v>
      </c>
      <c r="D26" s="179" t="s">
        <v>362</v>
      </c>
      <c r="E26" s="180"/>
      <c r="F26" s="64" t="s">
        <v>613</v>
      </c>
      <c r="G26" s="73">
        <v>10</v>
      </c>
      <c r="H26" s="183"/>
      <c r="I26" s="73">
        <f>G26*AO26</f>
        <v>0</v>
      </c>
      <c r="J26" s="73">
        <f>G26*AP26</f>
        <v>0</v>
      </c>
      <c r="K26" s="73">
        <f>G26*H26</f>
        <v>0</v>
      </c>
      <c r="L26" s="73">
        <v>0.138</v>
      </c>
      <c r="M26" s="73">
        <f>G26*L26</f>
        <v>1.3800000000000001</v>
      </c>
      <c r="N26" s="85" t="s">
        <v>647</v>
      </c>
      <c r="O26" s="18"/>
      <c r="Z26" s="48">
        <f>IF(AQ26="5",BJ26,0)</f>
        <v>0</v>
      </c>
      <c r="AB26" s="48">
        <f>IF(AQ26="1",BH26,0)</f>
        <v>0</v>
      </c>
      <c r="AC26" s="48">
        <f>IF(AQ26="1",BI26,0)</f>
        <v>0</v>
      </c>
      <c r="AD26" s="48">
        <f>IF(AQ26="7",BH26,0)</f>
        <v>0</v>
      </c>
      <c r="AE26" s="48">
        <f>IF(AQ26="7",BI26,0)</f>
        <v>0</v>
      </c>
      <c r="AF26" s="48">
        <f>IF(AQ26="2",BH26,0)</f>
        <v>0</v>
      </c>
      <c r="AG26" s="48">
        <f>IF(AQ26="2",BI26,0)</f>
        <v>0</v>
      </c>
      <c r="AH26" s="48">
        <f>IF(AQ26="0",BJ26,0)</f>
        <v>0</v>
      </c>
      <c r="AI26" s="80"/>
      <c r="AJ26" s="73">
        <f>IF(AN26=0,K26,0)</f>
        <v>0</v>
      </c>
      <c r="AK26" s="73">
        <f>IF(AN26=15,K26,0)</f>
        <v>0</v>
      </c>
      <c r="AL26" s="73">
        <f>IF(AN26=21,K26,0)</f>
        <v>0</v>
      </c>
      <c r="AN26" s="48">
        <v>21</v>
      </c>
      <c r="AO26" s="48">
        <f>H26*0</f>
        <v>0</v>
      </c>
      <c r="AP26" s="48">
        <f>H26*(1-0)</f>
        <v>0</v>
      </c>
      <c r="AQ26" s="88" t="s">
        <v>81</v>
      </c>
      <c r="AV26" s="48">
        <f>AW26+AX26</f>
        <v>0</v>
      </c>
      <c r="AW26" s="48">
        <f>G26*AO26</f>
        <v>0</v>
      </c>
      <c r="AX26" s="48">
        <f>G26*AP26</f>
        <v>0</v>
      </c>
      <c r="AY26" s="90" t="s">
        <v>660</v>
      </c>
      <c r="AZ26" s="90" t="s">
        <v>684</v>
      </c>
      <c r="BA26" s="80" t="s">
        <v>690</v>
      </c>
      <c r="BC26" s="48">
        <f>AW26+AX26</f>
        <v>0</v>
      </c>
      <c r="BD26" s="48">
        <f>H26/(100-BE26)*100</f>
        <v>0</v>
      </c>
      <c r="BE26" s="48">
        <v>0</v>
      </c>
      <c r="BF26" s="48">
        <f>M26</f>
        <v>1.3800000000000001</v>
      </c>
      <c r="BH26" s="73">
        <f>G26*AO26</f>
        <v>0</v>
      </c>
      <c r="BI26" s="73">
        <f>G26*AP26</f>
        <v>0</v>
      </c>
      <c r="BJ26" s="73">
        <f>G26*H26</f>
        <v>0</v>
      </c>
      <c r="BK26" s="73" t="s">
        <v>695</v>
      </c>
      <c r="BL26" s="48">
        <v>11</v>
      </c>
    </row>
    <row r="27" spans="1:15" ht="12.75">
      <c r="A27" s="18"/>
      <c r="D27" s="66" t="s">
        <v>363</v>
      </c>
      <c r="E27" s="68" t="s">
        <v>568</v>
      </c>
      <c r="G27" s="74">
        <v>10</v>
      </c>
      <c r="N27" s="16"/>
      <c r="O27" s="18"/>
    </row>
    <row r="28" spans="1:64" ht="12.75">
      <c r="A28" s="58" t="s">
        <v>109</v>
      </c>
      <c r="B28" s="64"/>
      <c r="C28" s="64" t="s">
        <v>227</v>
      </c>
      <c r="D28" s="179" t="s">
        <v>364</v>
      </c>
      <c r="E28" s="180"/>
      <c r="F28" s="64" t="s">
        <v>613</v>
      </c>
      <c r="G28" s="73">
        <v>10</v>
      </c>
      <c r="H28" s="183"/>
      <c r="I28" s="73">
        <f>G28*AO28</f>
        <v>0</v>
      </c>
      <c r="J28" s="73">
        <f>G28*AP28</f>
        <v>0</v>
      </c>
      <c r="K28" s="73">
        <f>G28*H28</f>
        <v>0</v>
      </c>
      <c r="L28" s="73">
        <v>0.505</v>
      </c>
      <c r="M28" s="73">
        <f>G28*L28</f>
        <v>5.05</v>
      </c>
      <c r="N28" s="85" t="s">
        <v>647</v>
      </c>
      <c r="O28" s="18"/>
      <c r="Z28" s="48">
        <f>IF(AQ28="5",BJ28,0)</f>
        <v>0</v>
      </c>
      <c r="AB28" s="48">
        <f>IF(AQ28="1",BH28,0)</f>
        <v>0</v>
      </c>
      <c r="AC28" s="48">
        <f>IF(AQ28="1",BI28,0)</f>
        <v>0</v>
      </c>
      <c r="AD28" s="48">
        <f>IF(AQ28="7",BH28,0)</f>
        <v>0</v>
      </c>
      <c r="AE28" s="48">
        <f>IF(AQ28="7",BI28,0)</f>
        <v>0</v>
      </c>
      <c r="AF28" s="48">
        <f>IF(AQ28="2",BH28,0)</f>
        <v>0</v>
      </c>
      <c r="AG28" s="48">
        <f>IF(AQ28="2",BI28,0)</f>
        <v>0</v>
      </c>
      <c r="AH28" s="48">
        <f>IF(AQ28="0",BJ28,0)</f>
        <v>0</v>
      </c>
      <c r="AI28" s="80"/>
      <c r="AJ28" s="73">
        <f>IF(AN28=0,K28,0)</f>
        <v>0</v>
      </c>
      <c r="AK28" s="73">
        <f>IF(AN28=15,K28,0)</f>
        <v>0</v>
      </c>
      <c r="AL28" s="73">
        <f>IF(AN28=21,K28,0)</f>
        <v>0</v>
      </c>
      <c r="AN28" s="48">
        <v>21</v>
      </c>
      <c r="AO28" s="48">
        <f>H28*0</f>
        <v>0</v>
      </c>
      <c r="AP28" s="48">
        <f>H28*(1-0)</f>
        <v>0</v>
      </c>
      <c r="AQ28" s="88" t="s">
        <v>81</v>
      </c>
      <c r="AV28" s="48">
        <f>AW28+AX28</f>
        <v>0</v>
      </c>
      <c r="AW28" s="48">
        <f>G28*AO28</f>
        <v>0</v>
      </c>
      <c r="AX28" s="48">
        <f>G28*AP28</f>
        <v>0</v>
      </c>
      <c r="AY28" s="90" t="s">
        <v>660</v>
      </c>
      <c r="AZ28" s="90" t="s">
        <v>684</v>
      </c>
      <c r="BA28" s="80" t="s">
        <v>690</v>
      </c>
      <c r="BC28" s="48">
        <f>AW28+AX28</f>
        <v>0</v>
      </c>
      <c r="BD28" s="48">
        <f>H28/(100-BE28)*100</f>
        <v>0</v>
      </c>
      <c r="BE28" s="48">
        <v>0</v>
      </c>
      <c r="BF28" s="48">
        <f>M28</f>
        <v>5.05</v>
      </c>
      <c r="BH28" s="73">
        <f>G28*AO28</f>
        <v>0</v>
      </c>
      <c r="BI28" s="73">
        <f>G28*AP28</f>
        <v>0</v>
      </c>
      <c r="BJ28" s="73">
        <f>G28*H28</f>
        <v>0</v>
      </c>
      <c r="BK28" s="73" t="s">
        <v>695</v>
      </c>
      <c r="BL28" s="48">
        <v>11</v>
      </c>
    </row>
    <row r="29" spans="1:15" ht="12.75">
      <c r="A29" s="18"/>
      <c r="D29" s="66" t="s">
        <v>363</v>
      </c>
      <c r="E29" s="68" t="s">
        <v>570</v>
      </c>
      <c r="G29" s="74">
        <v>10</v>
      </c>
      <c r="N29" s="16"/>
      <c r="O29" s="18"/>
    </row>
    <row r="30" spans="1:64" ht="12.75">
      <c r="A30" s="58" t="s">
        <v>85</v>
      </c>
      <c r="B30" s="64"/>
      <c r="C30" s="64" t="s">
        <v>228</v>
      </c>
      <c r="D30" s="179" t="s">
        <v>365</v>
      </c>
      <c r="E30" s="180"/>
      <c r="F30" s="64" t="s">
        <v>613</v>
      </c>
      <c r="G30" s="73">
        <v>40</v>
      </c>
      <c r="H30" s="183"/>
      <c r="I30" s="73">
        <f>G30*AO30</f>
        <v>0</v>
      </c>
      <c r="J30" s="73">
        <f>G30*AP30</f>
        <v>0</v>
      </c>
      <c r="K30" s="73">
        <f>G30*H30</f>
        <v>0</v>
      </c>
      <c r="L30" s="73">
        <v>0.33</v>
      </c>
      <c r="M30" s="73">
        <f>G30*L30</f>
        <v>13.200000000000001</v>
      </c>
      <c r="N30" s="85" t="s">
        <v>647</v>
      </c>
      <c r="O30" s="18"/>
      <c r="Z30" s="48">
        <f>IF(AQ30="5",BJ30,0)</f>
        <v>0</v>
      </c>
      <c r="AB30" s="48">
        <f>IF(AQ30="1",BH30,0)</f>
        <v>0</v>
      </c>
      <c r="AC30" s="48">
        <f>IF(AQ30="1",BI30,0)</f>
        <v>0</v>
      </c>
      <c r="AD30" s="48">
        <f>IF(AQ30="7",BH30,0)</f>
        <v>0</v>
      </c>
      <c r="AE30" s="48">
        <f>IF(AQ30="7",BI30,0)</f>
        <v>0</v>
      </c>
      <c r="AF30" s="48">
        <f>IF(AQ30="2",BH30,0)</f>
        <v>0</v>
      </c>
      <c r="AG30" s="48">
        <f>IF(AQ30="2",BI30,0)</f>
        <v>0</v>
      </c>
      <c r="AH30" s="48">
        <f>IF(AQ30="0",BJ30,0)</f>
        <v>0</v>
      </c>
      <c r="AI30" s="80"/>
      <c r="AJ30" s="73">
        <f>IF(AN30=0,K30,0)</f>
        <v>0</v>
      </c>
      <c r="AK30" s="73">
        <f>IF(AN30=15,K30,0)</f>
        <v>0</v>
      </c>
      <c r="AL30" s="73">
        <f>IF(AN30=21,K30,0)</f>
        <v>0</v>
      </c>
      <c r="AN30" s="48">
        <v>21</v>
      </c>
      <c r="AO30" s="48">
        <f>H30*0</f>
        <v>0</v>
      </c>
      <c r="AP30" s="48">
        <f>H30*(1-0)</f>
        <v>0</v>
      </c>
      <c r="AQ30" s="88" t="s">
        <v>81</v>
      </c>
      <c r="AV30" s="48">
        <f>AW30+AX30</f>
        <v>0</v>
      </c>
      <c r="AW30" s="48">
        <f>G30*AO30</f>
        <v>0</v>
      </c>
      <c r="AX30" s="48">
        <f>G30*AP30</f>
        <v>0</v>
      </c>
      <c r="AY30" s="90" t="s">
        <v>660</v>
      </c>
      <c r="AZ30" s="90" t="s">
        <v>684</v>
      </c>
      <c r="BA30" s="80" t="s">
        <v>690</v>
      </c>
      <c r="BC30" s="48">
        <f>AW30+AX30</f>
        <v>0</v>
      </c>
      <c r="BD30" s="48">
        <f>H30/(100-BE30)*100</f>
        <v>0</v>
      </c>
      <c r="BE30" s="48">
        <v>0</v>
      </c>
      <c r="BF30" s="48">
        <f>M30</f>
        <v>13.200000000000001</v>
      </c>
      <c r="BH30" s="73">
        <f>G30*AO30</f>
        <v>0</v>
      </c>
      <c r="BI30" s="73">
        <f>G30*AP30</f>
        <v>0</v>
      </c>
      <c r="BJ30" s="73">
        <f>G30*H30</f>
        <v>0</v>
      </c>
      <c r="BK30" s="73" t="s">
        <v>695</v>
      </c>
      <c r="BL30" s="48">
        <v>11</v>
      </c>
    </row>
    <row r="31" spans="1:15" ht="12.75">
      <c r="A31" s="18"/>
      <c r="D31" s="66" t="s">
        <v>356</v>
      </c>
      <c r="E31" s="68" t="s">
        <v>567</v>
      </c>
      <c r="G31" s="74">
        <v>25</v>
      </c>
      <c r="N31" s="16"/>
      <c r="O31" s="18"/>
    </row>
    <row r="32" spans="1:15" ht="12.75">
      <c r="A32" s="18"/>
      <c r="D32" s="66" t="s">
        <v>360</v>
      </c>
      <c r="E32" s="68" t="s">
        <v>570</v>
      </c>
      <c r="G32" s="74">
        <v>15</v>
      </c>
      <c r="N32" s="16"/>
      <c r="O32" s="18"/>
    </row>
    <row r="33" spans="1:64" ht="12.75">
      <c r="A33" s="58" t="s">
        <v>86</v>
      </c>
      <c r="B33" s="64"/>
      <c r="C33" s="64" t="s">
        <v>229</v>
      </c>
      <c r="D33" s="179" t="s">
        <v>366</v>
      </c>
      <c r="E33" s="180"/>
      <c r="F33" s="64" t="s">
        <v>613</v>
      </c>
      <c r="G33" s="73">
        <v>50</v>
      </c>
      <c r="H33" s="183"/>
      <c r="I33" s="73">
        <f>G33*AO33</f>
        <v>0</v>
      </c>
      <c r="J33" s="73">
        <f>G33*AP33</f>
        <v>0</v>
      </c>
      <c r="K33" s="73">
        <f>G33*H33</f>
        <v>0</v>
      </c>
      <c r="L33" s="73">
        <v>0.33</v>
      </c>
      <c r="M33" s="73">
        <f>G33*L33</f>
        <v>16.5</v>
      </c>
      <c r="N33" s="85" t="s">
        <v>647</v>
      </c>
      <c r="O33" s="18"/>
      <c r="Z33" s="48">
        <f>IF(AQ33="5",BJ33,0)</f>
        <v>0</v>
      </c>
      <c r="AB33" s="48">
        <f>IF(AQ33="1",BH33,0)</f>
        <v>0</v>
      </c>
      <c r="AC33" s="48">
        <f>IF(AQ33="1",BI33,0)</f>
        <v>0</v>
      </c>
      <c r="AD33" s="48">
        <f>IF(AQ33="7",BH33,0)</f>
        <v>0</v>
      </c>
      <c r="AE33" s="48">
        <f>IF(AQ33="7",BI33,0)</f>
        <v>0</v>
      </c>
      <c r="AF33" s="48">
        <f>IF(AQ33="2",BH33,0)</f>
        <v>0</v>
      </c>
      <c r="AG33" s="48">
        <f>IF(AQ33="2",BI33,0)</f>
        <v>0</v>
      </c>
      <c r="AH33" s="48">
        <f>IF(AQ33="0",BJ33,0)</f>
        <v>0</v>
      </c>
      <c r="AI33" s="80"/>
      <c r="AJ33" s="73">
        <f>IF(AN33=0,K33,0)</f>
        <v>0</v>
      </c>
      <c r="AK33" s="73">
        <f>IF(AN33=15,K33,0)</f>
        <v>0</v>
      </c>
      <c r="AL33" s="73">
        <f>IF(AN33=21,K33,0)</f>
        <v>0</v>
      </c>
      <c r="AN33" s="48">
        <v>21</v>
      </c>
      <c r="AO33" s="48">
        <f>H33*0</f>
        <v>0</v>
      </c>
      <c r="AP33" s="48">
        <f>H33*(1-0)</f>
        <v>0</v>
      </c>
      <c r="AQ33" s="88" t="s">
        <v>81</v>
      </c>
      <c r="AV33" s="48">
        <f>AW33+AX33</f>
        <v>0</v>
      </c>
      <c r="AW33" s="48">
        <f>G33*AO33</f>
        <v>0</v>
      </c>
      <c r="AX33" s="48">
        <f>G33*AP33</f>
        <v>0</v>
      </c>
      <c r="AY33" s="90" t="s">
        <v>660</v>
      </c>
      <c r="AZ33" s="90" t="s">
        <v>684</v>
      </c>
      <c r="BA33" s="80" t="s">
        <v>690</v>
      </c>
      <c r="BC33" s="48">
        <f>AW33+AX33</f>
        <v>0</v>
      </c>
      <c r="BD33" s="48">
        <f>H33/(100-BE33)*100</f>
        <v>0</v>
      </c>
      <c r="BE33" s="48">
        <v>0</v>
      </c>
      <c r="BF33" s="48">
        <f>M33</f>
        <v>16.5</v>
      </c>
      <c r="BH33" s="73">
        <f>G33*AO33</f>
        <v>0</v>
      </c>
      <c r="BI33" s="73">
        <f>G33*AP33</f>
        <v>0</v>
      </c>
      <c r="BJ33" s="73">
        <f>G33*H33</f>
        <v>0</v>
      </c>
      <c r="BK33" s="73" t="s">
        <v>695</v>
      </c>
      <c r="BL33" s="48">
        <v>11</v>
      </c>
    </row>
    <row r="34" spans="1:15" ht="12.75">
      <c r="A34" s="18"/>
      <c r="D34" s="66" t="s">
        <v>367</v>
      </c>
      <c r="E34" s="68"/>
      <c r="G34" s="74">
        <v>50</v>
      </c>
      <c r="N34" s="16"/>
      <c r="O34" s="18"/>
    </row>
    <row r="35" spans="1:64" ht="12.75">
      <c r="A35" s="58" t="s">
        <v>110</v>
      </c>
      <c r="B35" s="64"/>
      <c r="C35" s="64" t="s">
        <v>230</v>
      </c>
      <c r="D35" s="179" t="s">
        <v>368</v>
      </c>
      <c r="E35" s="180"/>
      <c r="F35" s="64" t="s">
        <v>613</v>
      </c>
      <c r="G35" s="73">
        <v>34</v>
      </c>
      <c r="H35" s="183"/>
      <c r="I35" s="73">
        <f>G35*AO35</f>
        <v>0</v>
      </c>
      <c r="J35" s="73">
        <f>G35*AP35</f>
        <v>0</v>
      </c>
      <c r="K35" s="73">
        <f>G35*H35</f>
        <v>0</v>
      </c>
      <c r="L35" s="73">
        <v>0.22</v>
      </c>
      <c r="M35" s="73">
        <f>G35*L35</f>
        <v>7.48</v>
      </c>
      <c r="N35" s="85" t="s">
        <v>647</v>
      </c>
      <c r="O35" s="18"/>
      <c r="Z35" s="48">
        <f>IF(AQ35="5",BJ35,0)</f>
        <v>0</v>
      </c>
      <c r="AB35" s="48">
        <f>IF(AQ35="1",BH35,0)</f>
        <v>0</v>
      </c>
      <c r="AC35" s="48">
        <f>IF(AQ35="1",BI35,0)</f>
        <v>0</v>
      </c>
      <c r="AD35" s="48">
        <f>IF(AQ35="7",BH35,0)</f>
        <v>0</v>
      </c>
      <c r="AE35" s="48">
        <f>IF(AQ35="7",BI35,0)</f>
        <v>0</v>
      </c>
      <c r="AF35" s="48">
        <f>IF(AQ35="2",BH35,0)</f>
        <v>0</v>
      </c>
      <c r="AG35" s="48">
        <f>IF(AQ35="2",BI35,0)</f>
        <v>0</v>
      </c>
      <c r="AH35" s="48">
        <f>IF(AQ35="0",BJ35,0)</f>
        <v>0</v>
      </c>
      <c r="AI35" s="80"/>
      <c r="AJ35" s="73">
        <f>IF(AN35=0,K35,0)</f>
        <v>0</v>
      </c>
      <c r="AK35" s="73">
        <f>IF(AN35=15,K35,0)</f>
        <v>0</v>
      </c>
      <c r="AL35" s="73">
        <f>IF(AN35=21,K35,0)</f>
        <v>0</v>
      </c>
      <c r="AN35" s="48">
        <v>21</v>
      </c>
      <c r="AO35" s="48">
        <f>H35*0</f>
        <v>0</v>
      </c>
      <c r="AP35" s="48">
        <f>H35*(1-0)</f>
        <v>0</v>
      </c>
      <c r="AQ35" s="88" t="s">
        <v>81</v>
      </c>
      <c r="AV35" s="48">
        <f>AW35+AX35</f>
        <v>0</v>
      </c>
      <c r="AW35" s="48">
        <f>G35*AO35</f>
        <v>0</v>
      </c>
      <c r="AX35" s="48">
        <f>G35*AP35</f>
        <v>0</v>
      </c>
      <c r="AY35" s="90" t="s">
        <v>660</v>
      </c>
      <c r="AZ35" s="90" t="s">
        <v>684</v>
      </c>
      <c r="BA35" s="80" t="s">
        <v>690</v>
      </c>
      <c r="BC35" s="48">
        <f>AW35+AX35</f>
        <v>0</v>
      </c>
      <c r="BD35" s="48">
        <f>H35/(100-BE35)*100</f>
        <v>0</v>
      </c>
      <c r="BE35" s="48">
        <v>0</v>
      </c>
      <c r="BF35" s="48">
        <f>M35</f>
        <v>7.48</v>
      </c>
      <c r="BH35" s="73">
        <f>G35*AO35</f>
        <v>0</v>
      </c>
      <c r="BI35" s="73">
        <f>G35*AP35</f>
        <v>0</v>
      </c>
      <c r="BJ35" s="73">
        <f>G35*H35</f>
        <v>0</v>
      </c>
      <c r="BK35" s="73" t="s">
        <v>695</v>
      </c>
      <c r="BL35" s="48">
        <v>11</v>
      </c>
    </row>
    <row r="36" spans="1:15" ht="12.75">
      <c r="A36" s="18"/>
      <c r="D36" s="66" t="s">
        <v>369</v>
      </c>
      <c r="E36" s="68"/>
      <c r="G36" s="74">
        <v>34</v>
      </c>
      <c r="N36" s="16"/>
      <c r="O36" s="18"/>
    </row>
    <row r="37" spans="1:64" ht="12.75">
      <c r="A37" s="58" t="s">
        <v>111</v>
      </c>
      <c r="B37" s="64"/>
      <c r="C37" s="64" t="s">
        <v>231</v>
      </c>
      <c r="D37" s="179" t="s">
        <v>370</v>
      </c>
      <c r="E37" s="180"/>
      <c r="F37" s="64" t="s">
        <v>612</v>
      </c>
      <c r="G37" s="73">
        <v>19</v>
      </c>
      <c r="H37" s="183"/>
      <c r="I37" s="73">
        <f>G37*AO37</f>
        <v>0</v>
      </c>
      <c r="J37" s="73">
        <f>G37*AP37</f>
        <v>0</v>
      </c>
      <c r="K37" s="73">
        <f>G37*H37</f>
        <v>0</v>
      </c>
      <c r="L37" s="73">
        <v>0.22</v>
      </c>
      <c r="M37" s="73">
        <f>G37*L37</f>
        <v>4.18</v>
      </c>
      <c r="N37" s="85" t="s">
        <v>647</v>
      </c>
      <c r="O37" s="18"/>
      <c r="Z37" s="48">
        <f>IF(AQ37="5",BJ37,0)</f>
        <v>0</v>
      </c>
      <c r="AB37" s="48">
        <f>IF(AQ37="1",BH37,0)</f>
        <v>0</v>
      </c>
      <c r="AC37" s="48">
        <f>IF(AQ37="1",BI37,0)</f>
        <v>0</v>
      </c>
      <c r="AD37" s="48">
        <f>IF(AQ37="7",BH37,0)</f>
        <v>0</v>
      </c>
      <c r="AE37" s="48">
        <f>IF(AQ37="7",BI37,0)</f>
        <v>0</v>
      </c>
      <c r="AF37" s="48">
        <f>IF(AQ37="2",BH37,0)</f>
        <v>0</v>
      </c>
      <c r="AG37" s="48">
        <f>IF(AQ37="2",BI37,0)</f>
        <v>0</v>
      </c>
      <c r="AH37" s="48">
        <f>IF(AQ37="0",BJ37,0)</f>
        <v>0</v>
      </c>
      <c r="AI37" s="80"/>
      <c r="AJ37" s="73">
        <f>IF(AN37=0,K37,0)</f>
        <v>0</v>
      </c>
      <c r="AK37" s="73">
        <f>IF(AN37=15,K37,0)</f>
        <v>0</v>
      </c>
      <c r="AL37" s="73">
        <f>IF(AN37=21,K37,0)</f>
        <v>0</v>
      </c>
      <c r="AN37" s="48">
        <v>21</v>
      </c>
      <c r="AO37" s="48">
        <f>H37*0</f>
        <v>0</v>
      </c>
      <c r="AP37" s="48">
        <f>H37*(1-0)</f>
        <v>0</v>
      </c>
      <c r="AQ37" s="88" t="s">
        <v>81</v>
      </c>
      <c r="AV37" s="48">
        <f>AW37+AX37</f>
        <v>0</v>
      </c>
      <c r="AW37" s="48">
        <f>G37*AO37</f>
        <v>0</v>
      </c>
      <c r="AX37" s="48">
        <f>G37*AP37</f>
        <v>0</v>
      </c>
      <c r="AY37" s="90" t="s">
        <v>660</v>
      </c>
      <c r="AZ37" s="90" t="s">
        <v>684</v>
      </c>
      <c r="BA37" s="80" t="s">
        <v>690</v>
      </c>
      <c r="BC37" s="48">
        <f>AW37+AX37</f>
        <v>0</v>
      </c>
      <c r="BD37" s="48">
        <f>H37/(100-BE37)*100</f>
        <v>0</v>
      </c>
      <c r="BE37" s="48">
        <v>0</v>
      </c>
      <c r="BF37" s="48">
        <f>M37</f>
        <v>4.18</v>
      </c>
      <c r="BH37" s="73">
        <f>G37*AO37</f>
        <v>0</v>
      </c>
      <c r="BI37" s="73">
        <f>G37*AP37</f>
        <v>0</v>
      </c>
      <c r="BJ37" s="73">
        <f>G37*H37</f>
        <v>0</v>
      </c>
      <c r="BK37" s="73" t="s">
        <v>695</v>
      </c>
      <c r="BL37" s="48">
        <v>11</v>
      </c>
    </row>
    <row r="38" spans="1:15" ht="12.75">
      <c r="A38" s="18"/>
      <c r="D38" s="66" t="s">
        <v>371</v>
      </c>
      <c r="E38" s="68" t="s">
        <v>571</v>
      </c>
      <c r="G38" s="74">
        <v>19</v>
      </c>
      <c r="N38" s="16"/>
      <c r="O38" s="18"/>
    </row>
    <row r="39" spans="1:64" ht="12.75">
      <c r="A39" s="58" t="s">
        <v>112</v>
      </c>
      <c r="B39" s="64"/>
      <c r="C39" s="64" t="s">
        <v>232</v>
      </c>
      <c r="D39" s="179" t="s">
        <v>372</v>
      </c>
      <c r="E39" s="180"/>
      <c r="F39" s="64" t="s">
        <v>612</v>
      </c>
      <c r="G39" s="73">
        <v>19</v>
      </c>
      <c r="H39" s="183"/>
      <c r="I39" s="73">
        <f>G39*AO39</f>
        <v>0</v>
      </c>
      <c r="J39" s="73">
        <f>G39*AP39</f>
        <v>0</v>
      </c>
      <c r="K39" s="73">
        <f>G39*H39</f>
        <v>0</v>
      </c>
      <c r="L39" s="73">
        <v>0.27</v>
      </c>
      <c r="M39" s="73">
        <f>G39*L39</f>
        <v>5.130000000000001</v>
      </c>
      <c r="N39" s="85" t="s">
        <v>647</v>
      </c>
      <c r="O39" s="18"/>
      <c r="Z39" s="48">
        <f>IF(AQ39="5",BJ39,0)</f>
        <v>0</v>
      </c>
      <c r="AB39" s="48">
        <f>IF(AQ39="1",BH39,0)</f>
        <v>0</v>
      </c>
      <c r="AC39" s="48">
        <f>IF(AQ39="1",BI39,0)</f>
        <v>0</v>
      </c>
      <c r="AD39" s="48">
        <f>IF(AQ39="7",BH39,0)</f>
        <v>0</v>
      </c>
      <c r="AE39" s="48">
        <f>IF(AQ39="7",BI39,0)</f>
        <v>0</v>
      </c>
      <c r="AF39" s="48">
        <f>IF(AQ39="2",BH39,0)</f>
        <v>0</v>
      </c>
      <c r="AG39" s="48">
        <f>IF(AQ39="2",BI39,0)</f>
        <v>0</v>
      </c>
      <c r="AH39" s="48">
        <f>IF(AQ39="0",BJ39,0)</f>
        <v>0</v>
      </c>
      <c r="AI39" s="80"/>
      <c r="AJ39" s="73">
        <f>IF(AN39=0,K39,0)</f>
        <v>0</v>
      </c>
      <c r="AK39" s="73">
        <f>IF(AN39=15,K39,0)</f>
        <v>0</v>
      </c>
      <c r="AL39" s="73">
        <f>IF(AN39=21,K39,0)</f>
        <v>0</v>
      </c>
      <c r="AN39" s="48">
        <v>21</v>
      </c>
      <c r="AO39" s="48">
        <f>H39*0</f>
        <v>0</v>
      </c>
      <c r="AP39" s="48">
        <f>H39*(1-0)</f>
        <v>0</v>
      </c>
      <c r="AQ39" s="88" t="s">
        <v>81</v>
      </c>
      <c r="AV39" s="48">
        <f>AW39+AX39</f>
        <v>0</v>
      </c>
      <c r="AW39" s="48">
        <f>G39*AO39</f>
        <v>0</v>
      </c>
      <c r="AX39" s="48">
        <f>G39*AP39</f>
        <v>0</v>
      </c>
      <c r="AY39" s="90" t="s">
        <v>660</v>
      </c>
      <c r="AZ39" s="90" t="s">
        <v>684</v>
      </c>
      <c r="BA39" s="80" t="s">
        <v>690</v>
      </c>
      <c r="BC39" s="48">
        <f>AW39+AX39</f>
        <v>0</v>
      </c>
      <c r="BD39" s="48">
        <f>H39/(100-BE39)*100</f>
        <v>0</v>
      </c>
      <c r="BE39" s="48">
        <v>0</v>
      </c>
      <c r="BF39" s="48">
        <f>M39</f>
        <v>5.130000000000001</v>
      </c>
      <c r="BH39" s="73">
        <f>G39*AO39</f>
        <v>0</v>
      </c>
      <c r="BI39" s="73">
        <f>G39*AP39</f>
        <v>0</v>
      </c>
      <c r="BJ39" s="73">
        <f>G39*H39</f>
        <v>0</v>
      </c>
      <c r="BK39" s="73" t="s">
        <v>695</v>
      </c>
      <c r="BL39" s="48">
        <v>11</v>
      </c>
    </row>
    <row r="40" spans="1:15" ht="12.75">
      <c r="A40" s="18"/>
      <c r="D40" s="66" t="s">
        <v>119</v>
      </c>
      <c r="E40" s="68"/>
      <c r="G40" s="74">
        <v>19</v>
      </c>
      <c r="N40" s="16"/>
      <c r="O40" s="18"/>
    </row>
    <row r="41" spans="1:64" ht="12.75">
      <c r="A41" s="58" t="s">
        <v>113</v>
      </c>
      <c r="B41" s="64"/>
      <c r="C41" s="64" t="s">
        <v>233</v>
      </c>
      <c r="D41" s="179" t="s">
        <v>373</v>
      </c>
      <c r="E41" s="180"/>
      <c r="F41" s="64" t="s">
        <v>613</v>
      </c>
      <c r="G41" s="73">
        <v>45</v>
      </c>
      <c r="H41" s="183"/>
      <c r="I41" s="73">
        <f>G41*AO41</f>
        <v>0</v>
      </c>
      <c r="J41" s="73">
        <f>G41*AP41</f>
        <v>0</v>
      </c>
      <c r="K41" s="73">
        <f>G41*H41</f>
        <v>0</v>
      </c>
      <c r="L41" s="73">
        <v>0.408</v>
      </c>
      <c r="M41" s="73">
        <f>G41*L41</f>
        <v>18.36</v>
      </c>
      <c r="N41" s="85" t="s">
        <v>647</v>
      </c>
      <c r="O41" s="18"/>
      <c r="Z41" s="48">
        <f>IF(AQ41="5",BJ41,0)</f>
        <v>0</v>
      </c>
      <c r="AB41" s="48">
        <f>IF(AQ41="1",BH41,0)</f>
        <v>0</v>
      </c>
      <c r="AC41" s="48">
        <f>IF(AQ41="1",BI41,0)</f>
        <v>0</v>
      </c>
      <c r="AD41" s="48">
        <f>IF(AQ41="7",BH41,0)</f>
        <v>0</v>
      </c>
      <c r="AE41" s="48">
        <f>IF(AQ41="7",BI41,0)</f>
        <v>0</v>
      </c>
      <c r="AF41" s="48">
        <f>IF(AQ41="2",BH41,0)</f>
        <v>0</v>
      </c>
      <c r="AG41" s="48">
        <f>IF(AQ41="2",BI41,0)</f>
        <v>0</v>
      </c>
      <c r="AH41" s="48">
        <f>IF(AQ41="0",BJ41,0)</f>
        <v>0</v>
      </c>
      <c r="AI41" s="80"/>
      <c r="AJ41" s="73">
        <f>IF(AN41=0,K41,0)</f>
        <v>0</v>
      </c>
      <c r="AK41" s="73">
        <f>IF(AN41=15,K41,0)</f>
        <v>0</v>
      </c>
      <c r="AL41" s="73">
        <f>IF(AN41=21,K41,0)</f>
        <v>0</v>
      </c>
      <c r="AN41" s="48">
        <v>21</v>
      </c>
      <c r="AO41" s="48">
        <f>H41*0</f>
        <v>0</v>
      </c>
      <c r="AP41" s="48">
        <f>H41*(1-0)</f>
        <v>0</v>
      </c>
      <c r="AQ41" s="88" t="s">
        <v>81</v>
      </c>
      <c r="AV41" s="48">
        <f>AW41+AX41</f>
        <v>0</v>
      </c>
      <c r="AW41" s="48">
        <f>G41*AO41</f>
        <v>0</v>
      </c>
      <c r="AX41" s="48">
        <f>G41*AP41</f>
        <v>0</v>
      </c>
      <c r="AY41" s="90" t="s">
        <v>660</v>
      </c>
      <c r="AZ41" s="90" t="s">
        <v>684</v>
      </c>
      <c r="BA41" s="80" t="s">
        <v>690</v>
      </c>
      <c r="BC41" s="48">
        <f>AW41+AX41</f>
        <v>0</v>
      </c>
      <c r="BD41" s="48">
        <f>H41/(100-BE41)*100</f>
        <v>0</v>
      </c>
      <c r="BE41" s="48">
        <v>0</v>
      </c>
      <c r="BF41" s="48">
        <f>M41</f>
        <v>18.36</v>
      </c>
      <c r="BH41" s="73">
        <f>G41*AO41</f>
        <v>0</v>
      </c>
      <c r="BI41" s="73">
        <f>G41*AP41</f>
        <v>0</v>
      </c>
      <c r="BJ41" s="73">
        <f>G41*H41</f>
        <v>0</v>
      </c>
      <c r="BK41" s="73" t="s">
        <v>695</v>
      </c>
      <c r="BL41" s="48">
        <v>11</v>
      </c>
    </row>
    <row r="42" spans="1:15" ht="12.75">
      <c r="A42" s="18"/>
      <c r="D42" s="66" t="s">
        <v>374</v>
      </c>
      <c r="E42" s="68" t="s">
        <v>572</v>
      </c>
      <c r="G42" s="74">
        <v>45</v>
      </c>
      <c r="N42" s="16"/>
      <c r="O42" s="18"/>
    </row>
    <row r="43" spans="1:47" ht="12.75">
      <c r="A43" s="57"/>
      <c r="B43" s="63"/>
      <c r="C43" s="63" t="s">
        <v>112</v>
      </c>
      <c r="D43" s="177" t="s">
        <v>375</v>
      </c>
      <c r="E43" s="178"/>
      <c r="F43" s="71" t="s">
        <v>78</v>
      </c>
      <c r="G43" s="71" t="s">
        <v>78</v>
      </c>
      <c r="H43" s="71" t="s">
        <v>78</v>
      </c>
      <c r="I43" s="93">
        <f>SUM(I44:I44)</f>
        <v>0</v>
      </c>
      <c r="J43" s="93">
        <f>SUM(J44:J44)</f>
        <v>0</v>
      </c>
      <c r="K43" s="93">
        <f>SUM(K44:K44)</f>
        <v>0</v>
      </c>
      <c r="L43" s="80"/>
      <c r="M43" s="93">
        <f>SUM(M44:M44)</f>
        <v>0</v>
      </c>
      <c r="N43" s="84"/>
      <c r="O43" s="18"/>
      <c r="AI43" s="80"/>
      <c r="AS43" s="93">
        <f>SUM(AJ44:AJ44)</f>
        <v>0</v>
      </c>
      <c r="AT43" s="93">
        <f>SUM(AK44:AK44)</f>
        <v>0</v>
      </c>
      <c r="AU43" s="93">
        <f>SUM(AL44:AL44)</f>
        <v>0</v>
      </c>
    </row>
    <row r="44" spans="1:64" ht="12.75">
      <c r="A44" s="58" t="s">
        <v>114</v>
      </c>
      <c r="B44" s="64"/>
      <c r="C44" s="64" t="s">
        <v>234</v>
      </c>
      <c r="D44" s="179" t="s">
        <v>376</v>
      </c>
      <c r="E44" s="180"/>
      <c r="F44" s="64" t="s">
        <v>614</v>
      </c>
      <c r="G44" s="73">
        <v>2.25</v>
      </c>
      <c r="H44" s="183"/>
      <c r="I44" s="73">
        <f>G44*AO44</f>
        <v>0</v>
      </c>
      <c r="J44" s="73">
        <f>G44*AP44</f>
        <v>0</v>
      </c>
      <c r="K44" s="73">
        <f>G44*H44</f>
        <v>0</v>
      </c>
      <c r="L44" s="73">
        <v>0</v>
      </c>
      <c r="M44" s="73">
        <f>G44*L44</f>
        <v>0</v>
      </c>
      <c r="N44" s="85" t="s">
        <v>647</v>
      </c>
      <c r="O44" s="18"/>
      <c r="Z44" s="48">
        <f>IF(AQ44="5",BJ44,0)</f>
        <v>0</v>
      </c>
      <c r="AB44" s="48">
        <f>IF(AQ44="1",BH44,0)</f>
        <v>0</v>
      </c>
      <c r="AC44" s="48">
        <f>IF(AQ44="1",BI44,0)</f>
        <v>0</v>
      </c>
      <c r="AD44" s="48">
        <f>IF(AQ44="7",BH44,0)</f>
        <v>0</v>
      </c>
      <c r="AE44" s="48">
        <f>IF(AQ44="7",BI44,0)</f>
        <v>0</v>
      </c>
      <c r="AF44" s="48">
        <f>IF(AQ44="2",BH44,0)</f>
        <v>0</v>
      </c>
      <c r="AG44" s="48">
        <f>IF(AQ44="2",BI44,0)</f>
        <v>0</v>
      </c>
      <c r="AH44" s="48">
        <f>IF(AQ44="0",BJ44,0)</f>
        <v>0</v>
      </c>
      <c r="AI44" s="80"/>
      <c r="AJ44" s="73">
        <f>IF(AN44=0,K44,0)</f>
        <v>0</v>
      </c>
      <c r="AK44" s="73">
        <f>IF(AN44=15,K44,0)</f>
        <v>0</v>
      </c>
      <c r="AL44" s="73">
        <f>IF(AN44=21,K44,0)</f>
        <v>0</v>
      </c>
      <c r="AN44" s="48">
        <v>21</v>
      </c>
      <c r="AO44" s="48">
        <f>H44*0</f>
        <v>0</v>
      </c>
      <c r="AP44" s="48">
        <f>H44*(1-0)</f>
        <v>0</v>
      </c>
      <c r="AQ44" s="88" t="s">
        <v>81</v>
      </c>
      <c r="AV44" s="48">
        <f>AW44+AX44</f>
        <v>0</v>
      </c>
      <c r="AW44" s="48">
        <f>G44*AO44</f>
        <v>0</v>
      </c>
      <c r="AX44" s="48">
        <f>G44*AP44</f>
        <v>0</v>
      </c>
      <c r="AY44" s="90" t="s">
        <v>661</v>
      </c>
      <c r="AZ44" s="90" t="s">
        <v>684</v>
      </c>
      <c r="BA44" s="80" t="s">
        <v>690</v>
      </c>
      <c r="BC44" s="48">
        <f>AW44+AX44</f>
        <v>0</v>
      </c>
      <c r="BD44" s="48">
        <f>H44/(100-BE44)*100</f>
        <v>0</v>
      </c>
      <c r="BE44" s="48">
        <v>0</v>
      </c>
      <c r="BF44" s="48">
        <f>M44</f>
        <v>0</v>
      </c>
      <c r="BH44" s="73">
        <f>G44*AO44</f>
        <v>0</v>
      </c>
      <c r="BI44" s="73">
        <f>G44*AP44</f>
        <v>0</v>
      </c>
      <c r="BJ44" s="73">
        <f>G44*H44</f>
        <v>0</v>
      </c>
      <c r="BK44" s="73" t="s">
        <v>695</v>
      </c>
      <c r="BL44" s="48">
        <v>12</v>
      </c>
    </row>
    <row r="45" spans="1:15" ht="12.75">
      <c r="A45" s="18"/>
      <c r="D45" s="66" t="s">
        <v>377</v>
      </c>
      <c r="E45" s="68" t="s">
        <v>573</v>
      </c>
      <c r="G45" s="74" t="s">
        <v>621</v>
      </c>
      <c r="N45" s="16"/>
      <c r="O45" s="18"/>
    </row>
    <row r="46" spans="1:47" ht="12.75">
      <c r="A46" s="57"/>
      <c r="B46" s="63"/>
      <c r="C46" s="63" t="s">
        <v>113</v>
      </c>
      <c r="D46" s="177" t="s">
        <v>378</v>
      </c>
      <c r="E46" s="178"/>
      <c r="F46" s="71" t="s">
        <v>78</v>
      </c>
      <c r="G46" s="71" t="s">
        <v>78</v>
      </c>
      <c r="H46" s="71" t="s">
        <v>78</v>
      </c>
      <c r="I46" s="93">
        <f>SUM(I47:I66)</f>
        <v>0</v>
      </c>
      <c r="J46" s="93">
        <f>SUM(J47:J66)</f>
        <v>0</v>
      </c>
      <c r="K46" s="93">
        <f>SUM(K47:K66)</f>
        <v>0</v>
      </c>
      <c r="L46" s="80"/>
      <c r="M46" s="93">
        <f>SUM(M47:M66)</f>
        <v>0</v>
      </c>
      <c r="N46" s="84"/>
      <c r="O46" s="18"/>
      <c r="AI46" s="80"/>
      <c r="AS46" s="93">
        <f>SUM(AJ47:AJ66)</f>
        <v>0</v>
      </c>
      <c r="AT46" s="93">
        <f>SUM(AK47:AK66)</f>
        <v>0</v>
      </c>
      <c r="AU46" s="93">
        <f>SUM(AL47:AL66)</f>
        <v>0</v>
      </c>
    </row>
    <row r="47" spans="1:64" ht="12.75">
      <c r="A47" s="58" t="s">
        <v>115</v>
      </c>
      <c r="B47" s="64"/>
      <c r="C47" s="64" t="s">
        <v>235</v>
      </c>
      <c r="D47" s="179" t="s">
        <v>379</v>
      </c>
      <c r="E47" s="180"/>
      <c r="F47" s="64" t="s">
        <v>614</v>
      </c>
      <c r="G47" s="73">
        <v>352</v>
      </c>
      <c r="H47" s="183"/>
      <c r="I47" s="73">
        <f>G47*AO47</f>
        <v>0</v>
      </c>
      <c r="J47" s="73">
        <f>G47*AP47</f>
        <v>0</v>
      </c>
      <c r="K47" s="73">
        <f>G47*H47</f>
        <v>0</v>
      </c>
      <c r="L47" s="73">
        <v>0</v>
      </c>
      <c r="M47" s="73">
        <f>G47*L47</f>
        <v>0</v>
      </c>
      <c r="N47" s="85" t="s">
        <v>647</v>
      </c>
      <c r="O47" s="18"/>
      <c r="Z47" s="48">
        <f>IF(AQ47="5",BJ47,0)</f>
        <v>0</v>
      </c>
      <c r="AB47" s="48">
        <f>IF(AQ47="1",BH47,0)</f>
        <v>0</v>
      </c>
      <c r="AC47" s="48">
        <f>IF(AQ47="1",BI47,0)</f>
        <v>0</v>
      </c>
      <c r="AD47" s="48">
        <f>IF(AQ47="7",BH47,0)</f>
        <v>0</v>
      </c>
      <c r="AE47" s="48">
        <f>IF(AQ47="7",BI47,0)</f>
        <v>0</v>
      </c>
      <c r="AF47" s="48">
        <f>IF(AQ47="2",BH47,0)</f>
        <v>0</v>
      </c>
      <c r="AG47" s="48">
        <f>IF(AQ47="2",BI47,0)</f>
        <v>0</v>
      </c>
      <c r="AH47" s="48">
        <f>IF(AQ47="0",BJ47,0)</f>
        <v>0</v>
      </c>
      <c r="AI47" s="80"/>
      <c r="AJ47" s="73">
        <f>IF(AN47=0,K47,0)</f>
        <v>0</v>
      </c>
      <c r="AK47" s="73">
        <f>IF(AN47=15,K47,0)</f>
        <v>0</v>
      </c>
      <c r="AL47" s="73">
        <f>IF(AN47=21,K47,0)</f>
        <v>0</v>
      </c>
      <c r="AN47" s="48">
        <v>21</v>
      </c>
      <c r="AO47" s="48">
        <f>H47*0</f>
        <v>0</v>
      </c>
      <c r="AP47" s="48">
        <f>H47*(1-0)</f>
        <v>0</v>
      </c>
      <c r="AQ47" s="88" t="s">
        <v>81</v>
      </c>
      <c r="AV47" s="48">
        <f>AW47+AX47</f>
        <v>0</v>
      </c>
      <c r="AW47" s="48">
        <f>G47*AO47</f>
        <v>0</v>
      </c>
      <c r="AX47" s="48">
        <f>G47*AP47</f>
        <v>0</v>
      </c>
      <c r="AY47" s="90" t="s">
        <v>662</v>
      </c>
      <c r="AZ47" s="90" t="s">
        <v>684</v>
      </c>
      <c r="BA47" s="80" t="s">
        <v>690</v>
      </c>
      <c r="BC47" s="48">
        <f>AW47+AX47</f>
        <v>0</v>
      </c>
      <c r="BD47" s="48">
        <f>H47/(100-BE47)*100</f>
        <v>0</v>
      </c>
      <c r="BE47" s="48">
        <v>0</v>
      </c>
      <c r="BF47" s="48">
        <f>M47</f>
        <v>0</v>
      </c>
      <c r="BH47" s="73">
        <f>G47*AO47</f>
        <v>0</v>
      </c>
      <c r="BI47" s="73">
        <f>G47*AP47</f>
        <v>0</v>
      </c>
      <c r="BJ47" s="73">
        <f>G47*H47</f>
        <v>0</v>
      </c>
      <c r="BK47" s="73" t="s">
        <v>695</v>
      </c>
      <c r="BL47" s="48">
        <v>13</v>
      </c>
    </row>
    <row r="48" spans="1:15" ht="12.75">
      <c r="A48" s="18"/>
      <c r="D48" s="66" t="s">
        <v>380</v>
      </c>
      <c r="E48" s="68" t="s">
        <v>574</v>
      </c>
      <c r="G48" s="74">
        <v>80</v>
      </c>
      <c r="N48" s="16"/>
      <c r="O48" s="18"/>
    </row>
    <row r="49" spans="1:15" ht="12.75">
      <c r="A49" s="18"/>
      <c r="D49" s="66" t="s">
        <v>380</v>
      </c>
      <c r="E49" s="68" t="s">
        <v>575</v>
      </c>
      <c r="G49" s="74">
        <v>80</v>
      </c>
      <c r="N49" s="16"/>
      <c r="O49" s="18"/>
    </row>
    <row r="50" spans="1:15" ht="12.75">
      <c r="A50" s="18"/>
      <c r="D50" s="66" t="s">
        <v>381</v>
      </c>
      <c r="E50" s="68" t="s">
        <v>576</v>
      </c>
      <c r="G50" s="74">
        <v>64</v>
      </c>
      <c r="N50" s="16"/>
      <c r="O50" s="18"/>
    </row>
    <row r="51" spans="1:15" ht="12.75">
      <c r="A51" s="18"/>
      <c r="D51" s="66" t="s">
        <v>382</v>
      </c>
      <c r="E51" s="68" t="s">
        <v>577</v>
      </c>
      <c r="G51" s="74">
        <v>72</v>
      </c>
      <c r="N51" s="16"/>
      <c r="O51" s="18"/>
    </row>
    <row r="52" spans="1:15" ht="12.75">
      <c r="A52" s="18"/>
      <c r="D52" s="66" t="s">
        <v>383</v>
      </c>
      <c r="E52" s="68" t="s">
        <v>578</v>
      </c>
      <c r="G52" s="74">
        <v>56</v>
      </c>
      <c r="N52" s="16"/>
      <c r="O52" s="18"/>
    </row>
    <row r="53" spans="1:64" ht="12.75">
      <c r="A53" s="58" t="s">
        <v>116</v>
      </c>
      <c r="B53" s="64"/>
      <c r="C53" s="64" t="s">
        <v>236</v>
      </c>
      <c r="D53" s="179" t="s">
        <v>384</v>
      </c>
      <c r="E53" s="180"/>
      <c r="F53" s="64" t="s">
        <v>614</v>
      </c>
      <c r="G53" s="73">
        <v>352</v>
      </c>
      <c r="H53" s="183"/>
      <c r="I53" s="73">
        <f>G53*AO53</f>
        <v>0</v>
      </c>
      <c r="J53" s="73">
        <f>G53*AP53</f>
        <v>0</v>
      </c>
      <c r="K53" s="73">
        <f>G53*H53</f>
        <v>0</v>
      </c>
      <c r="L53" s="73">
        <v>0</v>
      </c>
      <c r="M53" s="73">
        <f>G53*L53</f>
        <v>0</v>
      </c>
      <c r="N53" s="85" t="s">
        <v>647</v>
      </c>
      <c r="O53" s="18"/>
      <c r="Z53" s="48">
        <f>IF(AQ53="5",BJ53,0)</f>
        <v>0</v>
      </c>
      <c r="AB53" s="48">
        <f>IF(AQ53="1",BH53,0)</f>
        <v>0</v>
      </c>
      <c r="AC53" s="48">
        <f>IF(AQ53="1",BI53,0)</f>
        <v>0</v>
      </c>
      <c r="AD53" s="48">
        <f>IF(AQ53="7",BH53,0)</f>
        <v>0</v>
      </c>
      <c r="AE53" s="48">
        <f>IF(AQ53="7",BI53,0)</f>
        <v>0</v>
      </c>
      <c r="AF53" s="48">
        <f>IF(AQ53="2",BH53,0)</f>
        <v>0</v>
      </c>
      <c r="AG53" s="48">
        <f>IF(AQ53="2",BI53,0)</f>
        <v>0</v>
      </c>
      <c r="AH53" s="48">
        <f>IF(AQ53="0",BJ53,0)</f>
        <v>0</v>
      </c>
      <c r="AI53" s="80"/>
      <c r="AJ53" s="73">
        <f>IF(AN53=0,K53,0)</f>
        <v>0</v>
      </c>
      <c r="AK53" s="73">
        <f>IF(AN53=15,K53,0)</f>
        <v>0</v>
      </c>
      <c r="AL53" s="73">
        <f>IF(AN53=21,K53,0)</f>
        <v>0</v>
      </c>
      <c r="AN53" s="48">
        <v>21</v>
      </c>
      <c r="AO53" s="48">
        <f>H53*0</f>
        <v>0</v>
      </c>
      <c r="AP53" s="48">
        <f>H53*(1-0)</f>
        <v>0</v>
      </c>
      <c r="AQ53" s="88" t="s">
        <v>81</v>
      </c>
      <c r="AV53" s="48">
        <f>AW53+AX53</f>
        <v>0</v>
      </c>
      <c r="AW53" s="48">
        <f>G53*AO53</f>
        <v>0</v>
      </c>
      <c r="AX53" s="48">
        <f>G53*AP53</f>
        <v>0</v>
      </c>
      <c r="AY53" s="90" t="s">
        <v>662</v>
      </c>
      <c r="AZ53" s="90" t="s">
        <v>684</v>
      </c>
      <c r="BA53" s="80" t="s">
        <v>690</v>
      </c>
      <c r="BC53" s="48">
        <f>AW53+AX53</f>
        <v>0</v>
      </c>
      <c r="BD53" s="48">
        <f>H53/(100-BE53)*100</f>
        <v>0</v>
      </c>
      <c r="BE53" s="48">
        <v>0</v>
      </c>
      <c r="BF53" s="48">
        <f>M53</f>
        <v>0</v>
      </c>
      <c r="BH53" s="73">
        <f>G53*AO53</f>
        <v>0</v>
      </c>
      <c r="BI53" s="73">
        <f>G53*AP53</f>
        <v>0</v>
      </c>
      <c r="BJ53" s="73">
        <f>G53*H53</f>
        <v>0</v>
      </c>
      <c r="BK53" s="73" t="s">
        <v>695</v>
      </c>
      <c r="BL53" s="48">
        <v>13</v>
      </c>
    </row>
    <row r="54" spans="1:15" ht="12.75">
      <c r="A54" s="18"/>
      <c r="D54" s="66" t="s">
        <v>385</v>
      </c>
      <c r="E54" s="68"/>
      <c r="G54" s="74">
        <v>352</v>
      </c>
      <c r="N54" s="16"/>
      <c r="O54" s="18"/>
    </row>
    <row r="55" spans="1:64" ht="12.75">
      <c r="A55" s="58" t="s">
        <v>117</v>
      </c>
      <c r="B55" s="64"/>
      <c r="C55" s="64" t="s">
        <v>237</v>
      </c>
      <c r="D55" s="179" t="s">
        <v>386</v>
      </c>
      <c r="E55" s="180"/>
      <c r="F55" s="64" t="s">
        <v>614</v>
      </c>
      <c r="G55" s="73">
        <v>50</v>
      </c>
      <c r="H55" s="183"/>
      <c r="I55" s="73">
        <f>G55*AO55</f>
        <v>0</v>
      </c>
      <c r="J55" s="73">
        <f>G55*AP55</f>
        <v>0</v>
      </c>
      <c r="K55" s="73">
        <f>G55*H55</f>
        <v>0</v>
      </c>
      <c r="L55" s="73">
        <v>0</v>
      </c>
      <c r="M55" s="73">
        <f>G55*L55</f>
        <v>0</v>
      </c>
      <c r="N55" s="85" t="s">
        <v>648</v>
      </c>
      <c r="O55" s="18"/>
      <c r="Z55" s="48">
        <f>IF(AQ55="5",BJ55,0)</f>
        <v>0</v>
      </c>
      <c r="AB55" s="48">
        <f>IF(AQ55="1",BH55,0)</f>
        <v>0</v>
      </c>
      <c r="AC55" s="48">
        <f>IF(AQ55="1",BI55,0)</f>
        <v>0</v>
      </c>
      <c r="AD55" s="48">
        <f>IF(AQ55="7",BH55,0)</f>
        <v>0</v>
      </c>
      <c r="AE55" s="48">
        <f>IF(AQ55="7",BI55,0)</f>
        <v>0</v>
      </c>
      <c r="AF55" s="48">
        <f>IF(AQ55="2",BH55,0)</f>
        <v>0</v>
      </c>
      <c r="AG55" s="48">
        <f>IF(AQ55="2",BI55,0)</f>
        <v>0</v>
      </c>
      <c r="AH55" s="48">
        <f>IF(AQ55="0",BJ55,0)</f>
        <v>0</v>
      </c>
      <c r="AI55" s="80"/>
      <c r="AJ55" s="73">
        <f>IF(AN55=0,K55,0)</f>
        <v>0</v>
      </c>
      <c r="AK55" s="73">
        <f>IF(AN55=15,K55,0)</f>
        <v>0</v>
      </c>
      <c r="AL55" s="73">
        <f>IF(AN55=21,K55,0)</f>
        <v>0</v>
      </c>
      <c r="AN55" s="48">
        <v>21</v>
      </c>
      <c r="AO55" s="48">
        <f>H55*0</f>
        <v>0</v>
      </c>
      <c r="AP55" s="48">
        <f>H55*(1-0)</f>
        <v>0</v>
      </c>
      <c r="AQ55" s="88" t="s">
        <v>81</v>
      </c>
      <c r="AV55" s="48">
        <f>AW55+AX55</f>
        <v>0</v>
      </c>
      <c r="AW55" s="48">
        <f>G55*AO55</f>
        <v>0</v>
      </c>
      <c r="AX55" s="48">
        <f>G55*AP55</f>
        <v>0</v>
      </c>
      <c r="AY55" s="90" t="s">
        <v>662</v>
      </c>
      <c r="AZ55" s="90" t="s">
        <v>684</v>
      </c>
      <c r="BA55" s="80" t="s">
        <v>690</v>
      </c>
      <c r="BC55" s="48">
        <f>AW55+AX55</f>
        <v>0</v>
      </c>
      <c r="BD55" s="48">
        <f>H55/(100-BE55)*100</f>
        <v>0</v>
      </c>
      <c r="BE55" s="48">
        <v>0</v>
      </c>
      <c r="BF55" s="48">
        <f>M55</f>
        <v>0</v>
      </c>
      <c r="BH55" s="73">
        <f>G55*AO55</f>
        <v>0</v>
      </c>
      <c r="BI55" s="73">
        <f>G55*AP55</f>
        <v>0</v>
      </c>
      <c r="BJ55" s="73">
        <f>G55*H55</f>
        <v>0</v>
      </c>
      <c r="BK55" s="73" t="s">
        <v>695</v>
      </c>
      <c r="BL55" s="48">
        <v>13</v>
      </c>
    </row>
    <row r="56" spans="1:15" ht="12.75">
      <c r="A56" s="18"/>
      <c r="D56" s="66" t="s">
        <v>387</v>
      </c>
      <c r="E56" s="68" t="s">
        <v>579</v>
      </c>
      <c r="G56" s="74">
        <v>32</v>
      </c>
      <c r="N56" s="16"/>
      <c r="O56" s="18"/>
    </row>
    <row r="57" spans="1:15" ht="12.75">
      <c r="A57" s="18"/>
      <c r="D57" s="66" t="s">
        <v>388</v>
      </c>
      <c r="E57" s="68" t="s">
        <v>580</v>
      </c>
      <c r="G57" s="74">
        <v>18</v>
      </c>
      <c r="N57" s="16"/>
      <c r="O57" s="18"/>
    </row>
    <row r="58" spans="1:64" ht="12.75">
      <c r="A58" s="58" t="s">
        <v>118</v>
      </c>
      <c r="B58" s="64"/>
      <c r="C58" s="64" t="s">
        <v>238</v>
      </c>
      <c r="D58" s="179" t="s">
        <v>389</v>
      </c>
      <c r="E58" s="180"/>
      <c r="F58" s="64" t="s">
        <v>614</v>
      </c>
      <c r="G58" s="73">
        <v>123.88</v>
      </c>
      <c r="H58" s="183"/>
      <c r="I58" s="73">
        <f>G58*AO58</f>
        <v>0</v>
      </c>
      <c r="J58" s="73">
        <f>G58*AP58</f>
        <v>0</v>
      </c>
      <c r="K58" s="73">
        <f>G58*H58</f>
        <v>0</v>
      </c>
      <c r="L58" s="73">
        <v>0</v>
      </c>
      <c r="M58" s="73">
        <f>G58*L58</f>
        <v>0</v>
      </c>
      <c r="N58" s="85" t="s">
        <v>648</v>
      </c>
      <c r="O58" s="18"/>
      <c r="Z58" s="48">
        <f>IF(AQ58="5",BJ58,0)</f>
        <v>0</v>
      </c>
      <c r="AB58" s="48">
        <f>IF(AQ58="1",BH58,0)</f>
        <v>0</v>
      </c>
      <c r="AC58" s="48">
        <f>IF(AQ58="1",BI58,0)</f>
        <v>0</v>
      </c>
      <c r="AD58" s="48">
        <f>IF(AQ58="7",BH58,0)</f>
        <v>0</v>
      </c>
      <c r="AE58" s="48">
        <f>IF(AQ58="7",BI58,0)</f>
        <v>0</v>
      </c>
      <c r="AF58" s="48">
        <f>IF(AQ58="2",BH58,0)</f>
        <v>0</v>
      </c>
      <c r="AG58" s="48">
        <f>IF(AQ58="2",BI58,0)</f>
        <v>0</v>
      </c>
      <c r="AH58" s="48">
        <f>IF(AQ58="0",BJ58,0)</f>
        <v>0</v>
      </c>
      <c r="AI58" s="80"/>
      <c r="AJ58" s="73">
        <f>IF(AN58=0,K58,0)</f>
        <v>0</v>
      </c>
      <c r="AK58" s="73">
        <f>IF(AN58=15,K58,0)</f>
        <v>0</v>
      </c>
      <c r="AL58" s="73">
        <f>IF(AN58=21,K58,0)</f>
        <v>0</v>
      </c>
      <c r="AN58" s="48">
        <v>21</v>
      </c>
      <c r="AO58" s="48">
        <f>H58*0</f>
        <v>0</v>
      </c>
      <c r="AP58" s="48">
        <f>H58*(1-0)</f>
        <v>0</v>
      </c>
      <c r="AQ58" s="88" t="s">
        <v>81</v>
      </c>
      <c r="AV58" s="48">
        <f>AW58+AX58</f>
        <v>0</v>
      </c>
      <c r="AW58" s="48">
        <f>G58*AO58</f>
        <v>0</v>
      </c>
      <c r="AX58" s="48">
        <f>G58*AP58</f>
        <v>0</v>
      </c>
      <c r="AY58" s="90" t="s">
        <v>662</v>
      </c>
      <c r="AZ58" s="90" t="s">
        <v>684</v>
      </c>
      <c r="BA58" s="80" t="s">
        <v>690</v>
      </c>
      <c r="BC58" s="48">
        <f>AW58+AX58</f>
        <v>0</v>
      </c>
      <c r="BD58" s="48">
        <f>H58/(100-BE58)*100</f>
        <v>0</v>
      </c>
      <c r="BE58" s="48">
        <v>0</v>
      </c>
      <c r="BF58" s="48">
        <f>M58</f>
        <v>0</v>
      </c>
      <c r="BH58" s="73">
        <f>G58*AO58</f>
        <v>0</v>
      </c>
      <c r="BI58" s="73">
        <f>G58*AP58</f>
        <v>0</v>
      </c>
      <c r="BJ58" s="73">
        <f>G58*H58</f>
        <v>0</v>
      </c>
      <c r="BK58" s="73" t="s">
        <v>695</v>
      </c>
      <c r="BL58" s="48">
        <v>13</v>
      </c>
    </row>
    <row r="59" spans="1:15" ht="12.75">
      <c r="A59" s="18"/>
      <c r="D59" s="66" t="s">
        <v>390</v>
      </c>
      <c r="E59" s="68" t="s">
        <v>579</v>
      </c>
      <c r="G59" s="74">
        <v>24</v>
      </c>
      <c r="N59" s="16"/>
      <c r="O59" s="18"/>
    </row>
    <row r="60" spans="1:15" ht="12.75">
      <c r="A60" s="18"/>
      <c r="D60" s="66" t="s">
        <v>391</v>
      </c>
      <c r="E60" s="68" t="s">
        <v>580</v>
      </c>
      <c r="G60" s="74" t="s">
        <v>622</v>
      </c>
      <c r="N60" s="16"/>
      <c r="O60" s="18"/>
    </row>
    <row r="61" spans="1:15" ht="12.75">
      <c r="A61" s="18"/>
      <c r="D61" s="66" t="s">
        <v>392</v>
      </c>
      <c r="E61" s="68" t="s">
        <v>581</v>
      </c>
      <c r="G61" s="74" t="s">
        <v>623</v>
      </c>
      <c r="N61" s="16"/>
      <c r="O61" s="18"/>
    </row>
    <row r="62" spans="1:64" ht="12.75">
      <c r="A62" s="58" t="s">
        <v>119</v>
      </c>
      <c r="B62" s="64"/>
      <c r="C62" s="64" t="s">
        <v>239</v>
      </c>
      <c r="D62" s="179" t="s">
        <v>393</v>
      </c>
      <c r="E62" s="180"/>
      <c r="F62" s="64" t="s">
        <v>614</v>
      </c>
      <c r="G62" s="73">
        <v>84</v>
      </c>
      <c r="H62" s="183"/>
      <c r="I62" s="73">
        <f>G62*AO62</f>
        <v>0</v>
      </c>
      <c r="J62" s="73">
        <f>G62*AP62</f>
        <v>0</v>
      </c>
      <c r="K62" s="73">
        <f>G62*H62</f>
        <v>0</v>
      </c>
      <c r="L62" s="73">
        <v>0</v>
      </c>
      <c r="M62" s="73">
        <f>G62*L62</f>
        <v>0</v>
      </c>
      <c r="N62" s="85" t="s">
        <v>648</v>
      </c>
      <c r="O62" s="18"/>
      <c r="Z62" s="48">
        <f>IF(AQ62="5",BJ62,0)</f>
        <v>0</v>
      </c>
      <c r="AB62" s="48">
        <f>IF(AQ62="1",BH62,0)</f>
        <v>0</v>
      </c>
      <c r="AC62" s="48">
        <f>IF(AQ62="1",BI62,0)</f>
        <v>0</v>
      </c>
      <c r="AD62" s="48">
        <f>IF(AQ62="7",BH62,0)</f>
        <v>0</v>
      </c>
      <c r="AE62" s="48">
        <f>IF(AQ62="7",BI62,0)</f>
        <v>0</v>
      </c>
      <c r="AF62" s="48">
        <f>IF(AQ62="2",BH62,0)</f>
        <v>0</v>
      </c>
      <c r="AG62" s="48">
        <f>IF(AQ62="2",BI62,0)</f>
        <v>0</v>
      </c>
      <c r="AH62" s="48">
        <f>IF(AQ62="0",BJ62,0)</f>
        <v>0</v>
      </c>
      <c r="AI62" s="80"/>
      <c r="AJ62" s="73">
        <f>IF(AN62=0,K62,0)</f>
        <v>0</v>
      </c>
      <c r="AK62" s="73">
        <f>IF(AN62=15,K62,0)</f>
        <v>0</v>
      </c>
      <c r="AL62" s="73">
        <f>IF(AN62=21,K62,0)</f>
        <v>0</v>
      </c>
      <c r="AN62" s="48">
        <v>21</v>
      </c>
      <c r="AO62" s="48">
        <f>H62*0</f>
        <v>0</v>
      </c>
      <c r="AP62" s="48">
        <f>H62*(1-0)</f>
        <v>0</v>
      </c>
      <c r="AQ62" s="88" t="s">
        <v>81</v>
      </c>
      <c r="AV62" s="48">
        <f>AW62+AX62</f>
        <v>0</v>
      </c>
      <c r="AW62" s="48">
        <f>G62*AO62</f>
        <v>0</v>
      </c>
      <c r="AX62" s="48">
        <f>G62*AP62</f>
        <v>0</v>
      </c>
      <c r="AY62" s="90" t="s">
        <v>662</v>
      </c>
      <c r="AZ62" s="90" t="s">
        <v>684</v>
      </c>
      <c r="BA62" s="80" t="s">
        <v>690</v>
      </c>
      <c r="BC62" s="48">
        <f>AW62+AX62</f>
        <v>0</v>
      </c>
      <c r="BD62" s="48">
        <f>H62/(100-BE62)*100</f>
        <v>0</v>
      </c>
      <c r="BE62" s="48">
        <v>0</v>
      </c>
      <c r="BF62" s="48">
        <f>M62</f>
        <v>0</v>
      </c>
      <c r="BH62" s="73">
        <f>G62*AO62</f>
        <v>0</v>
      </c>
      <c r="BI62" s="73">
        <f>G62*AP62</f>
        <v>0</v>
      </c>
      <c r="BJ62" s="73">
        <f>G62*H62</f>
        <v>0</v>
      </c>
      <c r="BK62" s="73" t="s">
        <v>695</v>
      </c>
      <c r="BL62" s="48">
        <v>13</v>
      </c>
    </row>
    <row r="63" spans="1:15" ht="12.75">
      <c r="A63" s="18"/>
      <c r="D63" s="66" t="s">
        <v>394</v>
      </c>
      <c r="E63" s="68" t="s">
        <v>582</v>
      </c>
      <c r="G63" s="74">
        <v>84</v>
      </c>
      <c r="N63" s="16"/>
      <c r="O63" s="18"/>
    </row>
    <row r="64" spans="1:64" ht="12.75">
      <c r="A64" s="58" t="s">
        <v>120</v>
      </c>
      <c r="B64" s="64"/>
      <c r="C64" s="64" t="s">
        <v>240</v>
      </c>
      <c r="D64" s="179" t="s">
        <v>395</v>
      </c>
      <c r="E64" s="180"/>
      <c r="F64" s="64" t="s">
        <v>614</v>
      </c>
      <c r="G64" s="73">
        <v>30</v>
      </c>
      <c r="H64" s="183"/>
      <c r="I64" s="73">
        <f>G64*AO64</f>
        <v>0</v>
      </c>
      <c r="J64" s="73">
        <f>G64*AP64</f>
        <v>0</v>
      </c>
      <c r="K64" s="73">
        <f>G64*H64</f>
        <v>0</v>
      </c>
      <c r="L64" s="73">
        <v>0</v>
      </c>
      <c r="M64" s="73">
        <f>G64*L64</f>
        <v>0</v>
      </c>
      <c r="N64" s="85" t="s">
        <v>647</v>
      </c>
      <c r="O64" s="18"/>
      <c r="Z64" s="48">
        <f>IF(AQ64="5",BJ64,0)</f>
        <v>0</v>
      </c>
      <c r="AB64" s="48">
        <f>IF(AQ64="1",BH64,0)</f>
        <v>0</v>
      </c>
      <c r="AC64" s="48">
        <f>IF(AQ64="1",BI64,0)</f>
        <v>0</v>
      </c>
      <c r="AD64" s="48">
        <f>IF(AQ64="7",BH64,0)</f>
        <v>0</v>
      </c>
      <c r="AE64" s="48">
        <f>IF(AQ64="7",BI64,0)</f>
        <v>0</v>
      </c>
      <c r="AF64" s="48">
        <f>IF(AQ64="2",BH64,0)</f>
        <v>0</v>
      </c>
      <c r="AG64" s="48">
        <f>IF(AQ64="2",BI64,0)</f>
        <v>0</v>
      </c>
      <c r="AH64" s="48">
        <f>IF(AQ64="0",BJ64,0)</f>
        <v>0</v>
      </c>
      <c r="AI64" s="80"/>
      <c r="AJ64" s="73">
        <f>IF(AN64=0,K64,0)</f>
        <v>0</v>
      </c>
      <c r="AK64" s="73">
        <f>IF(AN64=15,K64,0)</f>
        <v>0</v>
      </c>
      <c r="AL64" s="73">
        <f>IF(AN64=21,K64,0)</f>
        <v>0</v>
      </c>
      <c r="AN64" s="48">
        <v>21</v>
      </c>
      <c r="AO64" s="48">
        <f>H64*0</f>
        <v>0</v>
      </c>
      <c r="AP64" s="48">
        <f>H64*(1-0)</f>
        <v>0</v>
      </c>
      <c r="AQ64" s="88" t="s">
        <v>81</v>
      </c>
      <c r="AV64" s="48">
        <f>AW64+AX64</f>
        <v>0</v>
      </c>
      <c r="AW64" s="48">
        <f>G64*AO64</f>
        <v>0</v>
      </c>
      <c r="AX64" s="48">
        <f>G64*AP64</f>
        <v>0</v>
      </c>
      <c r="AY64" s="90" t="s">
        <v>662</v>
      </c>
      <c r="AZ64" s="90" t="s">
        <v>684</v>
      </c>
      <c r="BA64" s="80" t="s">
        <v>690</v>
      </c>
      <c r="BC64" s="48">
        <f>AW64+AX64</f>
        <v>0</v>
      </c>
      <c r="BD64" s="48">
        <f>H64/(100-BE64)*100</f>
        <v>0</v>
      </c>
      <c r="BE64" s="48">
        <v>0</v>
      </c>
      <c r="BF64" s="48">
        <f>M64</f>
        <v>0</v>
      </c>
      <c r="BH64" s="73">
        <f>G64*AO64</f>
        <v>0</v>
      </c>
      <c r="BI64" s="73">
        <f>G64*AP64</f>
        <v>0</v>
      </c>
      <c r="BJ64" s="73">
        <f>G64*H64</f>
        <v>0</v>
      </c>
      <c r="BK64" s="73" t="s">
        <v>695</v>
      </c>
      <c r="BL64" s="48">
        <v>13</v>
      </c>
    </row>
    <row r="65" spans="1:15" ht="12.75">
      <c r="A65" s="18"/>
      <c r="D65" s="66" t="s">
        <v>396</v>
      </c>
      <c r="E65" s="68" t="s">
        <v>583</v>
      </c>
      <c r="G65" s="74">
        <v>30</v>
      </c>
      <c r="N65" s="16"/>
      <c r="O65" s="18"/>
    </row>
    <row r="66" spans="1:64" ht="12.75">
      <c r="A66" s="58" t="s">
        <v>121</v>
      </c>
      <c r="B66" s="64"/>
      <c r="C66" s="64" t="s">
        <v>241</v>
      </c>
      <c r="D66" s="179" t="s">
        <v>397</v>
      </c>
      <c r="E66" s="180"/>
      <c r="F66" s="64" t="s">
        <v>614</v>
      </c>
      <c r="G66" s="73">
        <v>76</v>
      </c>
      <c r="H66" s="183"/>
      <c r="I66" s="73">
        <f>G66*AO66</f>
        <v>0</v>
      </c>
      <c r="J66" s="73">
        <f>G66*AP66</f>
        <v>0</v>
      </c>
      <c r="K66" s="73">
        <f>G66*H66</f>
        <v>0</v>
      </c>
      <c r="L66" s="73">
        <v>0</v>
      </c>
      <c r="M66" s="73">
        <f>G66*L66</f>
        <v>0</v>
      </c>
      <c r="N66" s="85" t="s">
        <v>648</v>
      </c>
      <c r="O66" s="18"/>
      <c r="Z66" s="48">
        <f>IF(AQ66="5",BJ66,0)</f>
        <v>0</v>
      </c>
      <c r="AB66" s="48">
        <f>IF(AQ66="1",BH66,0)</f>
        <v>0</v>
      </c>
      <c r="AC66" s="48">
        <f>IF(AQ66="1",BI66,0)</f>
        <v>0</v>
      </c>
      <c r="AD66" s="48">
        <f>IF(AQ66="7",BH66,0)</f>
        <v>0</v>
      </c>
      <c r="AE66" s="48">
        <f>IF(AQ66="7",BI66,0)</f>
        <v>0</v>
      </c>
      <c r="AF66" s="48">
        <f>IF(AQ66="2",BH66,0)</f>
        <v>0</v>
      </c>
      <c r="AG66" s="48">
        <f>IF(AQ66="2",BI66,0)</f>
        <v>0</v>
      </c>
      <c r="AH66" s="48">
        <f>IF(AQ66="0",BJ66,0)</f>
        <v>0</v>
      </c>
      <c r="AI66" s="80"/>
      <c r="AJ66" s="73">
        <f>IF(AN66=0,K66,0)</f>
        <v>0</v>
      </c>
      <c r="AK66" s="73">
        <f>IF(AN66=15,K66,0)</f>
        <v>0</v>
      </c>
      <c r="AL66" s="73">
        <f>IF(AN66=21,K66,0)</f>
        <v>0</v>
      </c>
      <c r="AN66" s="48">
        <v>21</v>
      </c>
      <c r="AO66" s="48">
        <f>H66*0</f>
        <v>0</v>
      </c>
      <c r="AP66" s="48">
        <f>H66*(1-0)</f>
        <v>0</v>
      </c>
      <c r="AQ66" s="88" t="s">
        <v>81</v>
      </c>
      <c r="AV66" s="48">
        <f>AW66+AX66</f>
        <v>0</v>
      </c>
      <c r="AW66" s="48">
        <f>G66*AO66</f>
        <v>0</v>
      </c>
      <c r="AX66" s="48">
        <f>G66*AP66</f>
        <v>0</v>
      </c>
      <c r="AY66" s="90" t="s">
        <v>662</v>
      </c>
      <c r="AZ66" s="90" t="s">
        <v>684</v>
      </c>
      <c r="BA66" s="80" t="s">
        <v>690</v>
      </c>
      <c r="BC66" s="48">
        <f>AW66+AX66</f>
        <v>0</v>
      </c>
      <c r="BD66" s="48">
        <f>H66/(100-BE66)*100</f>
        <v>0</v>
      </c>
      <c r="BE66" s="48">
        <v>0</v>
      </c>
      <c r="BF66" s="48">
        <f>M66</f>
        <v>0</v>
      </c>
      <c r="BH66" s="73">
        <f>G66*AO66</f>
        <v>0</v>
      </c>
      <c r="BI66" s="73">
        <f>G66*AP66</f>
        <v>0</v>
      </c>
      <c r="BJ66" s="73">
        <f>G66*H66</f>
        <v>0</v>
      </c>
      <c r="BK66" s="73" t="s">
        <v>695</v>
      </c>
      <c r="BL66" s="48">
        <v>13</v>
      </c>
    </row>
    <row r="67" spans="1:15" ht="12.75">
      <c r="A67" s="18"/>
      <c r="D67" s="66" t="s">
        <v>398</v>
      </c>
      <c r="E67" s="68" t="s">
        <v>584</v>
      </c>
      <c r="G67" s="74">
        <v>70</v>
      </c>
      <c r="N67" s="16"/>
      <c r="O67" s="18"/>
    </row>
    <row r="68" spans="1:15" ht="12.75">
      <c r="A68" s="18"/>
      <c r="D68" s="66" t="s">
        <v>399</v>
      </c>
      <c r="E68" s="68" t="s">
        <v>585</v>
      </c>
      <c r="G68" s="74">
        <v>6</v>
      </c>
      <c r="N68" s="16"/>
      <c r="O68" s="18"/>
    </row>
    <row r="69" spans="1:47" ht="12.75">
      <c r="A69" s="57"/>
      <c r="B69" s="63"/>
      <c r="C69" s="63" t="s">
        <v>115</v>
      </c>
      <c r="D69" s="177" t="s">
        <v>400</v>
      </c>
      <c r="E69" s="178"/>
      <c r="F69" s="71" t="s">
        <v>78</v>
      </c>
      <c r="G69" s="71" t="s">
        <v>78</v>
      </c>
      <c r="H69" s="71" t="s">
        <v>78</v>
      </c>
      <c r="I69" s="93">
        <f>SUM(I70:I98)</f>
        <v>0</v>
      </c>
      <c r="J69" s="93">
        <f>SUM(J70:J98)</f>
        <v>0</v>
      </c>
      <c r="K69" s="93">
        <f>SUM(K70:K98)</f>
        <v>0</v>
      </c>
      <c r="L69" s="80"/>
      <c r="M69" s="93">
        <f>SUM(M70:M98)</f>
        <v>15.60342</v>
      </c>
      <c r="N69" s="84"/>
      <c r="O69" s="18"/>
      <c r="AI69" s="80"/>
      <c r="AS69" s="93">
        <f>SUM(AJ70:AJ98)</f>
        <v>0</v>
      </c>
      <c r="AT69" s="93">
        <f>SUM(AK70:AK98)</f>
        <v>0</v>
      </c>
      <c r="AU69" s="93">
        <f>SUM(AL70:AL98)</f>
        <v>0</v>
      </c>
    </row>
    <row r="70" spans="1:64" ht="12.75">
      <c r="A70" s="58" t="s">
        <v>122</v>
      </c>
      <c r="B70" s="64"/>
      <c r="C70" s="64" t="s">
        <v>242</v>
      </c>
      <c r="D70" s="179" t="s">
        <v>401</v>
      </c>
      <c r="E70" s="180"/>
      <c r="F70" s="64" t="s">
        <v>613</v>
      </c>
      <c r="G70" s="73">
        <v>360</v>
      </c>
      <c r="H70" s="183"/>
      <c r="I70" s="73">
        <f>G70*AO70</f>
        <v>0</v>
      </c>
      <c r="J70" s="73">
        <f>G70*AP70</f>
        <v>0</v>
      </c>
      <c r="K70" s="73">
        <f>G70*H70</f>
        <v>0</v>
      </c>
      <c r="L70" s="73">
        <v>0.00208</v>
      </c>
      <c r="M70" s="73">
        <f>G70*L70</f>
        <v>0.7487999999999999</v>
      </c>
      <c r="N70" s="85" t="s">
        <v>647</v>
      </c>
      <c r="O70" s="18"/>
      <c r="Z70" s="48">
        <f>IF(AQ70="5",BJ70,0)</f>
        <v>0</v>
      </c>
      <c r="AB70" s="48">
        <f>IF(AQ70="1",BH70,0)</f>
        <v>0</v>
      </c>
      <c r="AC70" s="48">
        <f>IF(AQ70="1",BI70,0)</f>
        <v>0</v>
      </c>
      <c r="AD70" s="48">
        <f>IF(AQ70="7",BH70,0)</f>
        <v>0</v>
      </c>
      <c r="AE70" s="48">
        <f>IF(AQ70="7",BI70,0)</f>
        <v>0</v>
      </c>
      <c r="AF70" s="48">
        <f>IF(AQ70="2",BH70,0)</f>
        <v>0</v>
      </c>
      <c r="AG70" s="48">
        <f>IF(AQ70="2",BI70,0)</f>
        <v>0</v>
      </c>
      <c r="AH70" s="48">
        <f>IF(AQ70="0",BJ70,0)</f>
        <v>0</v>
      </c>
      <c r="AI70" s="80"/>
      <c r="AJ70" s="73">
        <f>IF(AN70=0,K70,0)</f>
        <v>0</v>
      </c>
      <c r="AK70" s="73">
        <f>IF(AN70=15,K70,0)</f>
        <v>0</v>
      </c>
      <c r="AL70" s="73">
        <f>IF(AN70=21,K70,0)</f>
        <v>0</v>
      </c>
      <c r="AN70" s="48">
        <v>21</v>
      </c>
      <c r="AO70" s="48">
        <f>H70*0.125915915915916</f>
        <v>0</v>
      </c>
      <c r="AP70" s="48">
        <f>H70*(1-0.125915915915916)</f>
        <v>0</v>
      </c>
      <c r="AQ70" s="88" t="s">
        <v>81</v>
      </c>
      <c r="AV70" s="48">
        <f>AW70+AX70</f>
        <v>0</v>
      </c>
      <c r="AW70" s="48">
        <f>G70*AO70</f>
        <v>0</v>
      </c>
      <c r="AX70" s="48">
        <f>G70*AP70</f>
        <v>0</v>
      </c>
      <c r="AY70" s="90" t="s">
        <v>663</v>
      </c>
      <c r="AZ70" s="90" t="s">
        <v>684</v>
      </c>
      <c r="BA70" s="80" t="s">
        <v>690</v>
      </c>
      <c r="BC70" s="48">
        <f>AW70+AX70</f>
        <v>0</v>
      </c>
      <c r="BD70" s="48">
        <f>H70/(100-BE70)*100</f>
        <v>0</v>
      </c>
      <c r="BE70" s="48">
        <v>0</v>
      </c>
      <c r="BF70" s="48">
        <f>M70</f>
        <v>0.7487999999999999</v>
      </c>
      <c r="BH70" s="73">
        <f>G70*AO70</f>
        <v>0</v>
      </c>
      <c r="BI70" s="73">
        <f>G70*AP70</f>
        <v>0</v>
      </c>
      <c r="BJ70" s="73">
        <f>G70*H70</f>
        <v>0</v>
      </c>
      <c r="BK70" s="73" t="s">
        <v>695</v>
      </c>
      <c r="BL70" s="48">
        <v>15</v>
      </c>
    </row>
    <row r="71" spans="1:15" ht="12.75">
      <c r="A71" s="18"/>
      <c r="D71" s="66" t="s">
        <v>402</v>
      </c>
      <c r="E71" s="68"/>
      <c r="G71" s="74">
        <v>360</v>
      </c>
      <c r="N71" s="16"/>
      <c r="O71" s="18"/>
    </row>
    <row r="72" spans="1:64" ht="12.75">
      <c r="A72" s="59" t="s">
        <v>123</v>
      </c>
      <c r="B72" s="65"/>
      <c r="C72" s="65" t="s">
        <v>243</v>
      </c>
      <c r="D72" s="181" t="s">
        <v>403</v>
      </c>
      <c r="E72" s="182"/>
      <c r="F72" s="65" t="s">
        <v>615</v>
      </c>
      <c r="G72" s="75">
        <v>8.4</v>
      </c>
      <c r="H72" s="184"/>
      <c r="I72" s="75">
        <f>G72*AO72</f>
        <v>0</v>
      </c>
      <c r="J72" s="75">
        <f>G72*AP72</f>
        <v>0</v>
      </c>
      <c r="K72" s="75">
        <f>G72*H72</f>
        <v>0</v>
      </c>
      <c r="L72" s="75">
        <v>1</v>
      </c>
      <c r="M72" s="75">
        <f>G72*L72</f>
        <v>8.4</v>
      </c>
      <c r="N72" s="86" t="s">
        <v>647</v>
      </c>
      <c r="O72" s="18"/>
      <c r="Z72" s="48">
        <f>IF(AQ72="5",BJ72,0)</f>
        <v>0</v>
      </c>
      <c r="AB72" s="48">
        <f>IF(AQ72="1",BH72,0)</f>
        <v>0</v>
      </c>
      <c r="AC72" s="48">
        <f>IF(AQ72="1",BI72,0)</f>
        <v>0</v>
      </c>
      <c r="AD72" s="48">
        <f>IF(AQ72="7",BH72,0)</f>
        <v>0</v>
      </c>
      <c r="AE72" s="48">
        <f>IF(AQ72="7",BI72,0)</f>
        <v>0</v>
      </c>
      <c r="AF72" s="48">
        <f>IF(AQ72="2",BH72,0)</f>
        <v>0</v>
      </c>
      <c r="AG72" s="48">
        <f>IF(AQ72="2",BI72,0)</f>
        <v>0</v>
      </c>
      <c r="AH72" s="48">
        <f>IF(AQ72="0",BJ72,0)</f>
        <v>0</v>
      </c>
      <c r="AI72" s="80"/>
      <c r="AJ72" s="75">
        <f>IF(AN72=0,K72,0)</f>
        <v>0</v>
      </c>
      <c r="AK72" s="75">
        <f>IF(AN72=15,K72,0)</f>
        <v>0</v>
      </c>
      <c r="AL72" s="75">
        <f>IF(AN72=21,K72,0)</f>
        <v>0</v>
      </c>
      <c r="AN72" s="48">
        <v>21</v>
      </c>
      <c r="AO72" s="48">
        <f>H72*1</f>
        <v>0</v>
      </c>
      <c r="AP72" s="48">
        <f>H72*(1-1)</f>
        <v>0</v>
      </c>
      <c r="AQ72" s="89" t="s">
        <v>81</v>
      </c>
      <c r="AV72" s="48">
        <f>AW72+AX72</f>
        <v>0</v>
      </c>
      <c r="AW72" s="48">
        <f>G72*AO72</f>
        <v>0</v>
      </c>
      <c r="AX72" s="48">
        <f>G72*AP72</f>
        <v>0</v>
      </c>
      <c r="AY72" s="90" t="s">
        <v>663</v>
      </c>
      <c r="AZ72" s="90" t="s">
        <v>684</v>
      </c>
      <c r="BA72" s="80" t="s">
        <v>690</v>
      </c>
      <c r="BC72" s="48">
        <f>AW72+AX72</f>
        <v>0</v>
      </c>
      <c r="BD72" s="48">
        <f>H72/(100-BE72)*100</f>
        <v>0</v>
      </c>
      <c r="BE72" s="48">
        <v>0</v>
      </c>
      <c r="BF72" s="48">
        <f>M72</f>
        <v>8.4</v>
      </c>
      <c r="BH72" s="75">
        <f>G72*AO72</f>
        <v>0</v>
      </c>
      <c r="BI72" s="75">
        <f>G72*AP72</f>
        <v>0</v>
      </c>
      <c r="BJ72" s="75">
        <f>G72*H72</f>
        <v>0</v>
      </c>
      <c r="BK72" s="75" t="s">
        <v>696</v>
      </c>
      <c r="BL72" s="48">
        <v>15</v>
      </c>
    </row>
    <row r="73" spans="1:15" ht="12.75">
      <c r="A73" s="18"/>
      <c r="D73" s="66" t="s">
        <v>404</v>
      </c>
      <c r="E73" s="68" t="s">
        <v>586</v>
      </c>
      <c r="G73" s="74" t="s">
        <v>624</v>
      </c>
      <c r="N73" s="16"/>
      <c r="O73" s="18"/>
    </row>
    <row r="74" spans="1:15" ht="12.75">
      <c r="A74" s="18"/>
      <c r="D74" s="66" t="s">
        <v>405</v>
      </c>
      <c r="E74" s="68"/>
      <c r="G74" s="74" t="s">
        <v>625</v>
      </c>
      <c r="N74" s="16"/>
      <c r="O74" s="18"/>
    </row>
    <row r="75" spans="1:64" ht="12.75">
      <c r="A75" s="58" t="s">
        <v>124</v>
      </c>
      <c r="B75" s="64"/>
      <c r="C75" s="64" t="s">
        <v>244</v>
      </c>
      <c r="D75" s="179" t="s">
        <v>406</v>
      </c>
      <c r="E75" s="180"/>
      <c r="F75" s="64" t="s">
        <v>614</v>
      </c>
      <c r="G75" s="73">
        <v>360</v>
      </c>
      <c r="H75" s="183"/>
      <c r="I75" s="73">
        <f>G75*AO75</f>
        <v>0</v>
      </c>
      <c r="J75" s="73">
        <f>G75*AP75</f>
        <v>0</v>
      </c>
      <c r="K75" s="73">
        <f>G75*H75</f>
        <v>0</v>
      </c>
      <c r="L75" s="73">
        <v>0.00139</v>
      </c>
      <c r="M75" s="73">
        <f>G75*L75</f>
        <v>0.5004</v>
      </c>
      <c r="N75" s="85" t="s">
        <v>647</v>
      </c>
      <c r="O75" s="18"/>
      <c r="Z75" s="48">
        <f>IF(AQ75="5",BJ75,0)</f>
        <v>0</v>
      </c>
      <c r="AB75" s="48">
        <f>IF(AQ75="1",BH75,0)</f>
        <v>0</v>
      </c>
      <c r="AC75" s="48">
        <f>IF(AQ75="1",BI75,0)</f>
        <v>0</v>
      </c>
      <c r="AD75" s="48">
        <f>IF(AQ75="7",BH75,0)</f>
        <v>0</v>
      </c>
      <c r="AE75" s="48">
        <f>IF(AQ75="7",BI75,0)</f>
        <v>0</v>
      </c>
      <c r="AF75" s="48">
        <f>IF(AQ75="2",BH75,0)</f>
        <v>0</v>
      </c>
      <c r="AG75" s="48">
        <f>IF(AQ75="2",BI75,0)</f>
        <v>0</v>
      </c>
      <c r="AH75" s="48">
        <f>IF(AQ75="0",BJ75,0)</f>
        <v>0</v>
      </c>
      <c r="AI75" s="80"/>
      <c r="AJ75" s="73">
        <f>IF(AN75=0,K75,0)</f>
        <v>0</v>
      </c>
      <c r="AK75" s="73">
        <f>IF(AN75=15,K75,0)</f>
        <v>0</v>
      </c>
      <c r="AL75" s="73">
        <f>IF(AN75=21,K75,0)</f>
        <v>0</v>
      </c>
      <c r="AN75" s="48">
        <v>21</v>
      </c>
      <c r="AO75" s="48">
        <f>H75*0.0640105948570798</f>
        <v>0</v>
      </c>
      <c r="AP75" s="48">
        <f>H75*(1-0.0640105948570798)</f>
        <v>0</v>
      </c>
      <c r="AQ75" s="88" t="s">
        <v>81</v>
      </c>
      <c r="AV75" s="48">
        <f>AW75+AX75</f>
        <v>0</v>
      </c>
      <c r="AW75" s="48">
        <f>G75*AO75</f>
        <v>0</v>
      </c>
      <c r="AX75" s="48">
        <f>G75*AP75</f>
        <v>0</v>
      </c>
      <c r="AY75" s="90" t="s">
        <v>663</v>
      </c>
      <c r="AZ75" s="90" t="s">
        <v>684</v>
      </c>
      <c r="BA75" s="80" t="s">
        <v>690</v>
      </c>
      <c r="BC75" s="48">
        <f>AW75+AX75</f>
        <v>0</v>
      </c>
      <c r="BD75" s="48">
        <f>H75/(100-BE75)*100</f>
        <v>0</v>
      </c>
      <c r="BE75" s="48">
        <v>0</v>
      </c>
      <c r="BF75" s="48">
        <f>M75</f>
        <v>0.5004</v>
      </c>
      <c r="BH75" s="73">
        <f>G75*AO75</f>
        <v>0</v>
      </c>
      <c r="BI75" s="73">
        <f>G75*AP75</f>
        <v>0</v>
      </c>
      <c r="BJ75" s="73">
        <f>G75*H75</f>
        <v>0</v>
      </c>
      <c r="BK75" s="73" t="s">
        <v>695</v>
      </c>
      <c r="BL75" s="48">
        <v>15</v>
      </c>
    </row>
    <row r="76" spans="1:15" ht="12.75">
      <c r="A76" s="18"/>
      <c r="D76" s="66" t="s">
        <v>407</v>
      </c>
      <c r="E76" s="68"/>
      <c r="G76" s="74">
        <v>360</v>
      </c>
      <c r="N76" s="16"/>
      <c r="O76" s="18"/>
    </row>
    <row r="77" spans="1:64" ht="12.75">
      <c r="A77" s="59" t="s">
        <v>125</v>
      </c>
      <c r="B77" s="65"/>
      <c r="C77" s="65" t="s">
        <v>245</v>
      </c>
      <c r="D77" s="181" t="s">
        <v>408</v>
      </c>
      <c r="E77" s="182"/>
      <c r="F77" s="65" t="s">
        <v>615</v>
      </c>
      <c r="G77" s="75">
        <v>5.52</v>
      </c>
      <c r="H77" s="184"/>
      <c r="I77" s="75">
        <f>G77*AO77</f>
        <v>0</v>
      </c>
      <c r="J77" s="75">
        <f>G77*AP77</f>
        <v>0</v>
      </c>
      <c r="K77" s="75">
        <f>G77*H77</f>
        <v>0</v>
      </c>
      <c r="L77" s="75">
        <v>1</v>
      </c>
      <c r="M77" s="75">
        <f>G77*L77</f>
        <v>5.52</v>
      </c>
      <c r="N77" s="86" t="s">
        <v>647</v>
      </c>
      <c r="O77" s="18"/>
      <c r="Z77" s="48">
        <f>IF(AQ77="5",BJ77,0)</f>
        <v>0</v>
      </c>
      <c r="AB77" s="48">
        <f>IF(AQ77="1",BH77,0)</f>
        <v>0</v>
      </c>
      <c r="AC77" s="48">
        <f>IF(AQ77="1",BI77,0)</f>
        <v>0</v>
      </c>
      <c r="AD77" s="48">
        <f>IF(AQ77="7",BH77,0)</f>
        <v>0</v>
      </c>
      <c r="AE77" s="48">
        <f>IF(AQ77="7",BI77,0)</f>
        <v>0</v>
      </c>
      <c r="AF77" s="48">
        <f>IF(AQ77="2",BH77,0)</f>
        <v>0</v>
      </c>
      <c r="AG77" s="48">
        <f>IF(AQ77="2",BI77,0)</f>
        <v>0</v>
      </c>
      <c r="AH77" s="48">
        <f>IF(AQ77="0",BJ77,0)</f>
        <v>0</v>
      </c>
      <c r="AI77" s="80"/>
      <c r="AJ77" s="75">
        <f>IF(AN77=0,K77,0)</f>
        <v>0</v>
      </c>
      <c r="AK77" s="75">
        <f>IF(AN77=15,K77,0)</f>
        <v>0</v>
      </c>
      <c r="AL77" s="75">
        <f>IF(AN77=21,K77,0)</f>
        <v>0</v>
      </c>
      <c r="AN77" s="48">
        <v>21</v>
      </c>
      <c r="AO77" s="48">
        <f>H77*1</f>
        <v>0</v>
      </c>
      <c r="AP77" s="48">
        <f>H77*(1-1)</f>
        <v>0</v>
      </c>
      <c r="AQ77" s="89" t="s">
        <v>81</v>
      </c>
      <c r="AV77" s="48">
        <f>AW77+AX77</f>
        <v>0</v>
      </c>
      <c r="AW77" s="48">
        <f>G77*AO77</f>
        <v>0</v>
      </c>
      <c r="AX77" s="48">
        <f>G77*AP77</f>
        <v>0</v>
      </c>
      <c r="AY77" s="90" t="s">
        <v>663</v>
      </c>
      <c r="AZ77" s="90" t="s">
        <v>684</v>
      </c>
      <c r="BA77" s="80" t="s">
        <v>690</v>
      </c>
      <c r="BC77" s="48">
        <f>AW77+AX77</f>
        <v>0</v>
      </c>
      <c r="BD77" s="48">
        <f>H77/(100-BE77)*100</f>
        <v>0</v>
      </c>
      <c r="BE77" s="48">
        <v>0</v>
      </c>
      <c r="BF77" s="48">
        <f>M77</f>
        <v>5.52</v>
      </c>
      <c r="BH77" s="75">
        <f>G77*AO77</f>
        <v>0</v>
      </c>
      <c r="BI77" s="75">
        <f>G77*AP77</f>
        <v>0</v>
      </c>
      <c r="BJ77" s="75">
        <f>G77*H77</f>
        <v>0</v>
      </c>
      <c r="BK77" s="75" t="s">
        <v>696</v>
      </c>
      <c r="BL77" s="48">
        <v>15</v>
      </c>
    </row>
    <row r="78" spans="1:15" ht="12.75">
      <c r="A78" s="18"/>
      <c r="D78" s="66" t="s">
        <v>409</v>
      </c>
      <c r="E78" s="68" t="s">
        <v>587</v>
      </c>
      <c r="G78" s="74" t="s">
        <v>626</v>
      </c>
      <c r="N78" s="16"/>
      <c r="O78" s="18"/>
    </row>
    <row r="79" spans="1:64" ht="12.75">
      <c r="A79" s="58" t="s">
        <v>126</v>
      </c>
      <c r="B79" s="64"/>
      <c r="C79" s="64" t="s">
        <v>246</v>
      </c>
      <c r="D79" s="179" t="s">
        <v>410</v>
      </c>
      <c r="E79" s="180"/>
      <c r="F79" s="64" t="s">
        <v>613</v>
      </c>
      <c r="G79" s="73">
        <v>360</v>
      </c>
      <c r="H79" s="183"/>
      <c r="I79" s="73">
        <f>G79*AO79</f>
        <v>0</v>
      </c>
      <c r="J79" s="73">
        <f>G79*AP79</f>
        <v>0</v>
      </c>
      <c r="K79" s="73">
        <f>G79*H79</f>
        <v>0</v>
      </c>
      <c r="L79" s="73">
        <v>0</v>
      </c>
      <c r="M79" s="73">
        <f>G79*L79</f>
        <v>0</v>
      </c>
      <c r="N79" s="85" t="s">
        <v>647</v>
      </c>
      <c r="O79" s="18"/>
      <c r="Z79" s="48">
        <f>IF(AQ79="5",BJ79,0)</f>
        <v>0</v>
      </c>
      <c r="AB79" s="48">
        <f>IF(AQ79="1",BH79,0)</f>
        <v>0</v>
      </c>
      <c r="AC79" s="48">
        <f>IF(AQ79="1",BI79,0)</f>
        <v>0</v>
      </c>
      <c r="AD79" s="48">
        <f>IF(AQ79="7",BH79,0)</f>
        <v>0</v>
      </c>
      <c r="AE79" s="48">
        <f>IF(AQ79="7",BI79,0)</f>
        <v>0</v>
      </c>
      <c r="AF79" s="48">
        <f>IF(AQ79="2",BH79,0)</f>
        <v>0</v>
      </c>
      <c r="AG79" s="48">
        <f>IF(AQ79="2",BI79,0)</f>
        <v>0</v>
      </c>
      <c r="AH79" s="48">
        <f>IF(AQ79="0",BJ79,0)</f>
        <v>0</v>
      </c>
      <c r="AI79" s="80"/>
      <c r="AJ79" s="73">
        <f>IF(AN79=0,K79,0)</f>
        <v>0</v>
      </c>
      <c r="AK79" s="73">
        <f>IF(AN79=15,K79,0)</f>
        <v>0</v>
      </c>
      <c r="AL79" s="73">
        <f>IF(AN79=21,K79,0)</f>
        <v>0</v>
      </c>
      <c r="AN79" s="48">
        <v>21</v>
      </c>
      <c r="AO79" s="48">
        <f>H79*0</f>
        <v>0</v>
      </c>
      <c r="AP79" s="48">
        <f>H79*(1-0)</f>
        <v>0</v>
      </c>
      <c r="AQ79" s="88" t="s">
        <v>81</v>
      </c>
      <c r="AV79" s="48">
        <f>AW79+AX79</f>
        <v>0</v>
      </c>
      <c r="AW79" s="48">
        <f>G79*AO79</f>
        <v>0</v>
      </c>
      <c r="AX79" s="48">
        <f>G79*AP79</f>
        <v>0</v>
      </c>
      <c r="AY79" s="90" t="s">
        <v>663</v>
      </c>
      <c r="AZ79" s="90" t="s">
        <v>684</v>
      </c>
      <c r="BA79" s="80" t="s">
        <v>690</v>
      </c>
      <c r="BC79" s="48">
        <f>AW79+AX79</f>
        <v>0</v>
      </c>
      <c r="BD79" s="48">
        <f>H79/(100-BE79)*100</f>
        <v>0</v>
      </c>
      <c r="BE79" s="48">
        <v>0</v>
      </c>
      <c r="BF79" s="48">
        <f>M79</f>
        <v>0</v>
      </c>
      <c r="BH79" s="73">
        <f>G79*AO79</f>
        <v>0</v>
      </c>
      <c r="BI79" s="73">
        <f>G79*AP79</f>
        <v>0</v>
      </c>
      <c r="BJ79" s="73">
        <f>G79*H79</f>
        <v>0</v>
      </c>
      <c r="BK79" s="73" t="s">
        <v>695</v>
      </c>
      <c r="BL79" s="48">
        <v>15</v>
      </c>
    </row>
    <row r="80" spans="1:15" ht="12.75">
      <c r="A80" s="18"/>
      <c r="D80" s="66" t="s">
        <v>411</v>
      </c>
      <c r="E80" s="68"/>
      <c r="G80" s="74">
        <v>360</v>
      </c>
      <c r="N80" s="16"/>
      <c r="O80" s="18"/>
    </row>
    <row r="81" spans="1:64" ht="12.75">
      <c r="A81" s="58" t="s">
        <v>127</v>
      </c>
      <c r="B81" s="64"/>
      <c r="C81" s="64" t="s">
        <v>247</v>
      </c>
      <c r="D81" s="179" t="s">
        <v>412</v>
      </c>
      <c r="E81" s="180"/>
      <c r="F81" s="64" t="s">
        <v>614</v>
      </c>
      <c r="G81" s="73">
        <v>360</v>
      </c>
      <c r="H81" s="183"/>
      <c r="I81" s="73">
        <f>G81*AO81</f>
        <v>0</v>
      </c>
      <c r="J81" s="73">
        <f>G81*AP81</f>
        <v>0</v>
      </c>
      <c r="K81" s="73">
        <f>G81*H81</f>
        <v>0</v>
      </c>
      <c r="L81" s="73">
        <v>0</v>
      </c>
      <c r="M81" s="73">
        <f>G81*L81</f>
        <v>0</v>
      </c>
      <c r="N81" s="85" t="s">
        <v>647</v>
      </c>
      <c r="O81" s="18"/>
      <c r="Z81" s="48">
        <f>IF(AQ81="5",BJ81,0)</f>
        <v>0</v>
      </c>
      <c r="AB81" s="48">
        <f>IF(AQ81="1",BH81,0)</f>
        <v>0</v>
      </c>
      <c r="AC81" s="48">
        <f>IF(AQ81="1",BI81,0)</f>
        <v>0</v>
      </c>
      <c r="AD81" s="48">
        <f>IF(AQ81="7",BH81,0)</f>
        <v>0</v>
      </c>
      <c r="AE81" s="48">
        <f>IF(AQ81="7",BI81,0)</f>
        <v>0</v>
      </c>
      <c r="AF81" s="48">
        <f>IF(AQ81="2",BH81,0)</f>
        <v>0</v>
      </c>
      <c r="AG81" s="48">
        <f>IF(AQ81="2",BI81,0)</f>
        <v>0</v>
      </c>
      <c r="AH81" s="48">
        <f>IF(AQ81="0",BJ81,0)</f>
        <v>0</v>
      </c>
      <c r="AI81" s="80"/>
      <c r="AJ81" s="73">
        <f>IF(AN81=0,K81,0)</f>
        <v>0</v>
      </c>
      <c r="AK81" s="73">
        <f>IF(AN81=15,K81,0)</f>
        <v>0</v>
      </c>
      <c r="AL81" s="73">
        <f>IF(AN81=21,K81,0)</f>
        <v>0</v>
      </c>
      <c r="AN81" s="48">
        <v>21</v>
      </c>
      <c r="AO81" s="48">
        <f>H81*0</f>
        <v>0</v>
      </c>
      <c r="AP81" s="48">
        <f>H81*(1-0)</f>
        <v>0</v>
      </c>
      <c r="AQ81" s="88" t="s">
        <v>81</v>
      </c>
      <c r="AV81" s="48">
        <f>AW81+AX81</f>
        <v>0</v>
      </c>
      <c r="AW81" s="48">
        <f>G81*AO81</f>
        <v>0</v>
      </c>
      <c r="AX81" s="48">
        <f>G81*AP81</f>
        <v>0</v>
      </c>
      <c r="AY81" s="90" t="s">
        <v>663</v>
      </c>
      <c r="AZ81" s="90" t="s">
        <v>684</v>
      </c>
      <c r="BA81" s="80" t="s">
        <v>690</v>
      </c>
      <c r="BC81" s="48">
        <f>AW81+AX81</f>
        <v>0</v>
      </c>
      <c r="BD81" s="48">
        <f>H81/(100-BE81)*100</f>
        <v>0</v>
      </c>
      <c r="BE81" s="48">
        <v>0</v>
      </c>
      <c r="BF81" s="48">
        <f>M81</f>
        <v>0</v>
      </c>
      <c r="BH81" s="73">
        <f>G81*AO81</f>
        <v>0</v>
      </c>
      <c r="BI81" s="73">
        <f>G81*AP81</f>
        <v>0</v>
      </c>
      <c r="BJ81" s="73">
        <f>G81*H81</f>
        <v>0</v>
      </c>
      <c r="BK81" s="73" t="s">
        <v>695</v>
      </c>
      <c r="BL81" s="48">
        <v>15</v>
      </c>
    </row>
    <row r="82" spans="1:15" ht="12.75">
      <c r="A82" s="18"/>
      <c r="D82" s="66" t="s">
        <v>411</v>
      </c>
      <c r="E82" s="68"/>
      <c r="G82" s="74">
        <v>360</v>
      </c>
      <c r="N82" s="16"/>
      <c r="O82" s="18"/>
    </row>
    <row r="83" spans="1:64" ht="12.75">
      <c r="A83" s="58" t="s">
        <v>128</v>
      </c>
      <c r="B83" s="64"/>
      <c r="C83" s="64" t="s">
        <v>248</v>
      </c>
      <c r="D83" s="179" t="s">
        <v>413</v>
      </c>
      <c r="E83" s="180"/>
      <c r="F83" s="64" t="s">
        <v>613</v>
      </c>
      <c r="G83" s="73">
        <v>98</v>
      </c>
      <c r="H83" s="183"/>
      <c r="I83" s="73">
        <f>G83*AO83</f>
        <v>0</v>
      </c>
      <c r="J83" s="73">
        <f>G83*AP83</f>
        <v>0</v>
      </c>
      <c r="K83" s="73">
        <f>G83*H83</f>
        <v>0</v>
      </c>
      <c r="L83" s="73">
        <v>0.00149</v>
      </c>
      <c r="M83" s="73">
        <f>G83*L83</f>
        <v>0.14602</v>
      </c>
      <c r="N83" s="85" t="s">
        <v>648</v>
      </c>
      <c r="O83" s="18"/>
      <c r="Z83" s="48">
        <f>IF(AQ83="5",BJ83,0)</f>
        <v>0</v>
      </c>
      <c r="AB83" s="48">
        <f>IF(AQ83="1",BH83,0)</f>
        <v>0</v>
      </c>
      <c r="AC83" s="48">
        <f>IF(AQ83="1",BI83,0)</f>
        <v>0</v>
      </c>
      <c r="AD83" s="48">
        <f>IF(AQ83="7",BH83,0)</f>
        <v>0</v>
      </c>
      <c r="AE83" s="48">
        <f>IF(AQ83="7",BI83,0)</f>
        <v>0</v>
      </c>
      <c r="AF83" s="48">
        <f>IF(AQ83="2",BH83,0)</f>
        <v>0</v>
      </c>
      <c r="AG83" s="48">
        <f>IF(AQ83="2",BI83,0)</f>
        <v>0</v>
      </c>
      <c r="AH83" s="48">
        <f>IF(AQ83="0",BJ83,0)</f>
        <v>0</v>
      </c>
      <c r="AI83" s="80"/>
      <c r="AJ83" s="73">
        <f>IF(AN83=0,K83,0)</f>
        <v>0</v>
      </c>
      <c r="AK83" s="73">
        <f>IF(AN83=15,K83,0)</f>
        <v>0</v>
      </c>
      <c r="AL83" s="73">
        <f>IF(AN83=21,K83,0)</f>
        <v>0</v>
      </c>
      <c r="AN83" s="48">
        <v>21</v>
      </c>
      <c r="AO83" s="48">
        <f>H83*0.168221992869206</f>
        <v>0</v>
      </c>
      <c r="AP83" s="48">
        <f>H83*(1-0.168221992869206)</f>
        <v>0</v>
      </c>
      <c r="AQ83" s="88" t="s">
        <v>81</v>
      </c>
      <c r="AV83" s="48">
        <f>AW83+AX83</f>
        <v>0</v>
      </c>
      <c r="AW83" s="48">
        <f>G83*AO83</f>
        <v>0</v>
      </c>
      <c r="AX83" s="48">
        <f>G83*AP83</f>
        <v>0</v>
      </c>
      <c r="AY83" s="90" t="s">
        <v>663</v>
      </c>
      <c r="AZ83" s="90" t="s">
        <v>684</v>
      </c>
      <c r="BA83" s="80" t="s">
        <v>690</v>
      </c>
      <c r="BC83" s="48">
        <f>AW83+AX83</f>
        <v>0</v>
      </c>
      <c r="BD83" s="48">
        <f>H83/(100-BE83)*100</f>
        <v>0</v>
      </c>
      <c r="BE83" s="48">
        <v>0</v>
      </c>
      <c r="BF83" s="48">
        <f>M83</f>
        <v>0.14602</v>
      </c>
      <c r="BH83" s="73">
        <f>G83*AO83</f>
        <v>0</v>
      </c>
      <c r="BI83" s="73">
        <f>G83*AP83</f>
        <v>0</v>
      </c>
      <c r="BJ83" s="73">
        <f>G83*H83</f>
        <v>0</v>
      </c>
      <c r="BK83" s="73" t="s">
        <v>695</v>
      </c>
      <c r="BL83" s="48">
        <v>15</v>
      </c>
    </row>
    <row r="84" spans="1:15" ht="12.75">
      <c r="A84" s="18"/>
      <c r="D84" s="66" t="s">
        <v>383</v>
      </c>
      <c r="E84" s="68" t="s">
        <v>588</v>
      </c>
      <c r="G84" s="74">
        <v>56</v>
      </c>
      <c r="N84" s="16"/>
      <c r="O84" s="18"/>
    </row>
    <row r="85" spans="1:15" ht="12.75">
      <c r="A85" s="18"/>
      <c r="D85" s="66" t="s">
        <v>414</v>
      </c>
      <c r="E85" s="68" t="s">
        <v>580</v>
      </c>
      <c r="G85" s="74">
        <v>42</v>
      </c>
      <c r="N85" s="16"/>
      <c r="O85" s="18"/>
    </row>
    <row r="86" spans="1:64" ht="12.75">
      <c r="A86" s="58" t="s">
        <v>129</v>
      </c>
      <c r="B86" s="64"/>
      <c r="C86" s="64" t="s">
        <v>249</v>
      </c>
      <c r="D86" s="179" t="s">
        <v>415</v>
      </c>
      <c r="E86" s="180"/>
      <c r="F86" s="64" t="s">
        <v>613</v>
      </c>
      <c r="G86" s="73">
        <v>98</v>
      </c>
      <c r="H86" s="183"/>
      <c r="I86" s="73">
        <f>G86*AO86</f>
        <v>0</v>
      </c>
      <c r="J86" s="73">
        <f>G86*AP86</f>
        <v>0</v>
      </c>
      <c r="K86" s="73">
        <f>G86*H86</f>
        <v>0</v>
      </c>
      <c r="L86" s="73">
        <v>0</v>
      </c>
      <c r="M86" s="73">
        <f>G86*L86</f>
        <v>0</v>
      </c>
      <c r="N86" s="85" t="s">
        <v>647</v>
      </c>
      <c r="O86" s="18"/>
      <c r="Z86" s="48">
        <f>IF(AQ86="5",BJ86,0)</f>
        <v>0</v>
      </c>
      <c r="AB86" s="48">
        <f>IF(AQ86="1",BH86,0)</f>
        <v>0</v>
      </c>
      <c r="AC86" s="48">
        <f>IF(AQ86="1",BI86,0)</f>
        <v>0</v>
      </c>
      <c r="AD86" s="48">
        <f>IF(AQ86="7",BH86,0)</f>
        <v>0</v>
      </c>
      <c r="AE86" s="48">
        <f>IF(AQ86="7",BI86,0)</f>
        <v>0</v>
      </c>
      <c r="AF86" s="48">
        <f>IF(AQ86="2",BH86,0)</f>
        <v>0</v>
      </c>
      <c r="AG86" s="48">
        <f>IF(AQ86="2",BI86,0)</f>
        <v>0</v>
      </c>
      <c r="AH86" s="48">
        <f>IF(AQ86="0",BJ86,0)</f>
        <v>0</v>
      </c>
      <c r="AI86" s="80"/>
      <c r="AJ86" s="73">
        <f>IF(AN86=0,K86,0)</f>
        <v>0</v>
      </c>
      <c r="AK86" s="73">
        <f>IF(AN86=15,K86,0)</f>
        <v>0</v>
      </c>
      <c r="AL86" s="73">
        <f>IF(AN86=21,K86,0)</f>
        <v>0</v>
      </c>
      <c r="AN86" s="48">
        <v>21</v>
      </c>
      <c r="AO86" s="48">
        <f>H86*0</f>
        <v>0</v>
      </c>
      <c r="AP86" s="48">
        <f>H86*(1-0)</f>
        <v>0</v>
      </c>
      <c r="AQ86" s="88" t="s">
        <v>81</v>
      </c>
      <c r="AV86" s="48">
        <f>AW86+AX86</f>
        <v>0</v>
      </c>
      <c r="AW86" s="48">
        <f>G86*AO86</f>
        <v>0</v>
      </c>
      <c r="AX86" s="48">
        <f>G86*AP86</f>
        <v>0</v>
      </c>
      <c r="AY86" s="90" t="s">
        <v>663</v>
      </c>
      <c r="AZ86" s="90" t="s">
        <v>684</v>
      </c>
      <c r="BA86" s="80" t="s">
        <v>690</v>
      </c>
      <c r="BC86" s="48">
        <f>AW86+AX86</f>
        <v>0</v>
      </c>
      <c r="BD86" s="48">
        <f>H86/(100-BE86)*100</f>
        <v>0</v>
      </c>
      <c r="BE86" s="48">
        <v>0</v>
      </c>
      <c r="BF86" s="48">
        <f>M86</f>
        <v>0</v>
      </c>
      <c r="BH86" s="73">
        <f>G86*AO86</f>
        <v>0</v>
      </c>
      <c r="BI86" s="73">
        <f>G86*AP86</f>
        <v>0</v>
      </c>
      <c r="BJ86" s="73">
        <f>G86*H86</f>
        <v>0</v>
      </c>
      <c r="BK86" s="73" t="s">
        <v>695</v>
      </c>
      <c r="BL86" s="48">
        <v>15</v>
      </c>
    </row>
    <row r="87" spans="1:15" ht="12.75">
      <c r="A87" s="18"/>
      <c r="D87" s="66" t="s">
        <v>197</v>
      </c>
      <c r="E87" s="68"/>
      <c r="G87" s="74">
        <v>98</v>
      </c>
      <c r="N87" s="16"/>
      <c r="O87" s="18"/>
    </row>
    <row r="88" spans="1:64" ht="12.75">
      <c r="A88" s="58" t="s">
        <v>130</v>
      </c>
      <c r="B88" s="64"/>
      <c r="C88" s="64" t="s">
        <v>250</v>
      </c>
      <c r="D88" s="179" t="s">
        <v>416</v>
      </c>
      <c r="E88" s="180"/>
      <c r="F88" s="64" t="s">
        <v>614</v>
      </c>
      <c r="G88" s="73">
        <v>98</v>
      </c>
      <c r="H88" s="183"/>
      <c r="I88" s="73">
        <f>G88*AO88</f>
        <v>0</v>
      </c>
      <c r="J88" s="73">
        <f>G88*AP88</f>
        <v>0</v>
      </c>
      <c r="K88" s="73">
        <f>G88*H88</f>
        <v>0</v>
      </c>
      <c r="L88" s="73">
        <v>0.00137</v>
      </c>
      <c r="M88" s="73">
        <f>G88*L88</f>
        <v>0.13426</v>
      </c>
      <c r="N88" s="85" t="s">
        <v>648</v>
      </c>
      <c r="O88" s="18"/>
      <c r="Z88" s="48">
        <f>IF(AQ88="5",BJ88,0)</f>
        <v>0</v>
      </c>
      <c r="AB88" s="48">
        <f>IF(AQ88="1",BH88,0)</f>
        <v>0</v>
      </c>
      <c r="AC88" s="48">
        <f>IF(AQ88="1",BI88,0)</f>
        <v>0</v>
      </c>
      <c r="AD88" s="48">
        <f>IF(AQ88="7",BH88,0)</f>
        <v>0</v>
      </c>
      <c r="AE88" s="48">
        <f>IF(AQ88="7",BI88,0)</f>
        <v>0</v>
      </c>
      <c r="AF88" s="48">
        <f>IF(AQ88="2",BH88,0)</f>
        <v>0</v>
      </c>
      <c r="AG88" s="48">
        <f>IF(AQ88="2",BI88,0)</f>
        <v>0</v>
      </c>
      <c r="AH88" s="48">
        <f>IF(AQ88="0",BJ88,0)</f>
        <v>0</v>
      </c>
      <c r="AI88" s="80"/>
      <c r="AJ88" s="73">
        <f>IF(AN88=0,K88,0)</f>
        <v>0</v>
      </c>
      <c r="AK88" s="73">
        <f>IF(AN88=15,K88,0)</f>
        <v>0</v>
      </c>
      <c r="AL88" s="73">
        <f>IF(AN88=21,K88,0)</f>
        <v>0</v>
      </c>
      <c r="AN88" s="48">
        <v>21</v>
      </c>
      <c r="AO88" s="48">
        <f>H88*0.0647727272727273</f>
        <v>0</v>
      </c>
      <c r="AP88" s="48">
        <f>H88*(1-0.0647727272727273)</f>
        <v>0</v>
      </c>
      <c r="AQ88" s="88" t="s">
        <v>81</v>
      </c>
      <c r="AV88" s="48">
        <f>AW88+AX88</f>
        <v>0</v>
      </c>
      <c r="AW88" s="48">
        <f>G88*AO88</f>
        <v>0</v>
      </c>
      <c r="AX88" s="48">
        <f>G88*AP88</f>
        <v>0</v>
      </c>
      <c r="AY88" s="90" t="s">
        <v>663</v>
      </c>
      <c r="AZ88" s="90" t="s">
        <v>684</v>
      </c>
      <c r="BA88" s="80" t="s">
        <v>690</v>
      </c>
      <c r="BC88" s="48">
        <f>AW88+AX88</f>
        <v>0</v>
      </c>
      <c r="BD88" s="48">
        <f>H88/(100-BE88)*100</f>
        <v>0</v>
      </c>
      <c r="BE88" s="48">
        <v>0</v>
      </c>
      <c r="BF88" s="48">
        <f>M88</f>
        <v>0.13426</v>
      </c>
      <c r="BH88" s="73">
        <f>G88*AO88</f>
        <v>0</v>
      </c>
      <c r="BI88" s="73">
        <f>G88*AP88</f>
        <v>0</v>
      </c>
      <c r="BJ88" s="73">
        <f>G88*H88</f>
        <v>0</v>
      </c>
      <c r="BK88" s="73" t="s">
        <v>695</v>
      </c>
      <c r="BL88" s="48">
        <v>15</v>
      </c>
    </row>
    <row r="89" spans="1:15" ht="12.75">
      <c r="A89" s="18"/>
      <c r="D89" s="66" t="s">
        <v>417</v>
      </c>
      <c r="E89" s="68" t="s">
        <v>589</v>
      </c>
      <c r="G89" s="74">
        <v>98</v>
      </c>
      <c r="N89" s="16"/>
      <c r="O89" s="18"/>
    </row>
    <row r="90" spans="1:64" ht="12.75">
      <c r="A90" s="58" t="s">
        <v>131</v>
      </c>
      <c r="B90" s="64"/>
      <c r="C90" s="64" t="s">
        <v>251</v>
      </c>
      <c r="D90" s="179" t="s">
        <v>418</v>
      </c>
      <c r="E90" s="180"/>
      <c r="F90" s="64" t="s">
        <v>614</v>
      </c>
      <c r="G90" s="73">
        <v>98</v>
      </c>
      <c r="H90" s="183"/>
      <c r="I90" s="73">
        <f>G90*AO90</f>
        <v>0</v>
      </c>
      <c r="J90" s="73">
        <f>G90*AP90</f>
        <v>0</v>
      </c>
      <c r="K90" s="73">
        <f>G90*H90</f>
        <v>0</v>
      </c>
      <c r="L90" s="73">
        <v>0</v>
      </c>
      <c r="M90" s="73">
        <f>G90*L90</f>
        <v>0</v>
      </c>
      <c r="N90" s="85" t="s">
        <v>648</v>
      </c>
      <c r="O90" s="18"/>
      <c r="Z90" s="48">
        <f>IF(AQ90="5",BJ90,0)</f>
        <v>0</v>
      </c>
      <c r="AB90" s="48">
        <f>IF(AQ90="1",BH90,0)</f>
        <v>0</v>
      </c>
      <c r="AC90" s="48">
        <f>IF(AQ90="1",BI90,0)</f>
        <v>0</v>
      </c>
      <c r="AD90" s="48">
        <f>IF(AQ90="7",BH90,0)</f>
        <v>0</v>
      </c>
      <c r="AE90" s="48">
        <f>IF(AQ90="7",BI90,0)</f>
        <v>0</v>
      </c>
      <c r="AF90" s="48">
        <f>IF(AQ90="2",BH90,0)</f>
        <v>0</v>
      </c>
      <c r="AG90" s="48">
        <f>IF(AQ90="2",BI90,0)</f>
        <v>0</v>
      </c>
      <c r="AH90" s="48">
        <f>IF(AQ90="0",BJ90,0)</f>
        <v>0</v>
      </c>
      <c r="AI90" s="80"/>
      <c r="AJ90" s="73">
        <f>IF(AN90=0,K90,0)</f>
        <v>0</v>
      </c>
      <c r="AK90" s="73">
        <f>IF(AN90=15,K90,0)</f>
        <v>0</v>
      </c>
      <c r="AL90" s="73">
        <f>IF(AN90=21,K90,0)</f>
        <v>0</v>
      </c>
      <c r="AN90" s="48">
        <v>21</v>
      </c>
      <c r="AO90" s="48">
        <f>H90*0</f>
        <v>0</v>
      </c>
      <c r="AP90" s="48">
        <f>H90*(1-0)</f>
        <v>0</v>
      </c>
      <c r="AQ90" s="88" t="s">
        <v>81</v>
      </c>
      <c r="AV90" s="48">
        <f>AW90+AX90</f>
        <v>0</v>
      </c>
      <c r="AW90" s="48">
        <f>G90*AO90</f>
        <v>0</v>
      </c>
      <c r="AX90" s="48">
        <f>G90*AP90</f>
        <v>0</v>
      </c>
      <c r="AY90" s="90" t="s">
        <v>663</v>
      </c>
      <c r="AZ90" s="90" t="s">
        <v>684</v>
      </c>
      <c r="BA90" s="80" t="s">
        <v>690</v>
      </c>
      <c r="BC90" s="48">
        <f>AW90+AX90</f>
        <v>0</v>
      </c>
      <c r="BD90" s="48">
        <f>H90/(100-BE90)*100</f>
        <v>0</v>
      </c>
      <c r="BE90" s="48">
        <v>0</v>
      </c>
      <c r="BF90" s="48">
        <f>M90</f>
        <v>0</v>
      </c>
      <c r="BH90" s="73">
        <f>G90*AO90</f>
        <v>0</v>
      </c>
      <c r="BI90" s="73">
        <f>G90*AP90</f>
        <v>0</v>
      </c>
      <c r="BJ90" s="73">
        <f>G90*H90</f>
        <v>0</v>
      </c>
      <c r="BK90" s="73" t="s">
        <v>695</v>
      </c>
      <c r="BL90" s="48">
        <v>15</v>
      </c>
    </row>
    <row r="91" spans="1:15" ht="12.75">
      <c r="A91" s="18"/>
      <c r="D91" s="66" t="s">
        <v>197</v>
      </c>
      <c r="E91" s="68"/>
      <c r="G91" s="74">
        <v>98</v>
      </c>
      <c r="N91" s="16"/>
      <c r="O91" s="18"/>
    </row>
    <row r="92" spans="1:64" ht="12.75">
      <c r="A92" s="58" t="s">
        <v>132</v>
      </c>
      <c r="B92" s="64"/>
      <c r="C92" s="64" t="s">
        <v>252</v>
      </c>
      <c r="D92" s="179" t="s">
        <v>419</v>
      </c>
      <c r="E92" s="180"/>
      <c r="F92" s="64" t="s">
        <v>613</v>
      </c>
      <c r="G92" s="73">
        <v>140</v>
      </c>
      <c r="H92" s="183"/>
      <c r="I92" s="73">
        <f>G92*AO92</f>
        <v>0</v>
      </c>
      <c r="J92" s="73">
        <f>G92*AP92</f>
        <v>0</v>
      </c>
      <c r="K92" s="73">
        <f>G92*H92</f>
        <v>0</v>
      </c>
      <c r="L92" s="73">
        <v>0.00086</v>
      </c>
      <c r="M92" s="73">
        <f>G92*L92</f>
        <v>0.1204</v>
      </c>
      <c r="N92" s="85" t="s">
        <v>648</v>
      </c>
      <c r="O92" s="18"/>
      <c r="Z92" s="48">
        <f>IF(AQ92="5",BJ92,0)</f>
        <v>0</v>
      </c>
      <c r="AB92" s="48">
        <f>IF(AQ92="1",BH92,0)</f>
        <v>0</v>
      </c>
      <c r="AC92" s="48">
        <f>IF(AQ92="1",BI92,0)</f>
        <v>0</v>
      </c>
      <c r="AD92" s="48">
        <f>IF(AQ92="7",BH92,0)</f>
        <v>0</v>
      </c>
      <c r="AE92" s="48">
        <f>IF(AQ92="7",BI92,0)</f>
        <v>0</v>
      </c>
      <c r="AF92" s="48">
        <f>IF(AQ92="2",BH92,0)</f>
        <v>0</v>
      </c>
      <c r="AG92" s="48">
        <f>IF(AQ92="2",BI92,0)</f>
        <v>0</v>
      </c>
      <c r="AH92" s="48">
        <f>IF(AQ92="0",BJ92,0)</f>
        <v>0</v>
      </c>
      <c r="AI92" s="80"/>
      <c r="AJ92" s="73">
        <f>IF(AN92=0,K92,0)</f>
        <v>0</v>
      </c>
      <c r="AK92" s="73">
        <f>IF(AN92=15,K92,0)</f>
        <v>0</v>
      </c>
      <c r="AL92" s="73">
        <f>IF(AN92=21,K92,0)</f>
        <v>0</v>
      </c>
      <c r="AN92" s="48">
        <v>21</v>
      </c>
      <c r="AO92" s="48">
        <f>H92*0.0720910973084886</f>
        <v>0</v>
      </c>
      <c r="AP92" s="48">
        <f>H92*(1-0.0720910973084886)</f>
        <v>0</v>
      </c>
      <c r="AQ92" s="88" t="s">
        <v>81</v>
      </c>
      <c r="AV92" s="48">
        <f>AW92+AX92</f>
        <v>0</v>
      </c>
      <c r="AW92" s="48">
        <f>G92*AO92</f>
        <v>0</v>
      </c>
      <c r="AX92" s="48">
        <f>G92*AP92</f>
        <v>0</v>
      </c>
      <c r="AY92" s="90" t="s">
        <v>663</v>
      </c>
      <c r="AZ92" s="90" t="s">
        <v>684</v>
      </c>
      <c r="BA92" s="80" t="s">
        <v>690</v>
      </c>
      <c r="BC92" s="48">
        <f>AW92+AX92</f>
        <v>0</v>
      </c>
      <c r="BD92" s="48">
        <f>H92/(100-BE92)*100</f>
        <v>0</v>
      </c>
      <c r="BE92" s="48">
        <v>0</v>
      </c>
      <c r="BF92" s="48">
        <f>M92</f>
        <v>0.1204</v>
      </c>
      <c r="BH92" s="73">
        <f>G92*AO92</f>
        <v>0</v>
      </c>
      <c r="BI92" s="73">
        <f>G92*AP92</f>
        <v>0</v>
      </c>
      <c r="BJ92" s="73">
        <f>G92*H92</f>
        <v>0</v>
      </c>
      <c r="BK92" s="73" t="s">
        <v>695</v>
      </c>
      <c r="BL92" s="48">
        <v>15</v>
      </c>
    </row>
    <row r="93" spans="1:15" ht="12.75">
      <c r="A93" s="18"/>
      <c r="D93" s="66" t="s">
        <v>420</v>
      </c>
      <c r="E93" s="68" t="s">
        <v>590</v>
      </c>
      <c r="G93" s="74">
        <v>140</v>
      </c>
      <c r="N93" s="16"/>
      <c r="O93" s="18"/>
    </row>
    <row r="94" spans="1:64" ht="12.75">
      <c r="A94" s="58" t="s">
        <v>133</v>
      </c>
      <c r="B94" s="64"/>
      <c r="C94" s="64" t="s">
        <v>253</v>
      </c>
      <c r="D94" s="179" t="s">
        <v>421</v>
      </c>
      <c r="E94" s="180"/>
      <c r="F94" s="64" t="s">
        <v>613</v>
      </c>
      <c r="G94" s="73">
        <v>140</v>
      </c>
      <c r="H94" s="183"/>
      <c r="I94" s="73">
        <f>G94*AO94</f>
        <v>0</v>
      </c>
      <c r="J94" s="73">
        <f>G94*AP94</f>
        <v>0</v>
      </c>
      <c r="K94" s="73">
        <f>G94*H94</f>
        <v>0</v>
      </c>
      <c r="L94" s="73">
        <v>0</v>
      </c>
      <c r="M94" s="73">
        <f>G94*L94</f>
        <v>0</v>
      </c>
      <c r="N94" s="85" t="s">
        <v>648</v>
      </c>
      <c r="O94" s="18"/>
      <c r="Z94" s="48">
        <f>IF(AQ94="5",BJ94,0)</f>
        <v>0</v>
      </c>
      <c r="AB94" s="48">
        <f>IF(AQ94="1",BH94,0)</f>
        <v>0</v>
      </c>
      <c r="AC94" s="48">
        <f>IF(AQ94="1",BI94,0)</f>
        <v>0</v>
      </c>
      <c r="AD94" s="48">
        <f>IF(AQ94="7",BH94,0)</f>
        <v>0</v>
      </c>
      <c r="AE94" s="48">
        <f>IF(AQ94="7",BI94,0)</f>
        <v>0</v>
      </c>
      <c r="AF94" s="48">
        <f>IF(AQ94="2",BH94,0)</f>
        <v>0</v>
      </c>
      <c r="AG94" s="48">
        <f>IF(AQ94="2",BI94,0)</f>
        <v>0</v>
      </c>
      <c r="AH94" s="48">
        <f>IF(AQ94="0",BJ94,0)</f>
        <v>0</v>
      </c>
      <c r="AI94" s="80"/>
      <c r="AJ94" s="73">
        <f>IF(AN94=0,K94,0)</f>
        <v>0</v>
      </c>
      <c r="AK94" s="73">
        <f>IF(AN94=15,K94,0)</f>
        <v>0</v>
      </c>
      <c r="AL94" s="73">
        <f>IF(AN94=21,K94,0)</f>
        <v>0</v>
      </c>
      <c r="AN94" s="48">
        <v>21</v>
      </c>
      <c r="AO94" s="48">
        <f>H94*0</f>
        <v>0</v>
      </c>
      <c r="AP94" s="48">
        <f>H94*(1-0)</f>
        <v>0</v>
      </c>
      <c r="AQ94" s="88" t="s">
        <v>81</v>
      </c>
      <c r="AV94" s="48">
        <f>AW94+AX94</f>
        <v>0</v>
      </c>
      <c r="AW94" s="48">
        <f>G94*AO94</f>
        <v>0</v>
      </c>
      <c r="AX94" s="48">
        <f>G94*AP94</f>
        <v>0</v>
      </c>
      <c r="AY94" s="90" t="s">
        <v>663</v>
      </c>
      <c r="AZ94" s="90" t="s">
        <v>684</v>
      </c>
      <c r="BA94" s="80" t="s">
        <v>690</v>
      </c>
      <c r="BC94" s="48">
        <f>AW94+AX94</f>
        <v>0</v>
      </c>
      <c r="BD94" s="48">
        <f>H94/(100-BE94)*100</f>
        <v>0</v>
      </c>
      <c r="BE94" s="48">
        <v>0</v>
      </c>
      <c r="BF94" s="48">
        <f>M94</f>
        <v>0</v>
      </c>
      <c r="BH94" s="73">
        <f>G94*AO94</f>
        <v>0</v>
      </c>
      <c r="BI94" s="73">
        <f>G94*AP94</f>
        <v>0</v>
      </c>
      <c r="BJ94" s="73">
        <f>G94*H94</f>
        <v>0</v>
      </c>
      <c r="BK94" s="73" t="s">
        <v>695</v>
      </c>
      <c r="BL94" s="48">
        <v>15</v>
      </c>
    </row>
    <row r="95" spans="1:15" ht="12.75">
      <c r="A95" s="18"/>
      <c r="D95" s="66" t="s">
        <v>422</v>
      </c>
      <c r="E95" s="68"/>
      <c r="G95" s="74">
        <v>140</v>
      </c>
      <c r="N95" s="16"/>
      <c r="O95" s="18"/>
    </row>
    <row r="96" spans="1:64" ht="12.75">
      <c r="A96" s="58" t="s">
        <v>134</v>
      </c>
      <c r="B96" s="64"/>
      <c r="C96" s="64" t="s">
        <v>252</v>
      </c>
      <c r="D96" s="179" t="s">
        <v>419</v>
      </c>
      <c r="E96" s="180"/>
      <c r="F96" s="64" t="s">
        <v>613</v>
      </c>
      <c r="G96" s="73">
        <v>39</v>
      </c>
      <c r="H96" s="183"/>
      <c r="I96" s="73">
        <f>G96*AO96</f>
        <v>0</v>
      </c>
      <c r="J96" s="73">
        <f>G96*AP96</f>
        <v>0</v>
      </c>
      <c r="K96" s="73">
        <f>G96*H96</f>
        <v>0</v>
      </c>
      <c r="L96" s="73">
        <v>0.00086</v>
      </c>
      <c r="M96" s="73">
        <f>G96*L96</f>
        <v>0.03354</v>
      </c>
      <c r="N96" s="85" t="s">
        <v>647</v>
      </c>
      <c r="O96" s="18"/>
      <c r="Z96" s="48">
        <f>IF(AQ96="5",BJ96,0)</f>
        <v>0</v>
      </c>
      <c r="AB96" s="48">
        <f>IF(AQ96="1",BH96,0)</f>
        <v>0</v>
      </c>
      <c r="AC96" s="48">
        <f>IF(AQ96="1",BI96,0)</f>
        <v>0</v>
      </c>
      <c r="AD96" s="48">
        <f>IF(AQ96="7",BH96,0)</f>
        <v>0</v>
      </c>
      <c r="AE96" s="48">
        <f>IF(AQ96="7",BI96,0)</f>
        <v>0</v>
      </c>
      <c r="AF96" s="48">
        <f>IF(AQ96="2",BH96,0)</f>
        <v>0</v>
      </c>
      <c r="AG96" s="48">
        <f>IF(AQ96="2",BI96,0)</f>
        <v>0</v>
      </c>
      <c r="AH96" s="48">
        <f>IF(AQ96="0",BJ96,0)</f>
        <v>0</v>
      </c>
      <c r="AI96" s="80"/>
      <c r="AJ96" s="73">
        <f>IF(AN96=0,K96,0)</f>
        <v>0</v>
      </c>
      <c r="AK96" s="73">
        <f>IF(AN96=15,K96,0)</f>
        <v>0</v>
      </c>
      <c r="AL96" s="73">
        <f>IF(AN96=21,K96,0)</f>
        <v>0</v>
      </c>
      <c r="AN96" s="48">
        <v>21</v>
      </c>
      <c r="AO96" s="48">
        <f>H96*0.0714989733059548</f>
        <v>0</v>
      </c>
      <c r="AP96" s="48">
        <f>H96*(1-0.0714989733059548)</f>
        <v>0</v>
      </c>
      <c r="AQ96" s="88" t="s">
        <v>81</v>
      </c>
      <c r="AV96" s="48">
        <f>AW96+AX96</f>
        <v>0</v>
      </c>
      <c r="AW96" s="48">
        <f>G96*AO96</f>
        <v>0</v>
      </c>
      <c r="AX96" s="48">
        <f>G96*AP96</f>
        <v>0</v>
      </c>
      <c r="AY96" s="90" t="s">
        <v>663</v>
      </c>
      <c r="AZ96" s="90" t="s">
        <v>684</v>
      </c>
      <c r="BA96" s="80" t="s">
        <v>690</v>
      </c>
      <c r="BC96" s="48">
        <f>AW96+AX96</f>
        <v>0</v>
      </c>
      <c r="BD96" s="48">
        <f>H96/(100-BE96)*100</f>
        <v>0</v>
      </c>
      <c r="BE96" s="48">
        <v>0</v>
      </c>
      <c r="BF96" s="48">
        <f>M96</f>
        <v>0.03354</v>
      </c>
      <c r="BH96" s="73">
        <f>G96*AO96</f>
        <v>0</v>
      </c>
      <c r="BI96" s="73">
        <f>G96*AP96</f>
        <v>0</v>
      </c>
      <c r="BJ96" s="73">
        <f>G96*H96</f>
        <v>0</v>
      </c>
      <c r="BK96" s="73" t="s">
        <v>695</v>
      </c>
      <c r="BL96" s="48">
        <v>15</v>
      </c>
    </row>
    <row r="97" spans="1:15" ht="12.75">
      <c r="A97" s="18"/>
      <c r="D97" s="66" t="s">
        <v>423</v>
      </c>
      <c r="E97" s="68" t="s">
        <v>591</v>
      </c>
      <c r="G97" s="74">
        <v>39</v>
      </c>
      <c r="N97" s="16"/>
      <c r="O97" s="18"/>
    </row>
    <row r="98" spans="1:64" ht="12.75">
      <c r="A98" s="58" t="s">
        <v>135</v>
      </c>
      <c r="B98" s="64"/>
      <c r="C98" s="64" t="s">
        <v>253</v>
      </c>
      <c r="D98" s="179" t="s">
        <v>421</v>
      </c>
      <c r="E98" s="180"/>
      <c r="F98" s="64" t="s">
        <v>613</v>
      </c>
      <c r="G98" s="73">
        <v>39</v>
      </c>
      <c r="H98" s="183"/>
      <c r="I98" s="73">
        <f>G98*AO98</f>
        <v>0</v>
      </c>
      <c r="J98" s="73">
        <f>G98*AP98</f>
        <v>0</v>
      </c>
      <c r="K98" s="73">
        <f>G98*H98</f>
        <v>0</v>
      </c>
      <c r="L98" s="73">
        <v>0</v>
      </c>
      <c r="M98" s="73">
        <f>G98*L98</f>
        <v>0</v>
      </c>
      <c r="N98" s="85" t="s">
        <v>647</v>
      </c>
      <c r="O98" s="18"/>
      <c r="Z98" s="48">
        <f>IF(AQ98="5",BJ98,0)</f>
        <v>0</v>
      </c>
      <c r="AB98" s="48">
        <f>IF(AQ98="1",BH98,0)</f>
        <v>0</v>
      </c>
      <c r="AC98" s="48">
        <f>IF(AQ98="1",BI98,0)</f>
        <v>0</v>
      </c>
      <c r="AD98" s="48">
        <f>IF(AQ98="7",BH98,0)</f>
        <v>0</v>
      </c>
      <c r="AE98" s="48">
        <f>IF(AQ98="7",BI98,0)</f>
        <v>0</v>
      </c>
      <c r="AF98" s="48">
        <f>IF(AQ98="2",BH98,0)</f>
        <v>0</v>
      </c>
      <c r="AG98" s="48">
        <f>IF(AQ98="2",BI98,0)</f>
        <v>0</v>
      </c>
      <c r="AH98" s="48">
        <f>IF(AQ98="0",BJ98,0)</f>
        <v>0</v>
      </c>
      <c r="AI98" s="80"/>
      <c r="AJ98" s="73">
        <f>IF(AN98=0,K98,0)</f>
        <v>0</v>
      </c>
      <c r="AK98" s="73">
        <f>IF(AN98=15,K98,0)</f>
        <v>0</v>
      </c>
      <c r="AL98" s="73">
        <f>IF(AN98=21,K98,0)</f>
        <v>0</v>
      </c>
      <c r="AN98" s="48">
        <v>21</v>
      </c>
      <c r="AO98" s="48">
        <f>H98*0</f>
        <v>0</v>
      </c>
      <c r="AP98" s="48">
        <f>H98*(1-0)</f>
        <v>0</v>
      </c>
      <c r="AQ98" s="88" t="s">
        <v>81</v>
      </c>
      <c r="AV98" s="48">
        <f>AW98+AX98</f>
        <v>0</v>
      </c>
      <c r="AW98" s="48">
        <f>G98*AO98</f>
        <v>0</v>
      </c>
      <c r="AX98" s="48">
        <f>G98*AP98</f>
        <v>0</v>
      </c>
      <c r="AY98" s="90" t="s">
        <v>663</v>
      </c>
      <c r="AZ98" s="90" t="s">
        <v>684</v>
      </c>
      <c r="BA98" s="80" t="s">
        <v>690</v>
      </c>
      <c r="BC98" s="48">
        <f>AW98+AX98</f>
        <v>0</v>
      </c>
      <c r="BD98" s="48">
        <f>H98/(100-BE98)*100</f>
        <v>0</v>
      </c>
      <c r="BE98" s="48">
        <v>0</v>
      </c>
      <c r="BF98" s="48">
        <f>M98</f>
        <v>0</v>
      </c>
      <c r="BH98" s="73">
        <f>G98*AO98</f>
        <v>0</v>
      </c>
      <c r="BI98" s="73">
        <f>G98*AP98</f>
        <v>0</v>
      </c>
      <c r="BJ98" s="73">
        <f>G98*H98</f>
        <v>0</v>
      </c>
      <c r="BK98" s="73" t="s">
        <v>695</v>
      </c>
      <c r="BL98" s="48">
        <v>15</v>
      </c>
    </row>
    <row r="99" spans="1:15" ht="12.75">
      <c r="A99" s="18"/>
      <c r="D99" s="66" t="s">
        <v>139</v>
      </c>
      <c r="E99" s="68"/>
      <c r="G99" s="74">
        <v>39</v>
      </c>
      <c r="N99" s="16"/>
      <c r="O99" s="18"/>
    </row>
    <row r="100" spans="1:47" ht="12.75">
      <c r="A100" s="57"/>
      <c r="B100" s="63"/>
      <c r="C100" s="63" t="s">
        <v>116</v>
      </c>
      <c r="D100" s="177" t="s">
        <v>424</v>
      </c>
      <c r="E100" s="178"/>
      <c r="F100" s="71" t="s">
        <v>78</v>
      </c>
      <c r="G100" s="71" t="s">
        <v>78</v>
      </c>
      <c r="H100" s="71" t="s">
        <v>78</v>
      </c>
      <c r="I100" s="93">
        <f>SUM(I101:I107)</f>
        <v>0</v>
      </c>
      <c r="J100" s="93">
        <f>SUM(J101:J107)</f>
        <v>0</v>
      </c>
      <c r="K100" s="93">
        <f>SUM(K101:K107)</f>
        <v>0</v>
      </c>
      <c r="L100" s="80"/>
      <c r="M100" s="93">
        <f>SUM(M101:M107)</f>
        <v>0</v>
      </c>
      <c r="N100" s="84"/>
      <c r="O100" s="18"/>
      <c r="AI100" s="80"/>
      <c r="AS100" s="93">
        <f>SUM(AJ101:AJ107)</f>
        <v>0</v>
      </c>
      <c r="AT100" s="93">
        <f>SUM(AK101:AK107)</f>
        <v>0</v>
      </c>
      <c r="AU100" s="93">
        <f>SUM(AL101:AL107)</f>
        <v>0</v>
      </c>
    </row>
    <row r="101" spans="1:64" ht="12.75">
      <c r="A101" s="58" t="s">
        <v>136</v>
      </c>
      <c r="B101" s="64"/>
      <c r="C101" s="64" t="s">
        <v>254</v>
      </c>
      <c r="D101" s="179" t="s">
        <v>425</v>
      </c>
      <c r="E101" s="180"/>
      <c r="F101" s="64" t="s">
        <v>614</v>
      </c>
      <c r="G101" s="73">
        <v>352</v>
      </c>
      <c r="H101" s="183"/>
      <c r="I101" s="73">
        <f>G101*AO101</f>
        <v>0</v>
      </c>
      <c r="J101" s="73">
        <f>G101*AP101</f>
        <v>0</v>
      </c>
      <c r="K101" s="73">
        <f>G101*H101</f>
        <v>0</v>
      </c>
      <c r="L101" s="73">
        <v>0</v>
      </c>
      <c r="M101" s="73">
        <f>G101*L101</f>
        <v>0</v>
      </c>
      <c r="N101" s="85" t="s">
        <v>647</v>
      </c>
      <c r="O101" s="18"/>
      <c r="Z101" s="48">
        <f>IF(AQ101="5",BJ101,0)</f>
        <v>0</v>
      </c>
      <c r="AB101" s="48">
        <f>IF(AQ101="1",BH101,0)</f>
        <v>0</v>
      </c>
      <c r="AC101" s="48">
        <f>IF(AQ101="1",BI101,0)</f>
        <v>0</v>
      </c>
      <c r="AD101" s="48">
        <f>IF(AQ101="7",BH101,0)</f>
        <v>0</v>
      </c>
      <c r="AE101" s="48">
        <f>IF(AQ101="7",BI101,0)</f>
        <v>0</v>
      </c>
      <c r="AF101" s="48">
        <f>IF(AQ101="2",BH101,0)</f>
        <v>0</v>
      </c>
      <c r="AG101" s="48">
        <f>IF(AQ101="2",BI101,0)</f>
        <v>0</v>
      </c>
      <c r="AH101" s="48">
        <f>IF(AQ101="0",BJ101,0)</f>
        <v>0</v>
      </c>
      <c r="AI101" s="80"/>
      <c r="AJ101" s="73">
        <f>IF(AN101=0,K101,0)</f>
        <v>0</v>
      </c>
      <c r="AK101" s="73">
        <f>IF(AN101=15,K101,0)</f>
        <v>0</v>
      </c>
      <c r="AL101" s="73">
        <f>IF(AN101=21,K101,0)</f>
        <v>0</v>
      </c>
      <c r="AN101" s="48">
        <v>21</v>
      </c>
      <c r="AO101" s="48">
        <f>H101*0</f>
        <v>0</v>
      </c>
      <c r="AP101" s="48">
        <f>H101*(1-0)</f>
        <v>0</v>
      </c>
      <c r="AQ101" s="88" t="s">
        <v>81</v>
      </c>
      <c r="AV101" s="48">
        <f>AW101+AX101</f>
        <v>0</v>
      </c>
      <c r="AW101" s="48">
        <f>G101*AO101</f>
        <v>0</v>
      </c>
      <c r="AX101" s="48">
        <f>G101*AP101</f>
        <v>0</v>
      </c>
      <c r="AY101" s="90" t="s">
        <v>664</v>
      </c>
      <c r="AZ101" s="90" t="s">
        <v>684</v>
      </c>
      <c r="BA101" s="80" t="s">
        <v>690</v>
      </c>
      <c r="BC101" s="48">
        <f>AW101+AX101</f>
        <v>0</v>
      </c>
      <c r="BD101" s="48">
        <f>H101/(100-BE101)*100</f>
        <v>0</v>
      </c>
      <c r="BE101" s="48">
        <v>0</v>
      </c>
      <c r="BF101" s="48">
        <f>M101</f>
        <v>0</v>
      </c>
      <c r="BH101" s="73">
        <f>G101*AO101</f>
        <v>0</v>
      </c>
      <c r="BI101" s="73">
        <f>G101*AP101</f>
        <v>0</v>
      </c>
      <c r="BJ101" s="73">
        <f>G101*H101</f>
        <v>0</v>
      </c>
      <c r="BK101" s="73" t="s">
        <v>695</v>
      </c>
      <c r="BL101" s="48">
        <v>16</v>
      </c>
    </row>
    <row r="102" spans="1:15" ht="12.75">
      <c r="A102" s="18"/>
      <c r="D102" s="66" t="s">
        <v>385</v>
      </c>
      <c r="E102" s="68"/>
      <c r="G102" s="74">
        <v>352</v>
      </c>
      <c r="N102" s="16"/>
      <c r="O102" s="18"/>
    </row>
    <row r="103" spans="1:64" ht="12.75">
      <c r="A103" s="58" t="s">
        <v>137</v>
      </c>
      <c r="B103" s="64"/>
      <c r="C103" s="64" t="s">
        <v>255</v>
      </c>
      <c r="D103" s="179" t="s">
        <v>426</v>
      </c>
      <c r="E103" s="180"/>
      <c r="F103" s="64" t="s">
        <v>614</v>
      </c>
      <c r="G103" s="73">
        <v>382</v>
      </c>
      <c r="H103" s="183"/>
      <c r="I103" s="73">
        <f>G103*AO103</f>
        <v>0</v>
      </c>
      <c r="J103" s="73">
        <f>G103*AP103</f>
        <v>0</v>
      </c>
      <c r="K103" s="73">
        <f>G103*H103</f>
        <v>0</v>
      </c>
      <c r="L103" s="73">
        <v>0</v>
      </c>
      <c r="M103" s="73">
        <f>G103*L103</f>
        <v>0</v>
      </c>
      <c r="N103" s="85" t="s">
        <v>647</v>
      </c>
      <c r="O103" s="18"/>
      <c r="Z103" s="48">
        <f>IF(AQ103="5",BJ103,0)</f>
        <v>0</v>
      </c>
      <c r="AB103" s="48">
        <f>IF(AQ103="1",BH103,0)</f>
        <v>0</v>
      </c>
      <c r="AC103" s="48">
        <f>IF(AQ103="1",BI103,0)</f>
        <v>0</v>
      </c>
      <c r="AD103" s="48">
        <f>IF(AQ103="7",BH103,0)</f>
        <v>0</v>
      </c>
      <c r="AE103" s="48">
        <f>IF(AQ103="7",BI103,0)</f>
        <v>0</v>
      </c>
      <c r="AF103" s="48">
        <f>IF(AQ103="2",BH103,0)</f>
        <v>0</v>
      </c>
      <c r="AG103" s="48">
        <f>IF(AQ103="2",BI103,0)</f>
        <v>0</v>
      </c>
      <c r="AH103" s="48">
        <f>IF(AQ103="0",BJ103,0)</f>
        <v>0</v>
      </c>
      <c r="AI103" s="80"/>
      <c r="AJ103" s="73">
        <f>IF(AN103=0,K103,0)</f>
        <v>0</v>
      </c>
      <c r="AK103" s="73">
        <f>IF(AN103=15,K103,0)</f>
        <v>0</v>
      </c>
      <c r="AL103" s="73">
        <f>IF(AN103=21,K103,0)</f>
        <v>0</v>
      </c>
      <c r="AN103" s="48">
        <v>21</v>
      </c>
      <c r="AO103" s="48">
        <f>H103*0</f>
        <v>0</v>
      </c>
      <c r="AP103" s="48">
        <f>H103*(1-0)</f>
        <v>0</v>
      </c>
      <c r="AQ103" s="88" t="s">
        <v>81</v>
      </c>
      <c r="AV103" s="48">
        <f>AW103+AX103</f>
        <v>0</v>
      </c>
      <c r="AW103" s="48">
        <f>G103*AO103</f>
        <v>0</v>
      </c>
      <c r="AX103" s="48">
        <f>G103*AP103</f>
        <v>0</v>
      </c>
      <c r="AY103" s="90" t="s">
        <v>664</v>
      </c>
      <c r="AZ103" s="90" t="s">
        <v>684</v>
      </c>
      <c r="BA103" s="80" t="s">
        <v>690</v>
      </c>
      <c r="BC103" s="48">
        <f>AW103+AX103</f>
        <v>0</v>
      </c>
      <c r="BD103" s="48">
        <f>H103/(100-BE103)*100</f>
        <v>0</v>
      </c>
      <c r="BE103" s="48">
        <v>0</v>
      </c>
      <c r="BF103" s="48">
        <f>M103</f>
        <v>0</v>
      </c>
      <c r="BH103" s="73">
        <f>G103*AO103</f>
        <v>0</v>
      </c>
      <c r="BI103" s="73">
        <f>G103*AP103</f>
        <v>0</v>
      </c>
      <c r="BJ103" s="73">
        <f>G103*H103</f>
        <v>0</v>
      </c>
      <c r="BK103" s="73" t="s">
        <v>695</v>
      </c>
      <c r="BL103" s="48">
        <v>16</v>
      </c>
    </row>
    <row r="104" spans="1:15" ht="12.75">
      <c r="A104" s="18"/>
      <c r="D104" s="66" t="s">
        <v>427</v>
      </c>
      <c r="E104" s="68"/>
      <c r="G104" s="74">
        <v>382</v>
      </c>
      <c r="N104" s="16"/>
      <c r="O104" s="18"/>
    </row>
    <row r="105" spans="1:64" ht="12.75">
      <c r="A105" s="58" t="s">
        <v>138</v>
      </c>
      <c r="B105" s="64"/>
      <c r="C105" s="64" t="s">
        <v>256</v>
      </c>
      <c r="D105" s="179" t="s">
        <v>428</v>
      </c>
      <c r="E105" s="180"/>
      <c r="F105" s="64" t="s">
        <v>614</v>
      </c>
      <c r="G105" s="73">
        <v>1528</v>
      </c>
      <c r="H105" s="183"/>
      <c r="I105" s="73">
        <f>G105*AO105</f>
        <v>0</v>
      </c>
      <c r="J105" s="73">
        <f>G105*AP105</f>
        <v>0</v>
      </c>
      <c r="K105" s="73">
        <f>G105*H105</f>
        <v>0</v>
      </c>
      <c r="L105" s="73">
        <v>0</v>
      </c>
      <c r="M105" s="73">
        <f>G105*L105</f>
        <v>0</v>
      </c>
      <c r="N105" s="85" t="s">
        <v>647</v>
      </c>
      <c r="O105" s="18"/>
      <c r="Z105" s="48">
        <f>IF(AQ105="5",BJ105,0)</f>
        <v>0</v>
      </c>
      <c r="AB105" s="48">
        <f>IF(AQ105="1",BH105,0)</f>
        <v>0</v>
      </c>
      <c r="AC105" s="48">
        <f>IF(AQ105="1",BI105,0)</f>
        <v>0</v>
      </c>
      <c r="AD105" s="48">
        <f>IF(AQ105="7",BH105,0)</f>
        <v>0</v>
      </c>
      <c r="AE105" s="48">
        <f>IF(AQ105="7",BI105,0)</f>
        <v>0</v>
      </c>
      <c r="AF105" s="48">
        <f>IF(AQ105="2",BH105,0)</f>
        <v>0</v>
      </c>
      <c r="AG105" s="48">
        <f>IF(AQ105="2",BI105,0)</f>
        <v>0</v>
      </c>
      <c r="AH105" s="48">
        <f>IF(AQ105="0",BJ105,0)</f>
        <v>0</v>
      </c>
      <c r="AI105" s="80"/>
      <c r="AJ105" s="73">
        <f>IF(AN105=0,K105,0)</f>
        <v>0</v>
      </c>
      <c r="AK105" s="73">
        <f>IF(AN105=15,K105,0)</f>
        <v>0</v>
      </c>
      <c r="AL105" s="73">
        <f>IF(AN105=21,K105,0)</f>
        <v>0</v>
      </c>
      <c r="AN105" s="48">
        <v>21</v>
      </c>
      <c r="AO105" s="48">
        <f>H105*0</f>
        <v>0</v>
      </c>
      <c r="AP105" s="48">
        <f>H105*(1-0)</f>
        <v>0</v>
      </c>
      <c r="AQ105" s="88" t="s">
        <v>81</v>
      </c>
      <c r="AV105" s="48">
        <f>AW105+AX105</f>
        <v>0</v>
      </c>
      <c r="AW105" s="48">
        <f>G105*AO105</f>
        <v>0</v>
      </c>
      <c r="AX105" s="48">
        <f>G105*AP105</f>
        <v>0</v>
      </c>
      <c r="AY105" s="90" t="s">
        <v>664</v>
      </c>
      <c r="AZ105" s="90" t="s">
        <v>684</v>
      </c>
      <c r="BA105" s="80" t="s">
        <v>690</v>
      </c>
      <c r="BC105" s="48">
        <f>AW105+AX105</f>
        <v>0</v>
      </c>
      <c r="BD105" s="48">
        <f>H105/(100-BE105)*100</f>
        <v>0</v>
      </c>
      <c r="BE105" s="48">
        <v>0</v>
      </c>
      <c r="BF105" s="48">
        <f>M105</f>
        <v>0</v>
      </c>
      <c r="BH105" s="73">
        <f>G105*AO105</f>
        <v>0</v>
      </c>
      <c r="BI105" s="73">
        <f>G105*AP105</f>
        <v>0</v>
      </c>
      <c r="BJ105" s="73">
        <f>G105*H105</f>
        <v>0</v>
      </c>
      <c r="BK105" s="73" t="s">
        <v>695</v>
      </c>
      <c r="BL105" s="48">
        <v>16</v>
      </c>
    </row>
    <row r="106" spans="1:15" ht="12.75">
      <c r="A106" s="18"/>
      <c r="D106" s="66" t="s">
        <v>429</v>
      </c>
      <c r="E106" s="68"/>
      <c r="G106" s="74">
        <v>1528</v>
      </c>
      <c r="N106" s="16"/>
      <c r="O106" s="18"/>
    </row>
    <row r="107" spans="1:64" ht="12.75">
      <c r="A107" s="58" t="s">
        <v>139</v>
      </c>
      <c r="B107" s="64"/>
      <c r="C107" s="64" t="s">
        <v>257</v>
      </c>
      <c r="D107" s="179" t="s">
        <v>430</v>
      </c>
      <c r="E107" s="180"/>
      <c r="F107" s="64" t="s">
        <v>614</v>
      </c>
      <c r="G107" s="73">
        <v>30</v>
      </c>
      <c r="H107" s="183"/>
      <c r="I107" s="73">
        <f>G107*AO107</f>
        <v>0</v>
      </c>
      <c r="J107" s="73">
        <f>G107*AP107</f>
        <v>0</v>
      </c>
      <c r="K107" s="73">
        <f>G107*H107</f>
        <v>0</v>
      </c>
      <c r="L107" s="73">
        <v>0</v>
      </c>
      <c r="M107" s="73">
        <f>G107*L107</f>
        <v>0</v>
      </c>
      <c r="N107" s="85" t="s">
        <v>647</v>
      </c>
      <c r="O107" s="18"/>
      <c r="Z107" s="48">
        <f>IF(AQ107="5",BJ107,0)</f>
        <v>0</v>
      </c>
      <c r="AB107" s="48">
        <f>IF(AQ107="1",BH107,0)</f>
        <v>0</v>
      </c>
      <c r="AC107" s="48">
        <f>IF(AQ107="1",BI107,0)</f>
        <v>0</v>
      </c>
      <c r="AD107" s="48">
        <f>IF(AQ107="7",BH107,0)</f>
        <v>0</v>
      </c>
      <c r="AE107" s="48">
        <f>IF(AQ107="7",BI107,0)</f>
        <v>0</v>
      </c>
      <c r="AF107" s="48">
        <f>IF(AQ107="2",BH107,0)</f>
        <v>0</v>
      </c>
      <c r="AG107" s="48">
        <f>IF(AQ107="2",BI107,0)</f>
        <v>0</v>
      </c>
      <c r="AH107" s="48">
        <f>IF(AQ107="0",BJ107,0)</f>
        <v>0</v>
      </c>
      <c r="AI107" s="80"/>
      <c r="AJ107" s="73">
        <f>IF(AN107=0,K107,0)</f>
        <v>0</v>
      </c>
      <c r="AK107" s="73">
        <f>IF(AN107=15,K107,0)</f>
        <v>0</v>
      </c>
      <c r="AL107" s="73">
        <f>IF(AN107=21,K107,0)</f>
        <v>0</v>
      </c>
      <c r="AN107" s="48">
        <v>21</v>
      </c>
      <c r="AO107" s="48">
        <f>H107*0</f>
        <v>0</v>
      </c>
      <c r="AP107" s="48">
        <f>H107*(1-0)</f>
        <v>0</v>
      </c>
      <c r="AQ107" s="88" t="s">
        <v>81</v>
      </c>
      <c r="AV107" s="48">
        <f>AW107+AX107</f>
        <v>0</v>
      </c>
      <c r="AW107" s="48">
        <f>G107*AO107</f>
        <v>0</v>
      </c>
      <c r="AX107" s="48">
        <f>G107*AP107</f>
        <v>0</v>
      </c>
      <c r="AY107" s="90" t="s">
        <v>664</v>
      </c>
      <c r="AZ107" s="90" t="s">
        <v>684</v>
      </c>
      <c r="BA107" s="80" t="s">
        <v>690</v>
      </c>
      <c r="BC107" s="48">
        <f>AW107+AX107</f>
        <v>0</v>
      </c>
      <c r="BD107" s="48">
        <f>H107/(100-BE107)*100</f>
        <v>0</v>
      </c>
      <c r="BE107" s="48">
        <v>0</v>
      </c>
      <c r="BF107" s="48">
        <f>M107</f>
        <v>0</v>
      </c>
      <c r="BH107" s="73">
        <f>G107*AO107</f>
        <v>0</v>
      </c>
      <c r="BI107" s="73">
        <f>G107*AP107</f>
        <v>0</v>
      </c>
      <c r="BJ107" s="73">
        <f>G107*H107</f>
        <v>0</v>
      </c>
      <c r="BK107" s="73" t="s">
        <v>695</v>
      </c>
      <c r="BL107" s="48">
        <v>16</v>
      </c>
    </row>
    <row r="108" spans="1:15" ht="12.75">
      <c r="A108" s="18"/>
      <c r="D108" s="66" t="s">
        <v>130</v>
      </c>
      <c r="E108" s="68"/>
      <c r="G108" s="74">
        <v>30</v>
      </c>
      <c r="N108" s="16"/>
      <c r="O108" s="18"/>
    </row>
    <row r="109" spans="1:47" ht="12.75">
      <c r="A109" s="57"/>
      <c r="B109" s="63"/>
      <c r="C109" s="63" t="s">
        <v>117</v>
      </c>
      <c r="D109" s="177" t="s">
        <v>431</v>
      </c>
      <c r="E109" s="178"/>
      <c r="F109" s="71" t="s">
        <v>78</v>
      </c>
      <c r="G109" s="71" t="s">
        <v>78</v>
      </c>
      <c r="H109" s="71" t="s">
        <v>78</v>
      </c>
      <c r="I109" s="93">
        <f>SUM(I110:I112)</f>
        <v>0</v>
      </c>
      <c r="J109" s="93">
        <f>SUM(J110:J112)</f>
        <v>0</v>
      </c>
      <c r="K109" s="93">
        <f>SUM(K110:K112)</f>
        <v>0</v>
      </c>
      <c r="L109" s="80"/>
      <c r="M109" s="93">
        <f>SUM(M110:M112)</f>
        <v>687.6</v>
      </c>
      <c r="N109" s="84"/>
      <c r="O109" s="18"/>
      <c r="AI109" s="80"/>
      <c r="AS109" s="93">
        <f>SUM(AJ110:AJ112)</f>
        <v>0</v>
      </c>
      <c r="AT109" s="93">
        <f>SUM(AK110:AK112)</f>
        <v>0</v>
      </c>
      <c r="AU109" s="93">
        <f>SUM(AL110:AL112)</f>
        <v>0</v>
      </c>
    </row>
    <row r="110" spans="1:64" ht="12.75">
      <c r="A110" s="58" t="s">
        <v>140</v>
      </c>
      <c r="B110" s="64"/>
      <c r="C110" s="64" t="s">
        <v>258</v>
      </c>
      <c r="D110" s="179" t="s">
        <v>432</v>
      </c>
      <c r="E110" s="180"/>
      <c r="F110" s="64" t="s">
        <v>614</v>
      </c>
      <c r="G110" s="73">
        <v>382</v>
      </c>
      <c r="H110" s="183"/>
      <c r="I110" s="73">
        <f>G110*AO110</f>
        <v>0</v>
      </c>
      <c r="J110" s="73">
        <f>G110*AP110</f>
        <v>0</v>
      </c>
      <c r="K110" s="73">
        <f>G110*H110</f>
        <v>0</v>
      </c>
      <c r="L110" s="73">
        <v>0</v>
      </c>
      <c r="M110" s="73">
        <f>G110*L110</f>
        <v>0</v>
      </c>
      <c r="N110" s="85" t="s">
        <v>647</v>
      </c>
      <c r="O110" s="18"/>
      <c r="Z110" s="48">
        <f>IF(AQ110="5",BJ110,0)</f>
        <v>0</v>
      </c>
      <c r="AB110" s="48">
        <f>IF(AQ110="1",BH110,0)</f>
        <v>0</v>
      </c>
      <c r="AC110" s="48">
        <f>IF(AQ110="1",BI110,0)</f>
        <v>0</v>
      </c>
      <c r="AD110" s="48">
        <f>IF(AQ110="7",BH110,0)</f>
        <v>0</v>
      </c>
      <c r="AE110" s="48">
        <f>IF(AQ110="7",BI110,0)</f>
        <v>0</v>
      </c>
      <c r="AF110" s="48">
        <f>IF(AQ110="2",BH110,0)</f>
        <v>0</v>
      </c>
      <c r="AG110" s="48">
        <f>IF(AQ110="2",BI110,0)</f>
        <v>0</v>
      </c>
      <c r="AH110" s="48">
        <f>IF(AQ110="0",BJ110,0)</f>
        <v>0</v>
      </c>
      <c r="AI110" s="80"/>
      <c r="AJ110" s="73">
        <f>IF(AN110=0,K110,0)</f>
        <v>0</v>
      </c>
      <c r="AK110" s="73">
        <f>IF(AN110=15,K110,0)</f>
        <v>0</v>
      </c>
      <c r="AL110" s="73">
        <f>IF(AN110=21,K110,0)</f>
        <v>0</v>
      </c>
      <c r="AN110" s="48">
        <v>21</v>
      </c>
      <c r="AO110" s="48">
        <f>H110*0</f>
        <v>0</v>
      </c>
      <c r="AP110" s="48">
        <f>H110*(1-0)</f>
        <v>0</v>
      </c>
      <c r="AQ110" s="88" t="s">
        <v>81</v>
      </c>
      <c r="AV110" s="48">
        <f>AW110+AX110</f>
        <v>0</v>
      </c>
      <c r="AW110" s="48">
        <f>G110*AO110</f>
        <v>0</v>
      </c>
      <c r="AX110" s="48">
        <f>G110*AP110</f>
        <v>0</v>
      </c>
      <c r="AY110" s="90" t="s">
        <v>665</v>
      </c>
      <c r="AZ110" s="90" t="s">
        <v>684</v>
      </c>
      <c r="BA110" s="80" t="s">
        <v>690</v>
      </c>
      <c r="BC110" s="48">
        <f>AW110+AX110</f>
        <v>0</v>
      </c>
      <c r="BD110" s="48">
        <f>H110/(100-BE110)*100</f>
        <v>0</v>
      </c>
      <c r="BE110" s="48">
        <v>0</v>
      </c>
      <c r="BF110" s="48">
        <f>M110</f>
        <v>0</v>
      </c>
      <c r="BH110" s="73">
        <f>G110*AO110</f>
        <v>0</v>
      </c>
      <c r="BI110" s="73">
        <f>G110*AP110</f>
        <v>0</v>
      </c>
      <c r="BJ110" s="73">
        <f>G110*H110</f>
        <v>0</v>
      </c>
      <c r="BK110" s="73" t="s">
        <v>695</v>
      </c>
      <c r="BL110" s="48">
        <v>17</v>
      </c>
    </row>
    <row r="111" spans="1:15" ht="12.75">
      <c r="A111" s="18"/>
      <c r="D111" s="66" t="s">
        <v>427</v>
      </c>
      <c r="E111" s="68"/>
      <c r="G111" s="74">
        <v>382</v>
      </c>
      <c r="N111" s="16"/>
      <c r="O111" s="18"/>
    </row>
    <row r="112" spans="1:64" ht="12.75">
      <c r="A112" s="59" t="s">
        <v>141</v>
      </c>
      <c r="B112" s="65"/>
      <c r="C112" s="65" t="s">
        <v>259</v>
      </c>
      <c r="D112" s="181" t="s">
        <v>433</v>
      </c>
      <c r="E112" s="182"/>
      <c r="F112" s="65" t="s">
        <v>615</v>
      </c>
      <c r="G112" s="75">
        <v>687.6</v>
      </c>
      <c r="H112" s="184"/>
      <c r="I112" s="75">
        <f>G112*AO112</f>
        <v>0</v>
      </c>
      <c r="J112" s="75">
        <f>G112*AP112</f>
        <v>0</v>
      </c>
      <c r="K112" s="75">
        <f>G112*H112</f>
        <v>0</v>
      </c>
      <c r="L112" s="75">
        <v>1</v>
      </c>
      <c r="M112" s="75">
        <f>G112*L112</f>
        <v>687.6</v>
      </c>
      <c r="N112" s="86" t="s">
        <v>647</v>
      </c>
      <c r="O112" s="18"/>
      <c r="Z112" s="48">
        <f>IF(AQ112="5",BJ112,0)</f>
        <v>0</v>
      </c>
      <c r="AB112" s="48">
        <f>IF(AQ112="1",BH112,0)</f>
        <v>0</v>
      </c>
      <c r="AC112" s="48">
        <f>IF(AQ112="1",BI112,0)</f>
        <v>0</v>
      </c>
      <c r="AD112" s="48">
        <f>IF(AQ112="7",BH112,0)</f>
        <v>0</v>
      </c>
      <c r="AE112" s="48">
        <f>IF(AQ112="7",BI112,0)</f>
        <v>0</v>
      </c>
      <c r="AF112" s="48">
        <f>IF(AQ112="2",BH112,0)</f>
        <v>0</v>
      </c>
      <c r="AG112" s="48">
        <f>IF(AQ112="2",BI112,0)</f>
        <v>0</v>
      </c>
      <c r="AH112" s="48">
        <f>IF(AQ112="0",BJ112,0)</f>
        <v>0</v>
      </c>
      <c r="AI112" s="80"/>
      <c r="AJ112" s="75">
        <f>IF(AN112=0,K112,0)</f>
        <v>0</v>
      </c>
      <c r="AK112" s="75">
        <f>IF(AN112=15,K112,0)</f>
        <v>0</v>
      </c>
      <c r="AL112" s="75">
        <f>IF(AN112=21,K112,0)</f>
        <v>0</v>
      </c>
      <c r="AN112" s="48">
        <v>21</v>
      </c>
      <c r="AO112" s="48">
        <f>H112*1</f>
        <v>0</v>
      </c>
      <c r="AP112" s="48">
        <f>H112*(1-1)</f>
        <v>0</v>
      </c>
      <c r="AQ112" s="89" t="s">
        <v>81</v>
      </c>
      <c r="AV112" s="48">
        <f>AW112+AX112</f>
        <v>0</v>
      </c>
      <c r="AW112" s="48">
        <f>G112*AO112</f>
        <v>0</v>
      </c>
      <c r="AX112" s="48">
        <f>G112*AP112</f>
        <v>0</v>
      </c>
      <c r="AY112" s="90" t="s">
        <v>665</v>
      </c>
      <c r="AZ112" s="90" t="s">
        <v>684</v>
      </c>
      <c r="BA112" s="80" t="s">
        <v>690</v>
      </c>
      <c r="BC112" s="48">
        <f>AW112+AX112</f>
        <v>0</v>
      </c>
      <c r="BD112" s="48">
        <f>H112/(100-BE112)*100</f>
        <v>0</v>
      </c>
      <c r="BE112" s="48">
        <v>0</v>
      </c>
      <c r="BF112" s="48">
        <f>M112</f>
        <v>687.6</v>
      </c>
      <c r="BH112" s="75">
        <f>G112*AO112</f>
        <v>0</v>
      </c>
      <c r="BI112" s="75">
        <f>G112*AP112</f>
        <v>0</v>
      </c>
      <c r="BJ112" s="75">
        <f>G112*H112</f>
        <v>0</v>
      </c>
      <c r="BK112" s="75" t="s">
        <v>696</v>
      </c>
      <c r="BL112" s="48">
        <v>17</v>
      </c>
    </row>
    <row r="113" spans="1:15" ht="12.75">
      <c r="A113" s="18"/>
      <c r="D113" s="66" t="s">
        <v>434</v>
      </c>
      <c r="E113" s="68"/>
      <c r="G113" s="74" t="s">
        <v>627</v>
      </c>
      <c r="N113" s="16"/>
      <c r="O113" s="18"/>
    </row>
    <row r="114" spans="1:47" ht="12.75">
      <c r="A114" s="57"/>
      <c r="B114" s="63"/>
      <c r="C114" s="63" t="s">
        <v>118</v>
      </c>
      <c r="D114" s="177" t="s">
        <v>435</v>
      </c>
      <c r="E114" s="178"/>
      <c r="F114" s="71" t="s">
        <v>78</v>
      </c>
      <c r="G114" s="71" t="s">
        <v>78</v>
      </c>
      <c r="H114" s="71" t="s">
        <v>78</v>
      </c>
      <c r="I114" s="93">
        <f>SUM(I115:I119)</f>
        <v>0</v>
      </c>
      <c r="J114" s="93">
        <f>SUM(J115:J119)</f>
        <v>0</v>
      </c>
      <c r="K114" s="93">
        <f>SUM(K115:K119)</f>
        <v>0</v>
      </c>
      <c r="L114" s="80"/>
      <c r="M114" s="93">
        <f>SUM(M115:M119)</f>
        <v>0</v>
      </c>
      <c r="N114" s="84"/>
      <c r="O114" s="18"/>
      <c r="AI114" s="80"/>
      <c r="AS114" s="93">
        <f>SUM(AJ115:AJ119)</f>
        <v>0</v>
      </c>
      <c r="AT114" s="93">
        <f>SUM(AK115:AK119)</f>
        <v>0</v>
      </c>
      <c r="AU114" s="93">
        <f>SUM(AL115:AL119)</f>
        <v>0</v>
      </c>
    </row>
    <row r="115" spans="1:64" ht="12.75">
      <c r="A115" s="58" t="s">
        <v>142</v>
      </c>
      <c r="B115" s="64"/>
      <c r="C115" s="64" t="s">
        <v>260</v>
      </c>
      <c r="D115" s="179" t="s">
        <v>436</v>
      </c>
      <c r="E115" s="180"/>
      <c r="F115" s="64" t="s">
        <v>613</v>
      </c>
      <c r="G115" s="73">
        <v>100</v>
      </c>
      <c r="H115" s="183"/>
      <c r="I115" s="73">
        <f>G115*AO115</f>
        <v>0</v>
      </c>
      <c r="J115" s="73">
        <f>G115*AP115</f>
        <v>0</v>
      </c>
      <c r="K115" s="73">
        <f>G115*H115</f>
        <v>0</v>
      </c>
      <c r="L115" s="73">
        <v>0</v>
      </c>
      <c r="M115" s="73">
        <f>G115*L115</f>
        <v>0</v>
      </c>
      <c r="N115" s="85" t="s">
        <v>648</v>
      </c>
      <c r="O115" s="18"/>
      <c r="Z115" s="48">
        <f>IF(AQ115="5",BJ115,0)</f>
        <v>0</v>
      </c>
      <c r="AB115" s="48">
        <f>IF(AQ115="1",BH115,0)</f>
        <v>0</v>
      </c>
      <c r="AC115" s="48">
        <f>IF(AQ115="1",BI115,0)</f>
        <v>0</v>
      </c>
      <c r="AD115" s="48">
        <f>IF(AQ115="7",BH115,0)</f>
        <v>0</v>
      </c>
      <c r="AE115" s="48">
        <f>IF(AQ115="7",BI115,0)</f>
        <v>0</v>
      </c>
      <c r="AF115" s="48">
        <f>IF(AQ115="2",BH115,0)</f>
        <v>0</v>
      </c>
      <c r="AG115" s="48">
        <f>IF(AQ115="2",BI115,0)</f>
        <v>0</v>
      </c>
      <c r="AH115" s="48">
        <f>IF(AQ115="0",BJ115,0)</f>
        <v>0</v>
      </c>
      <c r="AI115" s="80"/>
      <c r="AJ115" s="73">
        <f>IF(AN115=0,K115,0)</f>
        <v>0</v>
      </c>
      <c r="AK115" s="73">
        <f>IF(AN115=15,K115,0)</f>
        <v>0</v>
      </c>
      <c r="AL115" s="73">
        <f>IF(AN115=21,K115,0)</f>
        <v>0</v>
      </c>
      <c r="AN115" s="48">
        <v>21</v>
      </c>
      <c r="AO115" s="48">
        <f>H115*0</f>
        <v>0</v>
      </c>
      <c r="AP115" s="48">
        <f>H115*(1-0)</f>
        <v>0</v>
      </c>
      <c r="AQ115" s="88" t="s">
        <v>81</v>
      </c>
      <c r="AV115" s="48">
        <f>AW115+AX115</f>
        <v>0</v>
      </c>
      <c r="AW115" s="48">
        <f>G115*AO115</f>
        <v>0</v>
      </c>
      <c r="AX115" s="48">
        <f>G115*AP115</f>
        <v>0</v>
      </c>
      <c r="AY115" s="90" t="s">
        <v>666</v>
      </c>
      <c r="AZ115" s="90" t="s">
        <v>684</v>
      </c>
      <c r="BA115" s="80" t="s">
        <v>690</v>
      </c>
      <c r="BC115" s="48">
        <f>AW115+AX115</f>
        <v>0</v>
      </c>
      <c r="BD115" s="48">
        <f>H115/(100-BE115)*100</f>
        <v>0</v>
      </c>
      <c r="BE115" s="48">
        <v>0</v>
      </c>
      <c r="BF115" s="48">
        <f>M115</f>
        <v>0</v>
      </c>
      <c r="BH115" s="73">
        <f>G115*AO115</f>
        <v>0</v>
      </c>
      <c r="BI115" s="73">
        <f>G115*AP115</f>
        <v>0</v>
      </c>
      <c r="BJ115" s="73">
        <f>G115*H115</f>
        <v>0</v>
      </c>
      <c r="BK115" s="73" t="s">
        <v>695</v>
      </c>
      <c r="BL115" s="48">
        <v>18</v>
      </c>
    </row>
    <row r="116" spans="1:15" ht="12.75">
      <c r="A116" s="18"/>
      <c r="D116" s="66" t="s">
        <v>437</v>
      </c>
      <c r="E116" s="68" t="s">
        <v>592</v>
      </c>
      <c r="G116" s="74">
        <v>100</v>
      </c>
      <c r="N116" s="16"/>
      <c r="O116" s="18"/>
    </row>
    <row r="117" spans="1:64" ht="12.75">
      <c r="A117" s="58" t="s">
        <v>143</v>
      </c>
      <c r="B117" s="64"/>
      <c r="C117" s="64" t="s">
        <v>261</v>
      </c>
      <c r="D117" s="179" t="s">
        <v>438</v>
      </c>
      <c r="E117" s="180"/>
      <c r="F117" s="64" t="s">
        <v>613</v>
      </c>
      <c r="G117" s="73">
        <v>100</v>
      </c>
      <c r="H117" s="183"/>
      <c r="I117" s="73">
        <f>G117*AO117</f>
        <v>0</v>
      </c>
      <c r="J117" s="73">
        <f>G117*AP117</f>
        <v>0</v>
      </c>
      <c r="K117" s="73">
        <f>G117*H117</f>
        <v>0</v>
      </c>
      <c r="L117" s="73">
        <v>0</v>
      </c>
      <c r="M117" s="73">
        <f>G117*L117</f>
        <v>0</v>
      </c>
      <c r="N117" s="85" t="s">
        <v>648</v>
      </c>
      <c r="O117" s="18"/>
      <c r="Z117" s="48">
        <f>IF(AQ117="5",BJ117,0)</f>
        <v>0</v>
      </c>
      <c r="AB117" s="48">
        <f>IF(AQ117="1",BH117,0)</f>
        <v>0</v>
      </c>
      <c r="AC117" s="48">
        <f>IF(AQ117="1",BI117,0)</f>
        <v>0</v>
      </c>
      <c r="AD117" s="48">
        <f>IF(AQ117="7",BH117,0)</f>
        <v>0</v>
      </c>
      <c r="AE117" s="48">
        <f>IF(AQ117="7",BI117,0)</f>
        <v>0</v>
      </c>
      <c r="AF117" s="48">
        <f>IF(AQ117="2",BH117,0)</f>
        <v>0</v>
      </c>
      <c r="AG117" s="48">
        <f>IF(AQ117="2",BI117,0)</f>
        <v>0</v>
      </c>
      <c r="AH117" s="48">
        <f>IF(AQ117="0",BJ117,0)</f>
        <v>0</v>
      </c>
      <c r="AI117" s="80"/>
      <c r="AJ117" s="73">
        <f>IF(AN117=0,K117,0)</f>
        <v>0</v>
      </c>
      <c r="AK117" s="73">
        <f>IF(AN117=15,K117,0)</f>
        <v>0</v>
      </c>
      <c r="AL117" s="73">
        <f>IF(AN117=21,K117,0)</f>
        <v>0</v>
      </c>
      <c r="AN117" s="48">
        <v>21</v>
      </c>
      <c r="AO117" s="48">
        <f>H117*0.0698924731182796</f>
        <v>0</v>
      </c>
      <c r="AP117" s="48">
        <f>H117*(1-0.0698924731182796)</f>
        <v>0</v>
      </c>
      <c r="AQ117" s="88" t="s">
        <v>81</v>
      </c>
      <c r="AV117" s="48">
        <f>AW117+AX117</f>
        <v>0</v>
      </c>
      <c r="AW117" s="48">
        <f>G117*AO117</f>
        <v>0</v>
      </c>
      <c r="AX117" s="48">
        <f>G117*AP117</f>
        <v>0</v>
      </c>
      <c r="AY117" s="90" t="s">
        <v>666</v>
      </c>
      <c r="AZ117" s="90" t="s">
        <v>684</v>
      </c>
      <c r="BA117" s="80" t="s">
        <v>690</v>
      </c>
      <c r="BC117" s="48">
        <f>AW117+AX117</f>
        <v>0</v>
      </c>
      <c r="BD117" s="48">
        <f>H117/(100-BE117)*100</f>
        <v>0</v>
      </c>
      <c r="BE117" s="48">
        <v>0</v>
      </c>
      <c r="BF117" s="48">
        <f>M117</f>
        <v>0</v>
      </c>
      <c r="BH117" s="73">
        <f>G117*AO117</f>
        <v>0</v>
      </c>
      <c r="BI117" s="73">
        <f>G117*AP117</f>
        <v>0</v>
      </c>
      <c r="BJ117" s="73">
        <f>G117*H117</f>
        <v>0</v>
      </c>
      <c r="BK117" s="73" t="s">
        <v>695</v>
      </c>
      <c r="BL117" s="48">
        <v>18</v>
      </c>
    </row>
    <row r="118" spans="1:15" ht="12.75">
      <c r="A118" s="18"/>
      <c r="D118" s="66" t="s">
        <v>199</v>
      </c>
      <c r="E118" s="68" t="s">
        <v>592</v>
      </c>
      <c r="G118" s="74">
        <v>100</v>
      </c>
      <c r="N118" s="16"/>
      <c r="O118" s="18"/>
    </row>
    <row r="119" spans="1:64" ht="12.75">
      <c r="A119" s="59" t="s">
        <v>144</v>
      </c>
      <c r="B119" s="65"/>
      <c r="C119" s="65" t="s">
        <v>262</v>
      </c>
      <c r="D119" s="181" t="s">
        <v>439</v>
      </c>
      <c r="E119" s="182"/>
      <c r="F119" s="65" t="s">
        <v>616</v>
      </c>
      <c r="G119" s="75">
        <v>15</v>
      </c>
      <c r="H119" s="184"/>
      <c r="I119" s="75">
        <f>G119*AO119</f>
        <v>0</v>
      </c>
      <c r="J119" s="75">
        <f>G119*AP119</f>
        <v>0</v>
      </c>
      <c r="K119" s="75">
        <f>G119*H119</f>
        <v>0</v>
      </c>
      <c r="L119" s="75">
        <v>0</v>
      </c>
      <c r="M119" s="75">
        <f>G119*L119</f>
        <v>0</v>
      </c>
      <c r="N119" s="86" t="s">
        <v>648</v>
      </c>
      <c r="O119" s="18"/>
      <c r="Z119" s="48">
        <f>IF(AQ119="5",BJ119,0)</f>
        <v>0</v>
      </c>
      <c r="AB119" s="48">
        <f>IF(AQ119="1",BH119,0)</f>
        <v>0</v>
      </c>
      <c r="AC119" s="48">
        <f>IF(AQ119="1",BI119,0)</f>
        <v>0</v>
      </c>
      <c r="AD119" s="48">
        <f>IF(AQ119="7",BH119,0)</f>
        <v>0</v>
      </c>
      <c r="AE119" s="48">
        <f>IF(AQ119="7",BI119,0)</f>
        <v>0</v>
      </c>
      <c r="AF119" s="48">
        <f>IF(AQ119="2",BH119,0)</f>
        <v>0</v>
      </c>
      <c r="AG119" s="48">
        <f>IF(AQ119="2",BI119,0)</f>
        <v>0</v>
      </c>
      <c r="AH119" s="48">
        <f>IF(AQ119="0",BJ119,0)</f>
        <v>0</v>
      </c>
      <c r="AI119" s="80"/>
      <c r="AJ119" s="75">
        <f>IF(AN119=0,K119,0)</f>
        <v>0</v>
      </c>
      <c r="AK119" s="75">
        <f>IF(AN119=15,K119,0)</f>
        <v>0</v>
      </c>
      <c r="AL119" s="75">
        <f>IF(AN119=21,K119,0)</f>
        <v>0</v>
      </c>
      <c r="AN119" s="48">
        <v>21</v>
      </c>
      <c r="AO119" s="48">
        <f>H119*1</f>
        <v>0</v>
      </c>
      <c r="AP119" s="48">
        <f>H119*(1-1)</f>
        <v>0</v>
      </c>
      <c r="AQ119" s="89" t="s">
        <v>81</v>
      </c>
      <c r="AV119" s="48">
        <f>AW119+AX119</f>
        <v>0</v>
      </c>
      <c r="AW119" s="48">
        <f>G119*AO119</f>
        <v>0</v>
      </c>
      <c r="AX119" s="48">
        <f>G119*AP119</f>
        <v>0</v>
      </c>
      <c r="AY119" s="90" t="s">
        <v>666</v>
      </c>
      <c r="AZ119" s="90" t="s">
        <v>684</v>
      </c>
      <c r="BA119" s="80" t="s">
        <v>690</v>
      </c>
      <c r="BC119" s="48">
        <f>AW119+AX119</f>
        <v>0</v>
      </c>
      <c r="BD119" s="48">
        <f>H119/(100-BE119)*100</f>
        <v>0</v>
      </c>
      <c r="BE119" s="48">
        <v>0</v>
      </c>
      <c r="BF119" s="48">
        <f>M119</f>
        <v>0</v>
      </c>
      <c r="BH119" s="75">
        <f>G119*AO119</f>
        <v>0</v>
      </c>
      <c r="BI119" s="75">
        <f>G119*AP119</f>
        <v>0</v>
      </c>
      <c r="BJ119" s="75">
        <f>G119*H119</f>
        <v>0</v>
      </c>
      <c r="BK119" s="75" t="s">
        <v>696</v>
      </c>
      <c r="BL119" s="48">
        <v>18</v>
      </c>
    </row>
    <row r="120" spans="1:15" ht="12.75">
      <c r="A120" s="18"/>
      <c r="D120" s="66" t="s">
        <v>440</v>
      </c>
      <c r="E120" s="68"/>
      <c r="G120" s="74">
        <v>15</v>
      </c>
      <c r="N120" s="16"/>
      <c r="O120" s="18"/>
    </row>
    <row r="121" spans="1:47" ht="12.75">
      <c r="A121" s="57"/>
      <c r="B121" s="63"/>
      <c r="C121" s="63" t="s">
        <v>145</v>
      </c>
      <c r="D121" s="177" t="s">
        <v>441</v>
      </c>
      <c r="E121" s="178"/>
      <c r="F121" s="71" t="s">
        <v>78</v>
      </c>
      <c r="G121" s="71" t="s">
        <v>78</v>
      </c>
      <c r="H121" s="71" t="s">
        <v>78</v>
      </c>
      <c r="I121" s="93">
        <f>SUM(I122:I126)</f>
        <v>0</v>
      </c>
      <c r="J121" s="93">
        <f>SUM(J122:J126)</f>
        <v>0</v>
      </c>
      <c r="K121" s="93">
        <f>SUM(K122:K126)</f>
        <v>0</v>
      </c>
      <c r="L121" s="80"/>
      <c r="M121" s="93">
        <f>SUM(M122:M126)</f>
        <v>7.54749</v>
      </c>
      <c r="N121" s="84"/>
      <c r="O121" s="18"/>
      <c r="AI121" s="80"/>
      <c r="AS121" s="93">
        <f>SUM(AJ122:AJ126)</f>
        <v>0</v>
      </c>
      <c r="AT121" s="93">
        <f>SUM(AK122:AK126)</f>
        <v>0</v>
      </c>
      <c r="AU121" s="93">
        <f>SUM(AL122:AL126)</f>
        <v>0</v>
      </c>
    </row>
    <row r="122" spans="1:64" ht="12.75">
      <c r="A122" s="58" t="s">
        <v>145</v>
      </c>
      <c r="B122" s="64"/>
      <c r="C122" s="64" t="s">
        <v>263</v>
      </c>
      <c r="D122" s="179" t="s">
        <v>442</v>
      </c>
      <c r="E122" s="180"/>
      <c r="F122" s="64" t="s">
        <v>613</v>
      </c>
      <c r="G122" s="73">
        <v>24</v>
      </c>
      <c r="H122" s="183"/>
      <c r="I122" s="73">
        <f>G122*AO122</f>
        <v>0</v>
      </c>
      <c r="J122" s="73">
        <f>G122*AP122</f>
        <v>0</v>
      </c>
      <c r="K122" s="73">
        <f>G122*H122</f>
        <v>0</v>
      </c>
      <c r="L122" s="73">
        <v>0.19276</v>
      </c>
      <c r="M122" s="73">
        <f>G122*L122</f>
        <v>4.626239999999999</v>
      </c>
      <c r="N122" s="85" t="s">
        <v>647</v>
      </c>
      <c r="O122" s="18"/>
      <c r="Z122" s="48">
        <f>IF(AQ122="5",BJ122,0)</f>
        <v>0</v>
      </c>
      <c r="AB122" s="48">
        <f>IF(AQ122="1",BH122,0)</f>
        <v>0</v>
      </c>
      <c r="AC122" s="48">
        <f>IF(AQ122="1",BI122,0)</f>
        <v>0</v>
      </c>
      <c r="AD122" s="48">
        <f>IF(AQ122="7",BH122,0)</f>
        <v>0</v>
      </c>
      <c r="AE122" s="48">
        <f>IF(AQ122="7",BI122,0)</f>
        <v>0</v>
      </c>
      <c r="AF122" s="48">
        <f>IF(AQ122="2",BH122,0)</f>
        <v>0</v>
      </c>
      <c r="AG122" s="48">
        <f>IF(AQ122="2",BI122,0)</f>
        <v>0</v>
      </c>
      <c r="AH122" s="48">
        <f>IF(AQ122="0",BJ122,0)</f>
        <v>0</v>
      </c>
      <c r="AI122" s="80"/>
      <c r="AJ122" s="73">
        <f>IF(AN122=0,K122,0)</f>
        <v>0</v>
      </c>
      <c r="AK122" s="73">
        <f>IF(AN122=15,K122,0)</f>
        <v>0</v>
      </c>
      <c r="AL122" s="73">
        <f>IF(AN122=21,K122,0)</f>
        <v>0</v>
      </c>
      <c r="AN122" s="48">
        <v>21</v>
      </c>
      <c r="AO122" s="48">
        <f>H122*0.320483619344774</f>
        <v>0</v>
      </c>
      <c r="AP122" s="48">
        <f>H122*(1-0.320483619344774)</f>
        <v>0</v>
      </c>
      <c r="AQ122" s="88" t="s">
        <v>81</v>
      </c>
      <c r="AV122" s="48">
        <f>AW122+AX122</f>
        <v>0</v>
      </c>
      <c r="AW122" s="48">
        <f>G122*AO122</f>
        <v>0</v>
      </c>
      <c r="AX122" s="48">
        <f>G122*AP122</f>
        <v>0</v>
      </c>
      <c r="AY122" s="90" t="s">
        <v>667</v>
      </c>
      <c r="AZ122" s="90" t="s">
        <v>685</v>
      </c>
      <c r="BA122" s="80" t="s">
        <v>690</v>
      </c>
      <c r="BC122" s="48">
        <f>AW122+AX122</f>
        <v>0</v>
      </c>
      <c r="BD122" s="48">
        <f>H122/(100-BE122)*100</f>
        <v>0</v>
      </c>
      <c r="BE122" s="48">
        <v>0</v>
      </c>
      <c r="BF122" s="48">
        <f>M122</f>
        <v>4.626239999999999</v>
      </c>
      <c r="BH122" s="73">
        <f>G122*AO122</f>
        <v>0</v>
      </c>
      <c r="BI122" s="73">
        <f>G122*AP122</f>
        <v>0</v>
      </c>
      <c r="BJ122" s="73">
        <f>G122*H122</f>
        <v>0</v>
      </c>
      <c r="BK122" s="73" t="s">
        <v>695</v>
      </c>
      <c r="BL122" s="48">
        <v>45</v>
      </c>
    </row>
    <row r="123" spans="1:15" ht="12.75">
      <c r="A123" s="18"/>
      <c r="D123" s="66" t="s">
        <v>443</v>
      </c>
      <c r="E123" s="68" t="s">
        <v>593</v>
      </c>
      <c r="G123" s="74">
        <v>24</v>
      </c>
      <c r="N123" s="16"/>
      <c r="O123" s="18"/>
    </row>
    <row r="124" spans="1:64" ht="12.75">
      <c r="A124" s="58" t="s">
        <v>146</v>
      </c>
      <c r="B124" s="64"/>
      <c r="C124" s="64" t="s">
        <v>264</v>
      </c>
      <c r="D124" s="179" t="s">
        <v>444</v>
      </c>
      <c r="E124" s="180"/>
      <c r="F124" s="64" t="s">
        <v>612</v>
      </c>
      <c r="G124" s="73">
        <v>15</v>
      </c>
      <c r="H124" s="183"/>
      <c r="I124" s="73">
        <f>G124*AO124</f>
        <v>0</v>
      </c>
      <c r="J124" s="73">
        <f>G124*AP124</f>
        <v>0</v>
      </c>
      <c r="K124" s="73">
        <f>G124*H124</f>
        <v>0</v>
      </c>
      <c r="L124" s="73">
        <v>0.12875</v>
      </c>
      <c r="M124" s="73">
        <f>G124*L124</f>
        <v>1.9312500000000001</v>
      </c>
      <c r="N124" s="85" t="s">
        <v>649</v>
      </c>
      <c r="O124" s="18"/>
      <c r="Z124" s="48">
        <f>IF(AQ124="5",BJ124,0)</f>
        <v>0</v>
      </c>
      <c r="AB124" s="48">
        <f>IF(AQ124="1",BH124,0)</f>
        <v>0</v>
      </c>
      <c r="AC124" s="48">
        <f>IF(AQ124="1",BI124,0)</f>
        <v>0</v>
      </c>
      <c r="AD124" s="48">
        <f>IF(AQ124="7",BH124,0)</f>
        <v>0</v>
      </c>
      <c r="AE124" s="48">
        <f>IF(AQ124="7",BI124,0)</f>
        <v>0</v>
      </c>
      <c r="AF124" s="48">
        <f>IF(AQ124="2",BH124,0)</f>
        <v>0</v>
      </c>
      <c r="AG124" s="48">
        <f>IF(AQ124="2",BI124,0)</f>
        <v>0</v>
      </c>
      <c r="AH124" s="48">
        <f>IF(AQ124="0",BJ124,0)</f>
        <v>0</v>
      </c>
      <c r="AI124" s="80"/>
      <c r="AJ124" s="73">
        <f>IF(AN124=0,K124,0)</f>
        <v>0</v>
      </c>
      <c r="AK124" s="73">
        <f>IF(AN124=15,K124,0)</f>
        <v>0</v>
      </c>
      <c r="AL124" s="73">
        <f>IF(AN124=21,K124,0)</f>
        <v>0</v>
      </c>
      <c r="AN124" s="48">
        <v>21</v>
      </c>
      <c r="AO124" s="48">
        <f>H124*0.244103132922854</f>
        <v>0</v>
      </c>
      <c r="AP124" s="48">
        <f>H124*(1-0.244103132922854)</f>
        <v>0</v>
      </c>
      <c r="AQ124" s="88" t="s">
        <v>81</v>
      </c>
      <c r="AV124" s="48">
        <f>AW124+AX124</f>
        <v>0</v>
      </c>
      <c r="AW124" s="48">
        <f>G124*AO124</f>
        <v>0</v>
      </c>
      <c r="AX124" s="48">
        <f>G124*AP124</f>
        <v>0</v>
      </c>
      <c r="AY124" s="90" t="s">
        <v>667</v>
      </c>
      <c r="AZ124" s="90" t="s">
        <v>685</v>
      </c>
      <c r="BA124" s="80" t="s">
        <v>690</v>
      </c>
      <c r="BC124" s="48">
        <f>AW124+AX124</f>
        <v>0</v>
      </c>
      <c r="BD124" s="48">
        <f>H124/(100-BE124)*100</f>
        <v>0</v>
      </c>
      <c r="BE124" s="48">
        <v>0</v>
      </c>
      <c r="BF124" s="48">
        <f>M124</f>
        <v>1.9312500000000001</v>
      </c>
      <c r="BH124" s="73">
        <f>G124*AO124</f>
        <v>0</v>
      </c>
      <c r="BI124" s="73">
        <f>G124*AP124</f>
        <v>0</v>
      </c>
      <c r="BJ124" s="73">
        <f>G124*H124</f>
        <v>0</v>
      </c>
      <c r="BK124" s="73" t="s">
        <v>695</v>
      </c>
      <c r="BL124" s="48">
        <v>45</v>
      </c>
    </row>
    <row r="125" spans="1:15" ht="12.75">
      <c r="A125" s="18"/>
      <c r="D125" s="66" t="s">
        <v>360</v>
      </c>
      <c r="E125" s="68"/>
      <c r="G125" s="74">
        <v>15</v>
      </c>
      <c r="N125" s="16"/>
      <c r="O125" s="18"/>
    </row>
    <row r="126" spans="1:64" ht="12.75">
      <c r="A126" s="59" t="s">
        <v>147</v>
      </c>
      <c r="B126" s="65"/>
      <c r="C126" s="65" t="s">
        <v>265</v>
      </c>
      <c r="D126" s="181" t="s">
        <v>445</v>
      </c>
      <c r="E126" s="182"/>
      <c r="F126" s="65" t="s">
        <v>617</v>
      </c>
      <c r="G126" s="75">
        <v>30</v>
      </c>
      <c r="H126" s="184"/>
      <c r="I126" s="75">
        <f>G126*AO126</f>
        <v>0</v>
      </c>
      <c r="J126" s="75">
        <f>G126*AP126</f>
        <v>0</v>
      </c>
      <c r="K126" s="75">
        <f>G126*H126</f>
        <v>0</v>
      </c>
      <c r="L126" s="75">
        <v>0.033</v>
      </c>
      <c r="M126" s="75">
        <f>G126*L126</f>
        <v>0.99</v>
      </c>
      <c r="N126" s="86" t="s">
        <v>649</v>
      </c>
      <c r="O126" s="18"/>
      <c r="Z126" s="48">
        <f>IF(AQ126="5",BJ126,0)</f>
        <v>0</v>
      </c>
      <c r="AB126" s="48">
        <f>IF(AQ126="1",BH126,0)</f>
        <v>0</v>
      </c>
      <c r="AC126" s="48">
        <f>IF(AQ126="1",BI126,0)</f>
        <v>0</v>
      </c>
      <c r="AD126" s="48">
        <f>IF(AQ126="7",BH126,0)</f>
        <v>0</v>
      </c>
      <c r="AE126" s="48">
        <f>IF(AQ126="7",BI126,0)</f>
        <v>0</v>
      </c>
      <c r="AF126" s="48">
        <f>IF(AQ126="2",BH126,0)</f>
        <v>0</v>
      </c>
      <c r="AG126" s="48">
        <f>IF(AQ126="2",BI126,0)</f>
        <v>0</v>
      </c>
      <c r="AH126" s="48">
        <f>IF(AQ126="0",BJ126,0)</f>
        <v>0</v>
      </c>
      <c r="AI126" s="80"/>
      <c r="AJ126" s="75">
        <f>IF(AN126=0,K126,0)</f>
        <v>0</v>
      </c>
      <c r="AK126" s="75">
        <f>IF(AN126=15,K126,0)</f>
        <v>0</v>
      </c>
      <c r="AL126" s="75">
        <f>IF(AN126=21,K126,0)</f>
        <v>0</v>
      </c>
      <c r="AN126" s="48">
        <v>21</v>
      </c>
      <c r="AO126" s="48">
        <f>H126*1</f>
        <v>0</v>
      </c>
      <c r="AP126" s="48">
        <f>H126*(1-1)</f>
        <v>0</v>
      </c>
      <c r="AQ126" s="89" t="s">
        <v>81</v>
      </c>
      <c r="AV126" s="48">
        <f>AW126+AX126</f>
        <v>0</v>
      </c>
      <c r="AW126" s="48">
        <f>G126*AO126</f>
        <v>0</v>
      </c>
      <c r="AX126" s="48">
        <f>G126*AP126</f>
        <v>0</v>
      </c>
      <c r="AY126" s="90" t="s">
        <v>667</v>
      </c>
      <c r="AZ126" s="90" t="s">
        <v>685</v>
      </c>
      <c r="BA126" s="80" t="s">
        <v>690</v>
      </c>
      <c r="BC126" s="48">
        <f>AW126+AX126</f>
        <v>0</v>
      </c>
      <c r="BD126" s="48">
        <f>H126/(100-BE126)*100</f>
        <v>0</v>
      </c>
      <c r="BE126" s="48">
        <v>0</v>
      </c>
      <c r="BF126" s="48">
        <f>M126</f>
        <v>0.99</v>
      </c>
      <c r="BH126" s="75">
        <f>G126*AO126</f>
        <v>0</v>
      </c>
      <c r="BI126" s="75">
        <f>G126*AP126</f>
        <v>0</v>
      </c>
      <c r="BJ126" s="75">
        <f>G126*H126</f>
        <v>0</v>
      </c>
      <c r="BK126" s="75" t="s">
        <v>696</v>
      </c>
      <c r="BL126" s="48">
        <v>45</v>
      </c>
    </row>
    <row r="127" spans="1:15" ht="12.75">
      <c r="A127" s="18"/>
      <c r="D127" s="66" t="s">
        <v>446</v>
      </c>
      <c r="E127" s="68"/>
      <c r="G127" s="74">
        <v>30</v>
      </c>
      <c r="N127" s="16"/>
      <c r="O127" s="18"/>
    </row>
    <row r="128" spans="1:47" ht="12.75">
      <c r="A128" s="57"/>
      <c r="B128" s="63"/>
      <c r="C128" s="63" t="s">
        <v>156</v>
      </c>
      <c r="D128" s="177" t="s">
        <v>447</v>
      </c>
      <c r="E128" s="178"/>
      <c r="F128" s="71" t="s">
        <v>78</v>
      </c>
      <c r="G128" s="71" t="s">
        <v>78</v>
      </c>
      <c r="H128" s="71" t="s">
        <v>78</v>
      </c>
      <c r="I128" s="93">
        <f>SUM(I129:I133)</f>
        <v>0</v>
      </c>
      <c r="J128" s="93">
        <f>SUM(J129:J133)</f>
        <v>0</v>
      </c>
      <c r="K128" s="93">
        <f>SUM(K129:K133)</f>
        <v>0</v>
      </c>
      <c r="L128" s="80"/>
      <c r="M128" s="93">
        <f>SUM(M129:M133)</f>
        <v>37.9235</v>
      </c>
      <c r="N128" s="84"/>
      <c r="O128" s="18"/>
      <c r="AI128" s="80"/>
      <c r="AS128" s="93">
        <f>SUM(AJ129:AJ133)</f>
        <v>0</v>
      </c>
      <c r="AT128" s="93">
        <f>SUM(AK129:AK133)</f>
        <v>0</v>
      </c>
      <c r="AU128" s="93">
        <f>SUM(AL129:AL133)</f>
        <v>0</v>
      </c>
    </row>
    <row r="129" spans="1:64" ht="12.75">
      <c r="A129" s="58" t="s">
        <v>148</v>
      </c>
      <c r="B129" s="64"/>
      <c r="C129" s="64" t="s">
        <v>266</v>
      </c>
      <c r="D129" s="179" t="s">
        <v>448</v>
      </c>
      <c r="E129" s="180"/>
      <c r="F129" s="64" t="s">
        <v>613</v>
      </c>
      <c r="G129" s="73">
        <v>50</v>
      </c>
      <c r="H129" s="183"/>
      <c r="I129" s="73">
        <f>G129*AO129</f>
        <v>0</v>
      </c>
      <c r="J129" s="73">
        <f>G129*AP129</f>
        <v>0</v>
      </c>
      <c r="K129" s="73">
        <f>G129*H129</f>
        <v>0</v>
      </c>
      <c r="L129" s="73">
        <v>0.378</v>
      </c>
      <c r="M129" s="73">
        <f>G129*L129</f>
        <v>18.9</v>
      </c>
      <c r="N129" s="85" t="s">
        <v>648</v>
      </c>
      <c r="O129" s="18"/>
      <c r="Z129" s="48">
        <f>IF(AQ129="5",BJ129,0)</f>
        <v>0</v>
      </c>
      <c r="AB129" s="48">
        <f>IF(AQ129="1",BH129,0)</f>
        <v>0</v>
      </c>
      <c r="AC129" s="48">
        <f>IF(AQ129="1",BI129,0)</f>
        <v>0</v>
      </c>
      <c r="AD129" s="48">
        <f>IF(AQ129="7",BH129,0)</f>
        <v>0</v>
      </c>
      <c r="AE129" s="48">
        <f>IF(AQ129="7",BI129,0)</f>
        <v>0</v>
      </c>
      <c r="AF129" s="48">
        <f>IF(AQ129="2",BH129,0)</f>
        <v>0</v>
      </c>
      <c r="AG129" s="48">
        <f>IF(AQ129="2",BI129,0)</f>
        <v>0</v>
      </c>
      <c r="AH129" s="48">
        <f>IF(AQ129="0",BJ129,0)</f>
        <v>0</v>
      </c>
      <c r="AI129" s="80"/>
      <c r="AJ129" s="73">
        <f>IF(AN129=0,K129,0)</f>
        <v>0</v>
      </c>
      <c r="AK129" s="73">
        <f>IF(AN129=15,K129,0)</f>
        <v>0</v>
      </c>
      <c r="AL129" s="73">
        <f>IF(AN129=21,K129,0)</f>
        <v>0</v>
      </c>
      <c r="AN129" s="48">
        <v>21</v>
      </c>
      <c r="AO129" s="48">
        <f>H129*0.862479784366577</f>
        <v>0</v>
      </c>
      <c r="AP129" s="48">
        <f>H129*(1-0.862479784366577)</f>
        <v>0</v>
      </c>
      <c r="AQ129" s="88" t="s">
        <v>81</v>
      </c>
      <c r="AV129" s="48">
        <f>AW129+AX129</f>
        <v>0</v>
      </c>
      <c r="AW129" s="48">
        <f>G129*AO129</f>
        <v>0</v>
      </c>
      <c r="AX129" s="48">
        <f>G129*AP129</f>
        <v>0</v>
      </c>
      <c r="AY129" s="90" t="s">
        <v>668</v>
      </c>
      <c r="AZ129" s="90" t="s">
        <v>686</v>
      </c>
      <c r="BA129" s="80" t="s">
        <v>690</v>
      </c>
      <c r="BC129" s="48">
        <f>AW129+AX129</f>
        <v>0</v>
      </c>
      <c r="BD129" s="48">
        <f>H129/(100-BE129)*100</f>
        <v>0</v>
      </c>
      <c r="BE129" s="48">
        <v>0</v>
      </c>
      <c r="BF129" s="48">
        <f>M129</f>
        <v>18.9</v>
      </c>
      <c r="BH129" s="73">
        <f>G129*AO129</f>
        <v>0</v>
      </c>
      <c r="BI129" s="73">
        <f>G129*AP129</f>
        <v>0</v>
      </c>
      <c r="BJ129" s="73">
        <f>G129*H129</f>
        <v>0</v>
      </c>
      <c r="BK129" s="73" t="s">
        <v>695</v>
      </c>
      <c r="BL129" s="48">
        <v>56</v>
      </c>
    </row>
    <row r="130" spans="1:15" ht="12.75">
      <c r="A130" s="18"/>
      <c r="D130" s="66" t="s">
        <v>449</v>
      </c>
      <c r="E130" s="68"/>
      <c r="G130" s="74">
        <v>50</v>
      </c>
      <c r="N130" s="16"/>
      <c r="O130" s="18"/>
    </row>
    <row r="131" spans="1:64" ht="12.75">
      <c r="A131" s="58" t="s">
        <v>149</v>
      </c>
      <c r="B131" s="64"/>
      <c r="C131" s="64" t="s">
        <v>267</v>
      </c>
      <c r="D131" s="179" t="s">
        <v>450</v>
      </c>
      <c r="E131" s="180"/>
      <c r="F131" s="64" t="s">
        <v>613</v>
      </c>
      <c r="G131" s="73">
        <v>50</v>
      </c>
      <c r="H131" s="183"/>
      <c r="I131" s="73">
        <f>G131*AO131</f>
        <v>0</v>
      </c>
      <c r="J131" s="73">
        <f>G131*AP131</f>
        <v>0</v>
      </c>
      <c r="K131" s="73">
        <f>G131*H131</f>
        <v>0</v>
      </c>
      <c r="L131" s="73">
        <v>0.18463</v>
      </c>
      <c r="M131" s="73">
        <f>G131*L131</f>
        <v>9.231499999999999</v>
      </c>
      <c r="N131" s="85" t="s">
        <v>648</v>
      </c>
      <c r="O131" s="18"/>
      <c r="Z131" s="48">
        <f>IF(AQ131="5",BJ131,0)</f>
        <v>0</v>
      </c>
      <c r="AB131" s="48">
        <f>IF(AQ131="1",BH131,0)</f>
        <v>0</v>
      </c>
      <c r="AC131" s="48">
        <f>IF(AQ131="1",BI131,0)</f>
        <v>0</v>
      </c>
      <c r="AD131" s="48">
        <f>IF(AQ131="7",BH131,0)</f>
        <v>0</v>
      </c>
      <c r="AE131" s="48">
        <f>IF(AQ131="7",BI131,0)</f>
        <v>0</v>
      </c>
      <c r="AF131" s="48">
        <f>IF(AQ131="2",BH131,0)</f>
        <v>0</v>
      </c>
      <c r="AG131" s="48">
        <f>IF(AQ131="2",BI131,0)</f>
        <v>0</v>
      </c>
      <c r="AH131" s="48">
        <f>IF(AQ131="0",BJ131,0)</f>
        <v>0</v>
      </c>
      <c r="AI131" s="80"/>
      <c r="AJ131" s="73">
        <f>IF(AN131=0,K131,0)</f>
        <v>0</v>
      </c>
      <c r="AK131" s="73">
        <f>IF(AN131=15,K131,0)</f>
        <v>0</v>
      </c>
      <c r="AL131" s="73">
        <f>IF(AN131=21,K131,0)</f>
        <v>0</v>
      </c>
      <c r="AN131" s="48">
        <v>21</v>
      </c>
      <c r="AO131" s="48">
        <f>H131*0.585552</f>
        <v>0</v>
      </c>
      <c r="AP131" s="48">
        <f>H131*(1-0.585552)</f>
        <v>0</v>
      </c>
      <c r="AQ131" s="88" t="s">
        <v>81</v>
      </c>
      <c r="AV131" s="48">
        <f>AW131+AX131</f>
        <v>0</v>
      </c>
      <c r="AW131" s="48">
        <f>G131*AO131</f>
        <v>0</v>
      </c>
      <c r="AX131" s="48">
        <f>G131*AP131</f>
        <v>0</v>
      </c>
      <c r="AY131" s="90" t="s">
        <v>668</v>
      </c>
      <c r="AZ131" s="90" t="s">
        <v>686</v>
      </c>
      <c r="BA131" s="80" t="s">
        <v>690</v>
      </c>
      <c r="BC131" s="48">
        <f>AW131+AX131</f>
        <v>0</v>
      </c>
      <c r="BD131" s="48">
        <f>H131/(100-BE131)*100</f>
        <v>0</v>
      </c>
      <c r="BE131" s="48">
        <v>0</v>
      </c>
      <c r="BF131" s="48">
        <f>M131</f>
        <v>9.231499999999999</v>
      </c>
      <c r="BH131" s="73">
        <f>G131*AO131</f>
        <v>0</v>
      </c>
      <c r="BI131" s="73">
        <f>G131*AP131</f>
        <v>0</v>
      </c>
      <c r="BJ131" s="73">
        <f>G131*H131</f>
        <v>0</v>
      </c>
      <c r="BK131" s="73" t="s">
        <v>695</v>
      </c>
      <c r="BL131" s="48">
        <v>56</v>
      </c>
    </row>
    <row r="132" spans="1:15" ht="12.75">
      <c r="A132" s="18"/>
      <c r="D132" s="66" t="s">
        <v>150</v>
      </c>
      <c r="E132" s="68"/>
      <c r="G132" s="74">
        <v>50</v>
      </c>
      <c r="N132" s="16"/>
      <c r="O132" s="18"/>
    </row>
    <row r="133" spans="1:64" ht="12.75">
      <c r="A133" s="58" t="s">
        <v>150</v>
      </c>
      <c r="B133" s="64"/>
      <c r="C133" s="64" t="s">
        <v>268</v>
      </c>
      <c r="D133" s="179" t="s">
        <v>451</v>
      </c>
      <c r="E133" s="180"/>
      <c r="F133" s="64" t="s">
        <v>613</v>
      </c>
      <c r="G133" s="73">
        <v>34</v>
      </c>
      <c r="H133" s="183"/>
      <c r="I133" s="73">
        <f>G133*AO133</f>
        <v>0</v>
      </c>
      <c r="J133" s="73">
        <f>G133*AP133</f>
        <v>0</v>
      </c>
      <c r="K133" s="73">
        <f>G133*H133</f>
        <v>0</v>
      </c>
      <c r="L133" s="73">
        <v>0.288</v>
      </c>
      <c r="M133" s="73">
        <f>G133*L133</f>
        <v>9.792</v>
      </c>
      <c r="N133" s="85" t="s">
        <v>648</v>
      </c>
      <c r="O133" s="18"/>
      <c r="Z133" s="48">
        <f>IF(AQ133="5",BJ133,0)</f>
        <v>0</v>
      </c>
      <c r="AB133" s="48">
        <f>IF(AQ133="1",BH133,0)</f>
        <v>0</v>
      </c>
      <c r="AC133" s="48">
        <f>IF(AQ133="1",BI133,0)</f>
        <v>0</v>
      </c>
      <c r="AD133" s="48">
        <f>IF(AQ133="7",BH133,0)</f>
        <v>0</v>
      </c>
      <c r="AE133" s="48">
        <f>IF(AQ133="7",BI133,0)</f>
        <v>0</v>
      </c>
      <c r="AF133" s="48">
        <f>IF(AQ133="2",BH133,0)</f>
        <v>0</v>
      </c>
      <c r="AG133" s="48">
        <f>IF(AQ133="2",BI133,0)</f>
        <v>0</v>
      </c>
      <c r="AH133" s="48">
        <f>IF(AQ133="0",BJ133,0)</f>
        <v>0</v>
      </c>
      <c r="AI133" s="80"/>
      <c r="AJ133" s="73">
        <f>IF(AN133=0,K133,0)</f>
        <v>0</v>
      </c>
      <c r="AK133" s="73">
        <f>IF(AN133=15,K133,0)</f>
        <v>0</v>
      </c>
      <c r="AL133" s="73">
        <f>IF(AN133=21,K133,0)</f>
        <v>0</v>
      </c>
      <c r="AN133" s="48">
        <v>21</v>
      </c>
      <c r="AO133" s="48">
        <f>H133*0.839555555555555</f>
        <v>0</v>
      </c>
      <c r="AP133" s="48">
        <f>H133*(1-0.839555555555555)</f>
        <v>0</v>
      </c>
      <c r="AQ133" s="88" t="s">
        <v>81</v>
      </c>
      <c r="AV133" s="48">
        <f>AW133+AX133</f>
        <v>0</v>
      </c>
      <c r="AW133" s="48">
        <f>G133*AO133</f>
        <v>0</v>
      </c>
      <c r="AX133" s="48">
        <f>G133*AP133</f>
        <v>0</v>
      </c>
      <c r="AY133" s="90" t="s">
        <v>668</v>
      </c>
      <c r="AZ133" s="90" t="s">
        <v>686</v>
      </c>
      <c r="BA133" s="80" t="s">
        <v>690</v>
      </c>
      <c r="BC133" s="48">
        <f>AW133+AX133</f>
        <v>0</v>
      </c>
      <c r="BD133" s="48">
        <f>H133/(100-BE133)*100</f>
        <v>0</v>
      </c>
      <c r="BE133" s="48">
        <v>0</v>
      </c>
      <c r="BF133" s="48">
        <f>M133</f>
        <v>9.792</v>
      </c>
      <c r="BH133" s="73">
        <f>G133*AO133</f>
        <v>0</v>
      </c>
      <c r="BI133" s="73">
        <f>G133*AP133</f>
        <v>0</v>
      </c>
      <c r="BJ133" s="73">
        <f>G133*H133</f>
        <v>0</v>
      </c>
      <c r="BK133" s="73" t="s">
        <v>695</v>
      </c>
      <c r="BL133" s="48">
        <v>56</v>
      </c>
    </row>
    <row r="134" spans="1:15" ht="12.75">
      <c r="A134" s="18"/>
      <c r="D134" s="66" t="s">
        <v>369</v>
      </c>
      <c r="E134" s="68"/>
      <c r="G134" s="74">
        <v>34</v>
      </c>
      <c r="N134" s="16"/>
      <c r="O134" s="18"/>
    </row>
    <row r="135" spans="1:47" ht="12.75">
      <c r="A135" s="57"/>
      <c r="B135" s="63"/>
      <c r="C135" s="63" t="s">
        <v>157</v>
      </c>
      <c r="D135" s="177" t="s">
        <v>452</v>
      </c>
      <c r="E135" s="178"/>
      <c r="F135" s="71" t="s">
        <v>78</v>
      </c>
      <c r="G135" s="71" t="s">
        <v>78</v>
      </c>
      <c r="H135" s="71" t="s">
        <v>78</v>
      </c>
      <c r="I135" s="93">
        <f>SUM(I136:I140)</f>
        <v>0</v>
      </c>
      <c r="J135" s="93">
        <f>SUM(J136:J140)</f>
        <v>0</v>
      </c>
      <c r="K135" s="93">
        <f>SUM(K136:K140)</f>
        <v>0</v>
      </c>
      <c r="L135" s="80"/>
      <c r="M135" s="93">
        <f>SUM(M136:M140)</f>
        <v>6.7989999999999995</v>
      </c>
      <c r="N135" s="84"/>
      <c r="O135" s="18"/>
      <c r="AI135" s="80"/>
      <c r="AS135" s="93">
        <f>SUM(AJ136:AJ140)</f>
        <v>0</v>
      </c>
      <c r="AT135" s="93">
        <f>SUM(AK136:AK140)</f>
        <v>0</v>
      </c>
      <c r="AU135" s="93">
        <f>SUM(AL136:AL140)</f>
        <v>0</v>
      </c>
    </row>
    <row r="136" spans="1:64" ht="12.75">
      <c r="A136" s="58" t="s">
        <v>151</v>
      </c>
      <c r="B136" s="64"/>
      <c r="C136" s="64" t="s">
        <v>269</v>
      </c>
      <c r="D136" s="179" t="s">
        <v>453</v>
      </c>
      <c r="E136" s="180"/>
      <c r="F136" s="64" t="s">
        <v>613</v>
      </c>
      <c r="G136" s="73">
        <v>50</v>
      </c>
      <c r="H136" s="183"/>
      <c r="I136" s="73">
        <f>G136*AO136</f>
        <v>0</v>
      </c>
      <c r="J136" s="73">
        <f>G136*AP136</f>
        <v>0</v>
      </c>
      <c r="K136" s="73">
        <f>G136*H136</f>
        <v>0</v>
      </c>
      <c r="L136" s="73">
        <v>0.12966</v>
      </c>
      <c r="M136" s="73">
        <f>G136*L136</f>
        <v>6.483</v>
      </c>
      <c r="N136" s="85" t="s">
        <v>648</v>
      </c>
      <c r="O136" s="18"/>
      <c r="Z136" s="48">
        <f>IF(AQ136="5",BJ136,0)</f>
        <v>0</v>
      </c>
      <c r="AB136" s="48">
        <f>IF(AQ136="1",BH136,0)</f>
        <v>0</v>
      </c>
      <c r="AC136" s="48">
        <f>IF(AQ136="1",BI136,0)</f>
        <v>0</v>
      </c>
      <c r="AD136" s="48">
        <f>IF(AQ136="7",BH136,0)</f>
        <v>0</v>
      </c>
      <c r="AE136" s="48">
        <f>IF(AQ136="7",BI136,0)</f>
        <v>0</v>
      </c>
      <c r="AF136" s="48">
        <f>IF(AQ136="2",BH136,0)</f>
        <v>0</v>
      </c>
      <c r="AG136" s="48">
        <f>IF(AQ136="2",BI136,0)</f>
        <v>0</v>
      </c>
      <c r="AH136" s="48">
        <f>IF(AQ136="0",BJ136,0)</f>
        <v>0</v>
      </c>
      <c r="AI136" s="80"/>
      <c r="AJ136" s="73">
        <f>IF(AN136=0,K136,0)</f>
        <v>0</v>
      </c>
      <c r="AK136" s="73">
        <f>IF(AN136=15,K136,0)</f>
        <v>0</v>
      </c>
      <c r="AL136" s="73">
        <f>IF(AN136=21,K136,0)</f>
        <v>0</v>
      </c>
      <c r="AN136" s="48">
        <v>21</v>
      </c>
      <c r="AO136" s="48">
        <f>H136*0.613919075144509</f>
        <v>0</v>
      </c>
      <c r="AP136" s="48">
        <f>H136*(1-0.613919075144509)</f>
        <v>0</v>
      </c>
      <c r="AQ136" s="88" t="s">
        <v>81</v>
      </c>
      <c r="AV136" s="48">
        <f>AW136+AX136</f>
        <v>0</v>
      </c>
      <c r="AW136" s="48">
        <f>G136*AO136</f>
        <v>0</v>
      </c>
      <c r="AX136" s="48">
        <f>G136*AP136</f>
        <v>0</v>
      </c>
      <c r="AY136" s="90" t="s">
        <v>669</v>
      </c>
      <c r="AZ136" s="90" t="s">
        <v>686</v>
      </c>
      <c r="BA136" s="80" t="s">
        <v>690</v>
      </c>
      <c r="BC136" s="48">
        <f>AW136+AX136</f>
        <v>0</v>
      </c>
      <c r="BD136" s="48">
        <f>H136/(100-BE136)*100</f>
        <v>0</v>
      </c>
      <c r="BE136" s="48">
        <v>0</v>
      </c>
      <c r="BF136" s="48">
        <f>M136</f>
        <v>6.483</v>
      </c>
      <c r="BH136" s="73">
        <f>G136*AO136</f>
        <v>0</v>
      </c>
      <c r="BI136" s="73">
        <f>G136*AP136</f>
        <v>0</v>
      </c>
      <c r="BJ136" s="73">
        <f>G136*H136</f>
        <v>0</v>
      </c>
      <c r="BK136" s="73" t="s">
        <v>695</v>
      </c>
      <c r="BL136" s="48">
        <v>57</v>
      </c>
    </row>
    <row r="137" spans="1:15" ht="12.75">
      <c r="A137" s="18"/>
      <c r="D137" s="66" t="s">
        <v>150</v>
      </c>
      <c r="E137" s="68"/>
      <c r="G137" s="74">
        <v>50</v>
      </c>
      <c r="N137" s="16"/>
      <c r="O137" s="18"/>
    </row>
    <row r="138" spans="1:64" ht="12.75">
      <c r="A138" s="58" t="s">
        <v>152</v>
      </c>
      <c r="B138" s="64"/>
      <c r="C138" s="64" t="s">
        <v>270</v>
      </c>
      <c r="D138" s="179" t="s">
        <v>454</v>
      </c>
      <c r="E138" s="180"/>
      <c r="F138" s="64" t="s">
        <v>613</v>
      </c>
      <c r="G138" s="73">
        <v>50</v>
      </c>
      <c r="H138" s="183"/>
      <c r="I138" s="73">
        <f>G138*AO138</f>
        <v>0</v>
      </c>
      <c r="J138" s="73">
        <f>G138*AP138</f>
        <v>0</v>
      </c>
      <c r="K138" s="73">
        <f>G138*H138</f>
        <v>0</v>
      </c>
      <c r="L138" s="73">
        <v>0.00031</v>
      </c>
      <c r="M138" s="73">
        <f>G138*L138</f>
        <v>0.0155</v>
      </c>
      <c r="N138" s="85" t="s">
        <v>648</v>
      </c>
      <c r="O138" s="18"/>
      <c r="Z138" s="48">
        <f>IF(AQ138="5",BJ138,0)</f>
        <v>0</v>
      </c>
      <c r="AB138" s="48">
        <f>IF(AQ138="1",BH138,0)</f>
        <v>0</v>
      </c>
      <c r="AC138" s="48">
        <f>IF(AQ138="1",BI138,0)</f>
        <v>0</v>
      </c>
      <c r="AD138" s="48">
        <f>IF(AQ138="7",BH138,0)</f>
        <v>0</v>
      </c>
      <c r="AE138" s="48">
        <f>IF(AQ138="7",BI138,0)</f>
        <v>0</v>
      </c>
      <c r="AF138" s="48">
        <f>IF(AQ138="2",BH138,0)</f>
        <v>0</v>
      </c>
      <c r="AG138" s="48">
        <f>IF(AQ138="2",BI138,0)</f>
        <v>0</v>
      </c>
      <c r="AH138" s="48">
        <f>IF(AQ138="0",BJ138,0)</f>
        <v>0</v>
      </c>
      <c r="AI138" s="80"/>
      <c r="AJ138" s="73">
        <f>IF(AN138=0,K138,0)</f>
        <v>0</v>
      </c>
      <c r="AK138" s="73">
        <f>IF(AN138=15,K138,0)</f>
        <v>0</v>
      </c>
      <c r="AL138" s="73">
        <f>IF(AN138=21,K138,0)</f>
        <v>0</v>
      </c>
      <c r="AN138" s="48">
        <v>21</v>
      </c>
      <c r="AO138" s="48">
        <f>H138*0.861728395061728</f>
        <v>0</v>
      </c>
      <c r="AP138" s="48">
        <f>H138*(1-0.861728395061728)</f>
        <v>0</v>
      </c>
      <c r="AQ138" s="88" t="s">
        <v>81</v>
      </c>
      <c r="AV138" s="48">
        <f>AW138+AX138</f>
        <v>0</v>
      </c>
      <c r="AW138" s="48">
        <f>G138*AO138</f>
        <v>0</v>
      </c>
      <c r="AX138" s="48">
        <f>G138*AP138</f>
        <v>0</v>
      </c>
      <c r="AY138" s="90" t="s">
        <v>669</v>
      </c>
      <c r="AZ138" s="90" t="s">
        <v>686</v>
      </c>
      <c r="BA138" s="80" t="s">
        <v>690</v>
      </c>
      <c r="BC138" s="48">
        <f>AW138+AX138</f>
        <v>0</v>
      </c>
      <c r="BD138" s="48">
        <f>H138/(100-BE138)*100</f>
        <v>0</v>
      </c>
      <c r="BE138" s="48">
        <v>0</v>
      </c>
      <c r="BF138" s="48">
        <f>M138</f>
        <v>0.0155</v>
      </c>
      <c r="BH138" s="73">
        <f>G138*AO138</f>
        <v>0</v>
      </c>
      <c r="BI138" s="73">
        <f>G138*AP138</f>
        <v>0</v>
      </c>
      <c r="BJ138" s="73">
        <f>G138*H138</f>
        <v>0</v>
      </c>
      <c r="BK138" s="73" t="s">
        <v>695</v>
      </c>
      <c r="BL138" s="48">
        <v>57</v>
      </c>
    </row>
    <row r="139" spans="1:15" ht="12.75">
      <c r="A139" s="18"/>
      <c r="D139" s="66" t="s">
        <v>150</v>
      </c>
      <c r="E139" s="68"/>
      <c r="G139" s="74">
        <v>50</v>
      </c>
      <c r="N139" s="16"/>
      <c r="O139" s="18"/>
    </row>
    <row r="140" spans="1:64" ht="12.75">
      <c r="A140" s="58" t="s">
        <v>153</v>
      </c>
      <c r="B140" s="64"/>
      <c r="C140" s="64" t="s">
        <v>271</v>
      </c>
      <c r="D140" s="179" t="s">
        <v>455</v>
      </c>
      <c r="E140" s="180"/>
      <c r="F140" s="64" t="s">
        <v>613</v>
      </c>
      <c r="G140" s="73">
        <v>50</v>
      </c>
      <c r="H140" s="183"/>
      <c r="I140" s="73">
        <f>G140*AO140</f>
        <v>0</v>
      </c>
      <c r="J140" s="73">
        <f>G140*AP140</f>
        <v>0</v>
      </c>
      <c r="K140" s="73">
        <f>G140*H140</f>
        <v>0</v>
      </c>
      <c r="L140" s="73">
        <v>0.00601</v>
      </c>
      <c r="M140" s="73">
        <f>G140*L140</f>
        <v>0.3005</v>
      </c>
      <c r="N140" s="85" t="s">
        <v>648</v>
      </c>
      <c r="O140" s="18"/>
      <c r="Z140" s="48">
        <f>IF(AQ140="5",BJ140,0)</f>
        <v>0</v>
      </c>
      <c r="AB140" s="48">
        <f>IF(AQ140="1",BH140,0)</f>
        <v>0</v>
      </c>
      <c r="AC140" s="48">
        <f>IF(AQ140="1",BI140,0)</f>
        <v>0</v>
      </c>
      <c r="AD140" s="48">
        <f>IF(AQ140="7",BH140,0)</f>
        <v>0</v>
      </c>
      <c r="AE140" s="48">
        <f>IF(AQ140="7",BI140,0)</f>
        <v>0</v>
      </c>
      <c r="AF140" s="48">
        <f>IF(AQ140="2",BH140,0)</f>
        <v>0</v>
      </c>
      <c r="AG140" s="48">
        <f>IF(AQ140="2",BI140,0)</f>
        <v>0</v>
      </c>
      <c r="AH140" s="48">
        <f>IF(AQ140="0",BJ140,0)</f>
        <v>0</v>
      </c>
      <c r="AI140" s="80"/>
      <c r="AJ140" s="73">
        <f>IF(AN140=0,K140,0)</f>
        <v>0</v>
      </c>
      <c r="AK140" s="73">
        <f>IF(AN140=15,K140,0)</f>
        <v>0</v>
      </c>
      <c r="AL140" s="73">
        <f>IF(AN140=21,K140,0)</f>
        <v>0</v>
      </c>
      <c r="AN140" s="48">
        <v>21</v>
      </c>
      <c r="AO140" s="48">
        <f>H140*0.913725490196078</f>
        <v>0</v>
      </c>
      <c r="AP140" s="48">
        <f>H140*(1-0.913725490196078)</f>
        <v>0</v>
      </c>
      <c r="AQ140" s="88" t="s">
        <v>81</v>
      </c>
      <c r="AV140" s="48">
        <f>AW140+AX140</f>
        <v>0</v>
      </c>
      <c r="AW140" s="48">
        <f>G140*AO140</f>
        <v>0</v>
      </c>
      <c r="AX140" s="48">
        <f>G140*AP140</f>
        <v>0</v>
      </c>
      <c r="AY140" s="90" t="s">
        <v>669</v>
      </c>
      <c r="AZ140" s="90" t="s">
        <v>686</v>
      </c>
      <c r="BA140" s="80" t="s">
        <v>690</v>
      </c>
      <c r="BC140" s="48">
        <f>AW140+AX140</f>
        <v>0</v>
      </c>
      <c r="BD140" s="48">
        <f>H140/(100-BE140)*100</f>
        <v>0</v>
      </c>
      <c r="BE140" s="48">
        <v>0</v>
      </c>
      <c r="BF140" s="48">
        <f>M140</f>
        <v>0.3005</v>
      </c>
      <c r="BH140" s="73">
        <f>G140*AO140</f>
        <v>0</v>
      </c>
      <c r="BI140" s="73">
        <f>G140*AP140</f>
        <v>0</v>
      </c>
      <c r="BJ140" s="73">
        <f>G140*H140</f>
        <v>0</v>
      </c>
      <c r="BK140" s="73" t="s">
        <v>695</v>
      </c>
      <c r="BL140" s="48">
        <v>57</v>
      </c>
    </row>
    <row r="141" spans="1:15" ht="12.75">
      <c r="A141" s="18"/>
      <c r="D141" s="66" t="s">
        <v>150</v>
      </c>
      <c r="E141" s="68"/>
      <c r="G141" s="74">
        <v>50</v>
      </c>
      <c r="N141" s="16"/>
      <c r="O141" s="18"/>
    </row>
    <row r="142" spans="1:47" ht="12.75">
      <c r="A142" s="57"/>
      <c r="B142" s="63"/>
      <c r="C142" s="63" t="s">
        <v>158</v>
      </c>
      <c r="D142" s="177" t="s">
        <v>456</v>
      </c>
      <c r="E142" s="178"/>
      <c r="F142" s="71" t="s">
        <v>78</v>
      </c>
      <c r="G142" s="71" t="s">
        <v>78</v>
      </c>
      <c r="H142" s="71" t="s">
        <v>78</v>
      </c>
      <c r="I142" s="93">
        <f>SUM(I143:I143)</f>
        <v>0</v>
      </c>
      <c r="J142" s="93">
        <f>SUM(J143:J143)</f>
        <v>0</v>
      </c>
      <c r="K142" s="93">
        <f>SUM(K143:K143)</f>
        <v>0</v>
      </c>
      <c r="L142" s="80"/>
      <c r="M142" s="93">
        <f>SUM(M143:M143)</f>
        <v>53.47155</v>
      </c>
      <c r="N142" s="84"/>
      <c r="O142" s="18"/>
      <c r="AI142" s="80"/>
      <c r="AS142" s="93">
        <f>SUM(AJ143:AJ143)</f>
        <v>0</v>
      </c>
      <c r="AT142" s="93">
        <f>SUM(AK143:AK143)</f>
        <v>0</v>
      </c>
      <c r="AU142" s="93">
        <f>SUM(AL143:AL143)</f>
        <v>0</v>
      </c>
    </row>
    <row r="143" spans="1:64" ht="12.75">
      <c r="A143" s="58" t="s">
        <v>154</v>
      </c>
      <c r="B143" s="64"/>
      <c r="C143" s="64" t="s">
        <v>272</v>
      </c>
      <c r="D143" s="179" t="s">
        <v>457</v>
      </c>
      <c r="E143" s="180"/>
      <c r="F143" s="64" t="s">
        <v>613</v>
      </c>
      <c r="G143" s="73">
        <v>55</v>
      </c>
      <c r="H143" s="183"/>
      <c r="I143" s="73">
        <f>G143*AO143</f>
        <v>0</v>
      </c>
      <c r="J143" s="73">
        <f>G143*AP143</f>
        <v>0</v>
      </c>
      <c r="K143" s="73">
        <f>G143*H143</f>
        <v>0</v>
      </c>
      <c r="L143" s="73">
        <v>0.97221</v>
      </c>
      <c r="M143" s="73">
        <f>G143*L143</f>
        <v>53.47155</v>
      </c>
      <c r="N143" s="85" t="s">
        <v>647</v>
      </c>
      <c r="O143" s="18"/>
      <c r="Z143" s="48">
        <f>IF(AQ143="5",BJ143,0)</f>
        <v>0</v>
      </c>
      <c r="AB143" s="48">
        <f>IF(AQ143="1",BH143,0)</f>
        <v>0</v>
      </c>
      <c r="AC143" s="48">
        <f>IF(AQ143="1",BI143,0)</f>
        <v>0</v>
      </c>
      <c r="AD143" s="48">
        <f>IF(AQ143="7",BH143,0)</f>
        <v>0</v>
      </c>
      <c r="AE143" s="48">
        <f>IF(AQ143="7",BI143,0)</f>
        <v>0</v>
      </c>
      <c r="AF143" s="48">
        <f>IF(AQ143="2",BH143,0)</f>
        <v>0</v>
      </c>
      <c r="AG143" s="48">
        <f>IF(AQ143="2",BI143,0)</f>
        <v>0</v>
      </c>
      <c r="AH143" s="48">
        <f>IF(AQ143="0",BJ143,0)</f>
        <v>0</v>
      </c>
      <c r="AI143" s="80"/>
      <c r="AJ143" s="73">
        <f>IF(AN143=0,K143,0)</f>
        <v>0</v>
      </c>
      <c r="AK143" s="73">
        <f>IF(AN143=15,K143,0)</f>
        <v>0</v>
      </c>
      <c r="AL143" s="73">
        <f>IF(AN143=21,K143,0)</f>
        <v>0</v>
      </c>
      <c r="AN143" s="48">
        <v>21</v>
      </c>
      <c r="AO143" s="48">
        <f>H143*0.666867616418652</f>
        <v>0</v>
      </c>
      <c r="AP143" s="48">
        <f>H143*(1-0.666867616418652)</f>
        <v>0</v>
      </c>
      <c r="AQ143" s="88" t="s">
        <v>81</v>
      </c>
      <c r="AV143" s="48">
        <f>AW143+AX143</f>
        <v>0</v>
      </c>
      <c r="AW143" s="48">
        <f>G143*AO143</f>
        <v>0</v>
      </c>
      <c r="AX143" s="48">
        <f>G143*AP143</f>
        <v>0</v>
      </c>
      <c r="AY143" s="90" t="s">
        <v>670</v>
      </c>
      <c r="AZ143" s="90" t="s">
        <v>686</v>
      </c>
      <c r="BA143" s="80" t="s">
        <v>690</v>
      </c>
      <c r="BC143" s="48">
        <f>AW143+AX143</f>
        <v>0</v>
      </c>
      <c r="BD143" s="48">
        <f>H143/(100-BE143)*100</f>
        <v>0</v>
      </c>
      <c r="BE143" s="48">
        <v>0</v>
      </c>
      <c r="BF143" s="48">
        <f>M143</f>
        <v>53.47155</v>
      </c>
      <c r="BH143" s="73">
        <f>G143*AO143</f>
        <v>0</v>
      </c>
      <c r="BI143" s="73">
        <f>G143*AP143</f>
        <v>0</v>
      </c>
      <c r="BJ143" s="73">
        <f>G143*H143</f>
        <v>0</v>
      </c>
      <c r="BK143" s="73" t="s">
        <v>695</v>
      </c>
      <c r="BL143" s="48">
        <v>58</v>
      </c>
    </row>
    <row r="144" spans="1:15" ht="12.75">
      <c r="A144" s="18"/>
      <c r="D144" s="66" t="s">
        <v>458</v>
      </c>
      <c r="E144" s="68" t="s">
        <v>594</v>
      </c>
      <c r="G144" s="74">
        <v>55</v>
      </c>
      <c r="N144" s="16"/>
      <c r="O144" s="18"/>
    </row>
    <row r="145" spans="1:47" ht="12.75">
      <c r="A145" s="57"/>
      <c r="B145" s="63"/>
      <c r="C145" s="63" t="s">
        <v>159</v>
      </c>
      <c r="D145" s="177" t="s">
        <v>459</v>
      </c>
      <c r="E145" s="178"/>
      <c r="F145" s="71" t="s">
        <v>78</v>
      </c>
      <c r="G145" s="71" t="s">
        <v>78</v>
      </c>
      <c r="H145" s="71" t="s">
        <v>78</v>
      </c>
      <c r="I145" s="93">
        <f>SUM(I146:I154)</f>
        <v>0</v>
      </c>
      <c r="J145" s="93">
        <f>SUM(J146:J154)</f>
        <v>0</v>
      </c>
      <c r="K145" s="93">
        <f>SUM(K146:K154)</f>
        <v>0</v>
      </c>
      <c r="L145" s="80"/>
      <c r="M145" s="93">
        <f>SUM(M146:M154)</f>
        <v>11.4812</v>
      </c>
      <c r="N145" s="84"/>
      <c r="O145" s="18"/>
      <c r="AI145" s="80"/>
      <c r="AS145" s="93">
        <f>SUM(AJ146:AJ154)</f>
        <v>0</v>
      </c>
      <c r="AT145" s="93">
        <f>SUM(AK146:AK154)</f>
        <v>0</v>
      </c>
      <c r="AU145" s="93">
        <f>SUM(AL146:AL154)</f>
        <v>0</v>
      </c>
    </row>
    <row r="146" spans="1:64" ht="12.75">
      <c r="A146" s="58" t="s">
        <v>155</v>
      </c>
      <c r="B146" s="64"/>
      <c r="C146" s="64" t="s">
        <v>273</v>
      </c>
      <c r="D146" s="179" t="s">
        <v>460</v>
      </c>
      <c r="E146" s="180"/>
      <c r="F146" s="64" t="s">
        <v>613</v>
      </c>
      <c r="G146" s="73">
        <v>24</v>
      </c>
      <c r="H146" s="183"/>
      <c r="I146" s="73">
        <f>G146*AO146</f>
        <v>0</v>
      </c>
      <c r="J146" s="73">
        <f>G146*AP146</f>
        <v>0</v>
      </c>
      <c r="K146" s="73">
        <f>G146*H146</f>
        <v>0</v>
      </c>
      <c r="L146" s="73">
        <v>0.0739</v>
      </c>
      <c r="M146" s="73">
        <f>G146*L146</f>
        <v>1.7735999999999998</v>
      </c>
      <c r="N146" s="85" t="s">
        <v>648</v>
      </c>
      <c r="O146" s="18"/>
      <c r="Z146" s="48">
        <f>IF(AQ146="5",BJ146,0)</f>
        <v>0</v>
      </c>
      <c r="AB146" s="48">
        <f>IF(AQ146="1",BH146,0)</f>
        <v>0</v>
      </c>
      <c r="AC146" s="48">
        <f>IF(AQ146="1",BI146,0)</f>
        <v>0</v>
      </c>
      <c r="AD146" s="48">
        <f>IF(AQ146="7",BH146,0)</f>
        <v>0</v>
      </c>
      <c r="AE146" s="48">
        <f>IF(AQ146="7",BI146,0)</f>
        <v>0</v>
      </c>
      <c r="AF146" s="48">
        <f>IF(AQ146="2",BH146,0)</f>
        <v>0</v>
      </c>
      <c r="AG146" s="48">
        <f>IF(AQ146="2",BI146,0)</f>
        <v>0</v>
      </c>
      <c r="AH146" s="48">
        <f>IF(AQ146="0",BJ146,0)</f>
        <v>0</v>
      </c>
      <c r="AI146" s="80"/>
      <c r="AJ146" s="73">
        <f>IF(AN146=0,K146,0)</f>
        <v>0</v>
      </c>
      <c r="AK146" s="73">
        <f>IF(AN146=15,K146,0)</f>
        <v>0</v>
      </c>
      <c r="AL146" s="73">
        <f>IF(AN146=21,K146,0)</f>
        <v>0</v>
      </c>
      <c r="AN146" s="48">
        <v>21</v>
      </c>
      <c r="AO146" s="48">
        <f>H146*0.148384754990926</f>
        <v>0</v>
      </c>
      <c r="AP146" s="48">
        <f>H146*(1-0.148384754990926)</f>
        <v>0</v>
      </c>
      <c r="AQ146" s="88" t="s">
        <v>81</v>
      </c>
      <c r="AV146" s="48">
        <f>AW146+AX146</f>
        <v>0</v>
      </c>
      <c r="AW146" s="48">
        <f>G146*AO146</f>
        <v>0</v>
      </c>
      <c r="AX146" s="48">
        <f>G146*AP146</f>
        <v>0</v>
      </c>
      <c r="AY146" s="90" t="s">
        <v>671</v>
      </c>
      <c r="AZ146" s="90" t="s">
        <v>686</v>
      </c>
      <c r="BA146" s="80" t="s">
        <v>690</v>
      </c>
      <c r="BC146" s="48">
        <f>AW146+AX146</f>
        <v>0</v>
      </c>
      <c r="BD146" s="48">
        <f>H146/(100-BE146)*100</f>
        <v>0</v>
      </c>
      <c r="BE146" s="48">
        <v>0</v>
      </c>
      <c r="BF146" s="48">
        <f>M146</f>
        <v>1.7735999999999998</v>
      </c>
      <c r="BH146" s="73">
        <f>G146*AO146</f>
        <v>0</v>
      </c>
      <c r="BI146" s="73">
        <f>G146*AP146</f>
        <v>0</v>
      </c>
      <c r="BJ146" s="73">
        <f>G146*H146</f>
        <v>0</v>
      </c>
      <c r="BK146" s="73" t="s">
        <v>695</v>
      </c>
      <c r="BL146" s="48">
        <v>59</v>
      </c>
    </row>
    <row r="147" spans="1:15" ht="12.75">
      <c r="A147" s="18"/>
      <c r="D147" s="66" t="s">
        <v>124</v>
      </c>
      <c r="E147" s="68"/>
      <c r="G147" s="74">
        <v>24</v>
      </c>
      <c r="N147" s="16"/>
      <c r="O147" s="18"/>
    </row>
    <row r="148" spans="1:64" ht="12.75">
      <c r="A148" s="58" t="s">
        <v>156</v>
      </c>
      <c r="B148" s="64"/>
      <c r="C148" s="64" t="s">
        <v>274</v>
      </c>
      <c r="D148" s="179" t="s">
        <v>461</v>
      </c>
      <c r="E148" s="180"/>
      <c r="F148" s="64" t="s">
        <v>612</v>
      </c>
      <c r="G148" s="73">
        <v>10</v>
      </c>
      <c r="H148" s="183"/>
      <c r="I148" s="73">
        <f>G148*AO148</f>
        <v>0</v>
      </c>
      <c r="J148" s="73">
        <f>G148*AP148</f>
        <v>0</v>
      </c>
      <c r="K148" s="73">
        <f>G148*H148</f>
        <v>0</v>
      </c>
      <c r="L148" s="73">
        <v>0.00036</v>
      </c>
      <c r="M148" s="73">
        <f>G148*L148</f>
        <v>0.0036000000000000003</v>
      </c>
      <c r="N148" s="85" t="s">
        <v>648</v>
      </c>
      <c r="O148" s="18"/>
      <c r="Z148" s="48">
        <f>IF(AQ148="5",BJ148,0)</f>
        <v>0</v>
      </c>
      <c r="AB148" s="48">
        <f>IF(AQ148="1",BH148,0)</f>
        <v>0</v>
      </c>
      <c r="AC148" s="48">
        <f>IF(AQ148="1",BI148,0)</f>
        <v>0</v>
      </c>
      <c r="AD148" s="48">
        <f>IF(AQ148="7",BH148,0)</f>
        <v>0</v>
      </c>
      <c r="AE148" s="48">
        <f>IF(AQ148="7",BI148,0)</f>
        <v>0</v>
      </c>
      <c r="AF148" s="48">
        <f>IF(AQ148="2",BH148,0)</f>
        <v>0</v>
      </c>
      <c r="AG148" s="48">
        <f>IF(AQ148="2",BI148,0)</f>
        <v>0</v>
      </c>
      <c r="AH148" s="48">
        <f>IF(AQ148="0",BJ148,0)</f>
        <v>0</v>
      </c>
      <c r="AI148" s="80"/>
      <c r="AJ148" s="73">
        <f>IF(AN148=0,K148,0)</f>
        <v>0</v>
      </c>
      <c r="AK148" s="73">
        <f>IF(AN148=15,K148,0)</f>
        <v>0</v>
      </c>
      <c r="AL148" s="73">
        <f>IF(AN148=21,K148,0)</f>
        <v>0</v>
      </c>
      <c r="AN148" s="48">
        <v>21</v>
      </c>
      <c r="AO148" s="48">
        <f>H148*0.0585312207242068</f>
        <v>0</v>
      </c>
      <c r="AP148" s="48">
        <f>H148*(1-0.0585312207242068)</f>
        <v>0</v>
      </c>
      <c r="AQ148" s="88" t="s">
        <v>81</v>
      </c>
      <c r="AV148" s="48">
        <f>AW148+AX148</f>
        <v>0</v>
      </c>
      <c r="AW148" s="48">
        <f>G148*AO148</f>
        <v>0</v>
      </c>
      <c r="AX148" s="48">
        <f>G148*AP148</f>
        <v>0</v>
      </c>
      <c r="AY148" s="90" t="s">
        <v>671</v>
      </c>
      <c r="AZ148" s="90" t="s">
        <v>686</v>
      </c>
      <c r="BA148" s="80" t="s">
        <v>690</v>
      </c>
      <c r="BC148" s="48">
        <f>AW148+AX148</f>
        <v>0</v>
      </c>
      <c r="BD148" s="48">
        <f>H148/(100-BE148)*100</f>
        <v>0</v>
      </c>
      <c r="BE148" s="48">
        <v>0</v>
      </c>
      <c r="BF148" s="48">
        <f>M148</f>
        <v>0.0036000000000000003</v>
      </c>
      <c r="BH148" s="73">
        <f>G148*AO148</f>
        <v>0</v>
      </c>
      <c r="BI148" s="73">
        <f>G148*AP148</f>
        <v>0</v>
      </c>
      <c r="BJ148" s="73">
        <f>G148*H148</f>
        <v>0</v>
      </c>
      <c r="BK148" s="73" t="s">
        <v>695</v>
      </c>
      <c r="BL148" s="48">
        <v>59</v>
      </c>
    </row>
    <row r="149" spans="1:15" ht="12.75">
      <c r="A149" s="18"/>
      <c r="D149" s="66" t="s">
        <v>110</v>
      </c>
      <c r="E149" s="68"/>
      <c r="G149" s="74">
        <v>10</v>
      </c>
      <c r="N149" s="16"/>
      <c r="O149" s="18"/>
    </row>
    <row r="150" spans="1:64" ht="12.75">
      <c r="A150" s="59" t="s">
        <v>157</v>
      </c>
      <c r="B150" s="65"/>
      <c r="C150" s="65" t="s">
        <v>275</v>
      </c>
      <c r="D150" s="181" t="s">
        <v>462</v>
      </c>
      <c r="E150" s="182"/>
      <c r="F150" s="65" t="s">
        <v>613</v>
      </c>
      <c r="G150" s="75">
        <v>24</v>
      </c>
      <c r="H150" s="184"/>
      <c r="I150" s="75">
        <f>G150*AO150</f>
        <v>0</v>
      </c>
      <c r="J150" s="75">
        <f>G150*AP150</f>
        <v>0</v>
      </c>
      <c r="K150" s="75">
        <f>G150*H150</f>
        <v>0</v>
      </c>
      <c r="L150" s="75">
        <v>0.188</v>
      </c>
      <c r="M150" s="75">
        <f>G150*L150</f>
        <v>4.5120000000000005</v>
      </c>
      <c r="N150" s="86" t="s">
        <v>650</v>
      </c>
      <c r="O150" s="18"/>
      <c r="Z150" s="48">
        <f>IF(AQ150="5",BJ150,0)</f>
        <v>0</v>
      </c>
      <c r="AB150" s="48">
        <f>IF(AQ150="1",BH150,0)</f>
        <v>0</v>
      </c>
      <c r="AC150" s="48">
        <f>IF(AQ150="1",BI150,0)</f>
        <v>0</v>
      </c>
      <c r="AD150" s="48">
        <f>IF(AQ150="7",BH150,0)</f>
        <v>0</v>
      </c>
      <c r="AE150" s="48">
        <f>IF(AQ150="7",BI150,0)</f>
        <v>0</v>
      </c>
      <c r="AF150" s="48">
        <f>IF(AQ150="2",BH150,0)</f>
        <v>0</v>
      </c>
      <c r="AG150" s="48">
        <f>IF(AQ150="2",BI150,0)</f>
        <v>0</v>
      </c>
      <c r="AH150" s="48">
        <f>IF(AQ150="0",BJ150,0)</f>
        <v>0</v>
      </c>
      <c r="AI150" s="80"/>
      <c r="AJ150" s="75">
        <f>IF(AN150=0,K150,0)</f>
        <v>0</v>
      </c>
      <c r="AK150" s="75">
        <f>IF(AN150=15,K150,0)</f>
        <v>0</v>
      </c>
      <c r="AL150" s="75">
        <f>IF(AN150=21,K150,0)</f>
        <v>0</v>
      </c>
      <c r="AN150" s="48">
        <v>21</v>
      </c>
      <c r="AO150" s="48">
        <f>H150*1</f>
        <v>0</v>
      </c>
      <c r="AP150" s="48">
        <f>H150*(1-1)</f>
        <v>0</v>
      </c>
      <c r="AQ150" s="89" t="s">
        <v>81</v>
      </c>
      <c r="AV150" s="48">
        <f>AW150+AX150</f>
        <v>0</v>
      </c>
      <c r="AW150" s="48">
        <f>G150*AO150</f>
        <v>0</v>
      </c>
      <c r="AX150" s="48">
        <f>G150*AP150</f>
        <v>0</v>
      </c>
      <c r="AY150" s="90" t="s">
        <v>671</v>
      </c>
      <c r="AZ150" s="90" t="s">
        <v>686</v>
      </c>
      <c r="BA150" s="80" t="s">
        <v>690</v>
      </c>
      <c r="BC150" s="48">
        <f>AW150+AX150</f>
        <v>0</v>
      </c>
      <c r="BD150" s="48">
        <f>H150/(100-BE150)*100</f>
        <v>0</v>
      </c>
      <c r="BE150" s="48">
        <v>0</v>
      </c>
      <c r="BF150" s="48">
        <f>M150</f>
        <v>4.5120000000000005</v>
      </c>
      <c r="BH150" s="75">
        <f>G150*AO150</f>
        <v>0</v>
      </c>
      <c r="BI150" s="75">
        <f>G150*AP150</f>
        <v>0</v>
      </c>
      <c r="BJ150" s="75">
        <f>G150*H150</f>
        <v>0</v>
      </c>
      <c r="BK150" s="75" t="s">
        <v>696</v>
      </c>
      <c r="BL150" s="48">
        <v>59</v>
      </c>
    </row>
    <row r="151" spans="1:15" ht="12.75">
      <c r="A151" s="18"/>
      <c r="D151" s="66" t="s">
        <v>124</v>
      </c>
      <c r="E151" s="68"/>
      <c r="G151" s="74">
        <v>24</v>
      </c>
      <c r="N151" s="16"/>
      <c r="O151" s="18"/>
    </row>
    <row r="152" spans="1:64" ht="12.75">
      <c r="A152" s="58" t="s">
        <v>158</v>
      </c>
      <c r="B152" s="64"/>
      <c r="C152" s="64" t="s">
        <v>276</v>
      </c>
      <c r="D152" s="179" t="s">
        <v>463</v>
      </c>
      <c r="E152" s="180"/>
      <c r="F152" s="64" t="s">
        <v>613</v>
      </c>
      <c r="G152" s="73">
        <v>10</v>
      </c>
      <c r="H152" s="183"/>
      <c r="I152" s="73">
        <f>G152*AO152</f>
        <v>0</v>
      </c>
      <c r="J152" s="73">
        <f>G152*AP152</f>
        <v>0</v>
      </c>
      <c r="K152" s="73">
        <f>G152*H152</f>
        <v>0</v>
      </c>
      <c r="L152" s="73">
        <v>0.20532</v>
      </c>
      <c r="M152" s="73">
        <f>G152*L152</f>
        <v>2.0532</v>
      </c>
      <c r="N152" s="85" t="s">
        <v>647</v>
      </c>
      <c r="O152" s="18"/>
      <c r="Z152" s="48">
        <f>IF(AQ152="5",BJ152,0)</f>
        <v>0</v>
      </c>
      <c r="AB152" s="48">
        <f>IF(AQ152="1",BH152,0)</f>
        <v>0</v>
      </c>
      <c r="AC152" s="48">
        <f>IF(AQ152="1",BI152,0)</f>
        <v>0</v>
      </c>
      <c r="AD152" s="48">
        <f>IF(AQ152="7",BH152,0)</f>
        <v>0</v>
      </c>
      <c r="AE152" s="48">
        <f>IF(AQ152="7",BI152,0)</f>
        <v>0</v>
      </c>
      <c r="AF152" s="48">
        <f>IF(AQ152="2",BH152,0)</f>
        <v>0</v>
      </c>
      <c r="AG152" s="48">
        <f>IF(AQ152="2",BI152,0)</f>
        <v>0</v>
      </c>
      <c r="AH152" s="48">
        <f>IF(AQ152="0",BJ152,0)</f>
        <v>0</v>
      </c>
      <c r="AI152" s="80"/>
      <c r="AJ152" s="73">
        <f>IF(AN152=0,K152,0)</f>
        <v>0</v>
      </c>
      <c r="AK152" s="73">
        <f>IF(AN152=15,K152,0)</f>
        <v>0</v>
      </c>
      <c r="AL152" s="73">
        <f>IF(AN152=21,K152,0)</f>
        <v>0</v>
      </c>
      <c r="AN152" s="48">
        <v>21</v>
      </c>
      <c r="AO152" s="48">
        <f>H152*0.717314189189189</f>
        <v>0</v>
      </c>
      <c r="AP152" s="48">
        <f>H152*(1-0.717314189189189)</f>
        <v>0</v>
      </c>
      <c r="AQ152" s="88" t="s">
        <v>81</v>
      </c>
      <c r="AV152" s="48">
        <f>AW152+AX152</f>
        <v>0</v>
      </c>
      <c r="AW152" s="48">
        <f>G152*AO152</f>
        <v>0</v>
      </c>
      <c r="AX152" s="48">
        <f>G152*AP152</f>
        <v>0</v>
      </c>
      <c r="AY152" s="90" t="s">
        <v>671</v>
      </c>
      <c r="AZ152" s="90" t="s">
        <v>686</v>
      </c>
      <c r="BA152" s="80" t="s">
        <v>690</v>
      </c>
      <c r="BC152" s="48">
        <f>AW152+AX152</f>
        <v>0</v>
      </c>
      <c r="BD152" s="48">
        <f>H152/(100-BE152)*100</f>
        <v>0</v>
      </c>
      <c r="BE152" s="48">
        <v>0</v>
      </c>
      <c r="BF152" s="48">
        <f>M152</f>
        <v>2.0532</v>
      </c>
      <c r="BH152" s="73">
        <f>G152*AO152</f>
        <v>0</v>
      </c>
      <c r="BI152" s="73">
        <f>G152*AP152</f>
        <v>0</v>
      </c>
      <c r="BJ152" s="73">
        <f>G152*H152</f>
        <v>0</v>
      </c>
      <c r="BK152" s="73" t="s">
        <v>695</v>
      </c>
      <c r="BL152" s="48">
        <v>59</v>
      </c>
    </row>
    <row r="153" spans="1:15" ht="12.75">
      <c r="A153" s="18"/>
      <c r="D153" s="66" t="s">
        <v>110</v>
      </c>
      <c r="E153" s="68" t="s">
        <v>595</v>
      </c>
      <c r="G153" s="74">
        <v>10</v>
      </c>
      <c r="N153" s="16"/>
      <c r="O153" s="18"/>
    </row>
    <row r="154" spans="1:64" ht="12.75">
      <c r="A154" s="58" t="s">
        <v>159</v>
      </c>
      <c r="B154" s="64"/>
      <c r="C154" s="64" t="s">
        <v>277</v>
      </c>
      <c r="D154" s="179" t="s">
        <v>464</v>
      </c>
      <c r="E154" s="180"/>
      <c r="F154" s="64" t="s">
        <v>613</v>
      </c>
      <c r="G154" s="73">
        <v>10</v>
      </c>
      <c r="H154" s="183"/>
      <c r="I154" s="73">
        <f>G154*AO154</f>
        <v>0</v>
      </c>
      <c r="J154" s="73">
        <f>G154*AP154</f>
        <v>0</v>
      </c>
      <c r="K154" s="73">
        <f>G154*H154</f>
        <v>0</v>
      </c>
      <c r="L154" s="73">
        <v>0.31388</v>
      </c>
      <c r="M154" s="73">
        <f>G154*L154</f>
        <v>3.1388</v>
      </c>
      <c r="N154" s="85" t="s">
        <v>647</v>
      </c>
      <c r="O154" s="18"/>
      <c r="Z154" s="48">
        <f>IF(AQ154="5",BJ154,0)</f>
        <v>0</v>
      </c>
      <c r="AB154" s="48">
        <f>IF(AQ154="1",BH154,0)</f>
        <v>0</v>
      </c>
      <c r="AC154" s="48">
        <f>IF(AQ154="1",BI154,0)</f>
        <v>0</v>
      </c>
      <c r="AD154" s="48">
        <f>IF(AQ154="7",BH154,0)</f>
        <v>0</v>
      </c>
      <c r="AE154" s="48">
        <f>IF(AQ154="7",BI154,0)</f>
        <v>0</v>
      </c>
      <c r="AF154" s="48">
        <f>IF(AQ154="2",BH154,0)</f>
        <v>0</v>
      </c>
      <c r="AG154" s="48">
        <f>IF(AQ154="2",BI154,0)</f>
        <v>0</v>
      </c>
      <c r="AH154" s="48">
        <f>IF(AQ154="0",BJ154,0)</f>
        <v>0</v>
      </c>
      <c r="AI154" s="80"/>
      <c r="AJ154" s="73">
        <f>IF(AN154=0,K154,0)</f>
        <v>0</v>
      </c>
      <c r="AK154" s="73">
        <f>IF(AN154=15,K154,0)</f>
        <v>0</v>
      </c>
      <c r="AL154" s="73">
        <f>IF(AN154=21,K154,0)</f>
        <v>0</v>
      </c>
      <c r="AN154" s="48">
        <v>21</v>
      </c>
      <c r="AO154" s="48">
        <f>H154*0.416063191746576</f>
        <v>0</v>
      </c>
      <c r="AP154" s="48">
        <f>H154*(1-0.416063191746576)</f>
        <v>0</v>
      </c>
      <c r="AQ154" s="88" t="s">
        <v>81</v>
      </c>
      <c r="AV154" s="48">
        <f>AW154+AX154</f>
        <v>0</v>
      </c>
      <c r="AW154" s="48">
        <f>G154*AO154</f>
        <v>0</v>
      </c>
      <c r="AX154" s="48">
        <f>G154*AP154</f>
        <v>0</v>
      </c>
      <c r="AY154" s="90" t="s">
        <v>671</v>
      </c>
      <c r="AZ154" s="90" t="s">
        <v>686</v>
      </c>
      <c r="BA154" s="80" t="s">
        <v>690</v>
      </c>
      <c r="BC154" s="48">
        <f>AW154+AX154</f>
        <v>0</v>
      </c>
      <c r="BD154" s="48">
        <f>H154/(100-BE154)*100</f>
        <v>0</v>
      </c>
      <c r="BE154" s="48">
        <v>0</v>
      </c>
      <c r="BF154" s="48">
        <f>M154</f>
        <v>3.1388</v>
      </c>
      <c r="BH154" s="73">
        <f>G154*AO154</f>
        <v>0</v>
      </c>
      <c r="BI154" s="73">
        <f>G154*AP154</f>
        <v>0</v>
      </c>
      <c r="BJ154" s="73">
        <f>G154*H154</f>
        <v>0</v>
      </c>
      <c r="BK154" s="73" t="s">
        <v>695</v>
      </c>
      <c r="BL154" s="48">
        <v>59</v>
      </c>
    </row>
    <row r="155" spans="1:15" ht="12.75">
      <c r="A155" s="18"/>
      <c r="D155" s="66" t="s">
        <v>110</v>
      </c>
      <c r="E155" s="68" t="s">
        <v>596</v>
      </c>
      <c r="G155" s="74">
        <v>10</v>
      </c>
      <c r="N155" s="16"/>
      <c r="O155" s="18"/>
    </row>
    <row r="156" spans="1:47" ht="12.75">
      <c r="A156" s="57"/>
      <c r="B156" s="63"/>
      <c r="C156" s="63" t="s">
        <v>278</v>
      </c>
      <c r="D156" s="177" t="s">
        <v>465</v>
      </c>
      <c r="E156" s="178"/>
      <c r="F156" s="71" t="s">
        <v>78</v>
      </c>
      <c r="G156" s="71" t="s">
        <v>78</v>
      </c>
      <c r="H156" s="71" t="s">
        <v>78</v>
      </c>
      <c r="I156" s="93">
        <f>SUM(I157:I159)</f>
        <v>0</v>
      </c>
      <c r="J156" s="93">
        <f>SUM(J157:J159)</f>
        <v>0</v>
      </c>
      <c r="K156" s="93">
        <f>SUM(K157:K159)</f>
        <v>0</v>
      </c>
      <c r="L156" s="80"/>
      <c r="M156" s="93">
        <f>SUM(M157:M159)</f>
        <v>0.5618</v>
      </c>
      <c r="N156" s="84"/>
      <c r="O156" s="18"/>
      <c r="AI156" s="80"/>
      <c r="AS156" s="93">
        <f>SUM(AJ157:AJ159)</f>
        <v>0</v>
      </c>
      <c r="AT156" s="93">
        <f>SUM(AK157:AK159)</f>
        <v>0</v>
      </c>
      <c r="AU156" s="93">
        <f>SUM(AL157:AL159)</f>
        <v>0</v>
      </c>
    </row>
    <row r="157" spans="1:64" ht="12.75">
      <c r="A157" s="58" t="s">
        <v>160</v>
      </c>
      <c r="B157" s="64"/>
      <c r="C157" s="64" t="s">
        <v>279</v>
      </c>
      <c r="D157" s="179" t="s">
        <v>466</v>
      </c>
      <c r="E157" s="180"/>
      <c r="F157" s="64" t="s">
        <v>616</v>
      </c>
      <c r="G157" s="73">
        <v>80</v>
      </c>
      <c r="H157" s="183"/>
      <c r="I157" s="73">
        <f>G157*AO157</f>
        <v>0</v>
      </c>
      <c r="J157" s="73">
        <f>G157*AP157</f>
        <v>0</v>
      </c>
      <c r="K157" s="73">
        <f>G157*H157</f>
        <v>0</v>
      </c>
      <c r="L157" s="73">
        <v>0.00106</v>
      </c>
      <c r="M157" s="73">
        <f>G157*L157</f>
        <v>0.0848</v>
      </c>
      <c r="N157" s="85" t="s">
        <v>647</v>
      </c>
      <c r="O157" s="18"/>
      <c r="Z157" s="48">
        <f>IF(AQ157="5",BJ157,0)</f>
        <v>0</v>
      </c>
      <c r="AB157" s="48">
        <f>IF(AQ157="1",BH157,0)</f>
        <v>0</v>
      </c>
      <c r="AC157" s="48">
        <f>IF(AQ157="1",BI157,0)</f>
        <v>0</v>
      </c>
      <c r="AD157" s="48">
        <f>IF(AQ157="7",BH157,0)</f>
        <v>0</v>
      </c>
      <c r="AE157" s="48">
        <f>IF(AQ157="7",BI157,0)</f>
        <v>0</v>
      </c>
      <c r="AF157" s="48">
        <f>IF(AQ157="2",BH157,0)</f>
        <v>0</v>
      </c>
      <c r="AG157" s="48">
        <f>IF(AQ157="2",BI157,0)</f>
        <v>0</v>
      </c>
      <c r="AH157" s="48">
        <f>IF(AQ157="0",BJ157,0)</f>
        <v>0</v>
      </c>
      <c r="AI157" s="80"/>
      <c r="AJ157" s="73">
        <f>IF(AN157=0,K157,0)</f>
        <v>0</v>
      </c>
      <c r="AK157" s="73">
        <f>IF(AN157=15,K157,0)</f>
        <v>0</v>
      </c>
      <c r="AL157" s="73">
        <f>IF(AN157=21,K157,0)</f>
        <v>0</v>
      </c>
      <c r="AN157" s="48">
        <v>21</v>
      </c>
      <c r="AO157" s="48">
        <f>H157*0.69768614841435</f>
        <v>0</v>
      </c>
      <c r="AP157" s="48">
        <f>H157*(1-0.69768614841435)</f>
        <v>0</v>
      </c>
      <c r="AQ157" s="88" t="s">
        <v>109</v>
      </c>
      <c r="AV157" s="48">
        <f>AW157+AX157</f>
        <v>0</v>
      </c>
      <c r="AW157" s="48">
        <f>G157*AO157</f>
        <v>0</v>
      </c>
      <c r="AX157" s="48">
        <f>G157*AP157</f>
        <v>0</v>
      </c>
      <c r="AY157" s="90" t="s">
        <v>672</v>
      </c>
      <c r="AZ157" s="90" t="s">
        <v>687</v>
      </c>
      <c r="BA157" s="80" t="s">
        <v>690</v>
      </c>
      <c r="BC157" s="48">
        <f>AW157+AX157</f>
        <v>0</v>
      </c>
      <c r="BD157" s="48">
        <f>H157/(100-BE157)*100</f>
        <v>0</v>
      </c>
      <c r="BE157" s="48">
        <v>0</v>
      </c>
      <c r="BF157" s="48">
        <f>M157</f>
        <v>0.0848</v>
      </c>
      <c r="BH157" s="73">
        <f>G157*AO157</f>
        <v>0</v>
      </c>
      <c r="BI157" s="73">
        <f>G157*AP157</f>
        <v>0</v>
      </c>
      <c r="BJ157" s="73">
        <f>G157*H157</f>
        <v>0</v>
      </c>
      <c r="BK157" s="73" t="s">
        <v>695</v>
      </c>
      <c r="BL157" s="48">
        <v>767</v>
      </c>
    </row>
    <row r="158" spans="1:15" ht="12.75">
      <c r="A158" s="18"/>
      <c r="D158" s="66" t="s">
        <v>467</v>
      </c>
      <c r="E158" s="68" t="s">
        <v>597</v>
      </c>
      <c r="G158" s="74">
        <v>80</v>
      </c>
      <c r="N158" s="16"/>
      <c r="O158" s="18"/>
    </row>
    <row r="159" spans="1:64" ht="12.75">
      <c r="A159" s="58" t="s">
        <v>161</v>
      </c>
      <c r="B159" s="64"/>
      <c r="C159" s="64" t="s">
        <v>280</v>
      </c>
      <c r="D159" s="179" t="s">
        <v>468</v>
      </c>
      <c r="E159" s="180"/>
      <c r="F159" s="64" t="s">
        <v>616</v>
      </c>
      <c r="G159" s="73">
        <v>450</v>
      </c>
      <c r="H159" s="183"/>
      <c r="I159" s="73">
        <f>G159*AO159</f>
        <v>0</v>
      </c>
      <c r="J159" s="73">
        <f>G159*AP159</f>
        <v>0</v>
      </c>
      <c r="K159" s="73">
        <f>G159*H159</f>
        <v>0</v>
      </c>
      <c r="L159" s="73">
        <v>0.00106</v>
      </c>
      <c r="M159" s="73">
        <f>G159*L159</f>
        <v>0.477</v>
      </c>
      <c r="N159" s="85" t="s">
        <v>648</v>
      </c>
      <c r="O159" s="18"/>
      <c r="Z159" s="48">
        <f>IF(AQ159="5",BJ159,0)</f>
        <v>0</v>
      </c>
      <c r="AB159" s="48">
        <f>IF(AQ159="1",BH159,0)</f>
        <v>0</v>
      </c>
      <c r="AC159" s="48">
        <f>IF(AQ159="1",BI159,0)</f>
        <v>0</v>
      </c>
      <c r="AD159" s="48">
        <f>IF(AQ159="7",BH159,0)</f>
        <v>0</v>
      </c>
      <c r="AE159" s="48">
        <f>IF(AQ159="7",BI159,0)</f>
        <v>0</v>
      </c>
      <c r="AF159" s="48">
        <f>IF(AQ159="2",BH159,0)</f>
        <v>0</v>
      </c>
      <c r="AG159" s="48">
        <f>IF(AQ159="2",BI159,0)</f>
        <v>0</v>
      </c>
      <c r="AH159" s="48">
        <f>IF(AQ159="0",BJ159,0)</f>
        <v>0</v>
      </c>
      <c r="AI159" s="80"/>
      <c r="AJ159" s="73">
        <f>IF(AN159=0,K159,0)</f>
        <v>0</v>
      </c>
      <c r="AK159" s="73">
        <f>IF(AN159=15,K159,0)</f>
        <v>0</v>
      </c>
      <c r="AL159" s="73">
        <f>IF(AN159=21,K159,0)</f>
        <v>0</v>
      </c>
      <c r="AN159" s="48">
        <v>21</v>
      </c>
      <c r="AO159" s="48">
        <f>H159*0.292776709695139</f>
        <v>0</v>
      </c>
      <c r="AP159" s="48">
        <f>H159*(1-0.292776709695139)</f>
        <v>0</v>
      </c>
      <c r="AQ159" s="88" t="s">
        <v>109</v>
      </c>
      <c r="AV159" s="48">
        <f>AW159+AX159</f>
        <v>0</v>
      </c>
      <c r="AW159" s="48">
        <f>G159*AO159</f>
        <v>0</v>
      </c>
      <c r="AX159" s="48">
        <f>G159*AP159</f>
        <v>0</v>
      </c>
      <c r="AY159" s="90" t="s">
        <v>672</v>
      </c>
      <c r="AZ159" s="90" t="s">
        <v>687</v>
      </c>
      <c r="BA159" s="80" t="s">
        <v>690</v>
      </c>
      <c r="BC159" s="48">
        <f>AW159+AX159</f>
        <v>0</v>
      </c>
      <c r="BD159" s="48">
        <f>H159/(100-BE159)*100</f>
        <v>0</v>
      </c>
      <c r="BE159" s="48">
        <v>0</v>
      </c>
      <c r="BF159" s="48">
        <f>M159</f>
        <v>0.477</v>
      </c>
      <c r="BH159" s="73">
        <f>G159*AO159</f>
        <v>0</v>
      </c>
      <c r="BI159" s="73">
        <f>G159*AP159</f>
        <v>0</v>
      </c>
      <c r="BJ159" s="73">
        <f>G159*H159</f>
        <v>0</v>
      </c>
      <c r="BK159" s="73" t="s">
        <v>695</v>
      </c>
      <c r="BL159" s="48">
        <v>767</v>
      </c>
    </row>
    <row r="160" spans="1:15" ht="12.75">
      <c r="A160" s="18"/>
      <c r="D160" s="66" t="s">
        <v>469</v>
      </c>
      <c r="E160" s="68" t="s">
        <v>598</v>
      </c>
      <c r="G160" s="74">
        <v>450</v>
      </c>
      <c r="N160" s="16"/>
      <c r="O160" s="18"/>
    </row>
    <row r="161" spans="1:47" ht="12.75">
      <c r="A161" s="57"/>
      <c r="B161" s="63"/>
      <c r="C161" s="63" t="s">
        <v>182</v>
      </c>
      <c r="D161" s="177" t="s">
        <v>470</v>
      </c>
      <c r="E161" s="178"/>
      <c r="F161" s="71" t="s">
        <v>78</v>
      </c>
      <c r="G161" s="71" t="s">
        <v>78</v>
      </c>
      <c r="H161" s="71" t="s">
        <v>78</v>
      </c>
      <c r="I161" s="93">
        <f>SUM(I162:I181)</f>
        <v>0</v>
      </c>
      <c r="J161" s="93">
        <f>SUM(J162:J181)</f>
        <v>0</v>
      </c>
      <c r="K161" s="93">
        <f>SUM(K162:K181)</f>
        <v>0</v>
      </c>
      <c r="L161" s="80"/>
      <c r="M161" s="93">
        <f>SUM(M162:M181)</f>
        <v>8.8658</v>
      </c>
      <c r="N161" s="84"/>
      <c r="O161" s="18"/>
      <c r="AI161" s="80"/>
      <c r="AS161" s="93">
        <f>SUM(AJ162:AJ181)</f>
        <v>0</v>
      </c>
      <c r="AT161" s="93">
        <f>SUM(AK162:AK181)</f>
        <v>0</v>
      </c>
      <c r="AU161" s="93">
        <f>SUM(AL162:AL181)</f>
        <v>0</v>
      </c>
    </row>
    <row r="162" spans="1:64" ht="12.75">
      <c r="A162" s="58" t="s">
        <v>162</v>
      </c>
      <c r="B162" s="64"/>
      <c r="C162" s="64" t="s">
        <v>281</v>
      </c>
      <c r="D162" s="179" t="s">
        <v>471</v>
      </c>
      <c r="E162" s="180"/>
      <c r="F162" s="64" t="s">
        <v>612</v>
      </c>
      <c r="G162" s="73">
        <v>8</v>
      </c>
      <c r="H162" s="183"/>
      <c r="I162" s="73">
        <f>G162*AO162</f>
        <v>0</v>
      </c>
      <c r="J162" s="73">
        <f>G162*AP162</f>
        <v>0</v>
      </c>
      <c r="K162" s="73">
        <f>G162*H162</f>
        <v>0</v>
      </c>
      <c r="L162" s="73">
        <v>3E-05</v>
      </c>
      <c r="M162" s="73">
        <f>G162*L162</f>
        <v>0.00024</v>
      </c>
      <c r="N162" s="85" t="s">
        <v>647</v>
      </c>
      <c r="O162" s="18"/>
      <c r="Z162" s="48">
        <f>IF(AQ162="5",BJ162,0)</f>
        <v>0</v>
      </c>
      <c r="AB162" s="48">
        <f>IF(AQ162="1",BH162,0)</f>
        <v>0</v>
      </c>
      <c r="AC162" s="48">
        <f>IF(AQ162="1",BI162,0)</f>
        <v>0</v>
      </c>
      <c r="AD162" s="48">
        <f>IF(AQ162="7",BH162,0)</f>
        <v>0</v>
      </c>
      <c r="AE162" s="48">
        <f>IF(AQ162="7",BI162,0)</f>
        <v>0</v>
      </c>
      <c r="AF162" s="48">
        <f>IF(AQ162="2",BH162,0)</f>
        <v>0</v>
      </c>
      <c r="AG162" s="48">
        <f>IF(AQ162="2",BI162,0)</f>
        <v>0</v>
      </c>
      <c r="AH162" s="48">
        <f>IF(AQ162="0",BJ162,0)</f>
        <v>0</v>
      </c>
      <c r="AI162" s="80"/>
      <c r="AJ162" s="73">
        <f>IF(AN162=0,K162,0)</f>
        <v>0</v>
      </c>
      <c r="AK162" s="73">
        <f>IF(AN162=15,K162,0)</f>
        <v>0</v>
      </c>
      <c r="AL162" s="73">
        <f>IF(AN162=21,K162,0)</f>
        <v>0</v>
      </c>
      <c r="AN162" s="48">
        <v>21</v>
      </c>
      <c r="AO162" s="48">
        <f>H162*0.00408977556109726</f>
        <v>0</v>
      </c>
      <c r="AP162" s="48">
        <f>H162*(1-0.00408977556109726)</f>
        <v>0</v>
      </c>
      <c r="AQ162" s="88" t="s">
        <v>81</v>
      </c>
      <c r="AV162" s="48">
        <f>AW162+AX162</f>
        <v>0</v>
      </c>
      <c r="AW162" s="48">
        <f>G162*AO162</f>
        <v>0</v>
      </c>
      <c r="AX162" s="48">
        <f>G162*AP162</f>
        <v>0</v>
      </c>
      <c r="AY162" s="90" t="s">
        <v>673</v>
      </c>
      <c r="AZ162" s="90" t="s">
        <v>688</v>
      </c>
      <c r="BA162" s="80" t="s">
        <v>690</v>
      </c>
      <c r="BC162" s="48">
        <f>AW162+AX162</f>
        <v>0</v>
      </c>
      <c r="BD162" s="48">
        <f>H162/(100-BE162)*100</f>
        <v>0</v>
      </c>
      <c r="BE162" s="48">
        <v>0</v>
      </c>
      <c r="BF162" s="48">
        <f>M162</f>
        <v>0.00024</v>
      </c>
      <c r="BH162" s="73">
        <f>G162*AO162</f>
        <v>0</v>
      </c>
      <c r="BI162" s="73">
        <f>G162*AP162</f>
        <v>0</v>
      </c>
      <c r="BJ162" s="73">
        <f>G162*H162</f>
        <v>0</v>
      </c>
      <c r="BK162" s="73" t="s">
        <v>695</v>
      </c>
      <c r="BL162" s="48">
        <v>83</v>
      </c>
    </row>
    <row r="163" spans="1:15" ht="12.75">
      <c r="A163" s="18"/>
      <c r="D163" s="66" t="s">
        <v>472</v>
      </c>
      <c r="E163" s="68" t="s">
        <v>599</v>
      </c>
      <c r="G163" s="74">
        <v>8</v>
      </c>
      <c r="N163" s="16"/>
      <c r="O163" s="18"/>
    </row>
    <row r="164" spans="1:64" ht="12.75">
      <c r="A164" s="59" t="s">
        <v>163</v>
      </c>
      <c r="B164" s="65"/>
      <c r="C164" s="65" t="s">
        <v>282</v>
      </c>
      <c r="D164" s="181" t="s">
        <v>473</v>
      </c>
      <c r="E164" s="182"/>
      <c r="F164" s="65" t="s">
        <v>617</v>
      </c>
      <c r="G164" s="75">
        <v>8</v>
      </c>
      <c r="H164" s="184"/>
      <c r="I164" s="75">
        <f>G164*AO164</f>
        <v>0</v>
      </c>
      <c r="J164" s="75">
        <f>G164*AP164</f>
        <v>0</v>
      </c>
      <c r="K164" s="75">
        <f>G164*H164</f>
        <v>0</v>
      </c>
      <c r="L164" s="75">
        <v>0</v>
      </c>
      <c r="M164" s="75">
        <f>G164*L164</f>
        <v>0</v>
      </c>
      <c r="N164" s="86" t="s">
        <v>647</v>
      </c>
      <c r="O164" s="18"/>
      <c r="Z164" s="48">
        <f>IF(AQ164="5",BJ164,0)</f>
        <v>0</v>
      </c>
      <c r="AB164" s="48">
        <f>IF(AQ164="1",BH164,0)</f>
        <v>0</v>
      </c>
      <c r="AC164" s="48">
        <f>IF(AQ164="1",BI164,0)</f>
        <v>0</v>
      </c>
      <c r="AD164" s="48">
        <f>IF(AQ164="7",BH164,0)</f>
        <v>0</v>
      </c>
      <c r="AE164" s="48">
        <f>IF(AQ164="7",BI164,0)</f>
        <v>0</v>
      </c>
      <c r="AF164" s="48">
        <f>IF(AQ164="2",BH164,0)</f>
        <v>0</v>
      </c>
      <c r="AG164" s="48">
        <f>IF(AQ164="2",BI164,0)</f>
        <v>0</v>
      </c>
      <c r="AH164" s="48">
        <f>IF(AQ164="0",BJ164,0)</f>
        <v>0</v>
      </c>
      <c r="AI164" s="80"/>
      <c r="AJ164" s="75">
        <f>IF(AN164=0,K164,0)</f>
        <v>0</v>
      </c>
      <c r="AK164" s="75">
        <f>IF(AN164=15,K164,0)</f>
        <v>0</v>
      </c>
      <c r="AL164" s="75">
        <f>IF(AN164=21,K164,0)</f>
        <v>0</v>
      </c>
      <c r="AN164" s="48">
        <v>21</v>
      </c>
      <c r="AO164" s="48">
        <f>H164*1</f>
        <v>0</v>
      </c>
      <c r="AP164" s="48">
        <f>H164*(1-1)</f>
        <v>0</v>
      </c>
      <c r="AQ164" s="89" t="s">
        <v>81</v>
      </c>
      <c r="AV164" s="48">
        <f>AW164+AX164</f>
        <v>0</v>
      </c>
      <c r="AW164" s="48">
        <f>G164*AO164</f>
        <v>0</v>
      </c>
      <c r="AX164" s="48">
        <f>G164*AP164</f>
        <v>0</v>
      </c>
      <c r="AY164" s="90" t="s">
        <v>673</v>
      </c>
      <c r="AZ164" s="90" t="s">
        <v>688</v>
      </c>
      <c r="BA164" s="80" t="s">
        <v>690</v>
      </c>
      <c r="BC164" s="48">
        <f>AW164+AX164</f>
        <v>0</v>
      </c>
      <c r="BD164" s="48">
        <f>H164/(100-BE164)*100</f>
        <v>0</v>
      </c>
      <c r="BE164" s="48">
        <v>0</v>
      </c>
      <c r="BF164" s="48">
        <f>M164</f>
        <v>0</v>
      </c>
      <c r="BH164" s="75">
        <f>G164*AO164</f>
        <v>0</v>
      </c>
      <c r="BI164" s="75">
        <f>G164*AP164</f>
        <v>0</v>
      </c>
      <c r="BJ164" s="75">
        <f>G164*H164</f>
        <v>0</v>
      </c>
      <c r="BK164" s="75" t="s">
        <v>696</v>
      </c>
      <c r="BL164" s="48">
        <v>83</v>
      </c>
    </row>
    <row r="165" spans="1:15" ht="12.75">
      <c r="A165" s="18"/>
      <c r="D165" s="66" t="s">
        <v>472</v>
      </c>
      <c r="E165" s="68"/>
      <c r="G165" s="74">
        <v>8</v>
      </c>
      <c r="N165" s="16"/>
      <c r="O165" s="18"/>
    </row>
    <row r="166" spans="1:64" ht="12.75">
      <c r="A166" s="59" t="s">
        <v>164</v>
      </c>
      <c r="B166" s="65"/>
      <c r="C166" s="65" t="s">
        <v>283</v>
      </c>
      <c r="D166" s="181" t="s">
        <v>474</v>
      </c>
      <c r="E166" s="182"/>
      <c r="F166" s="65" t="s">
        <v>612</v>
      </c>
      <c r="G166" s="75">
        <v>8</v>
      </c>
      <c r="H166" s="184"/>
      <c r="I166" s="75">
        <f>G166*AO166</f>
        <v>0</v>
      </c>
      <c r="J166" s="75">
        <f>G166*AP166</f>
        <v>0</v>
      </c>
      <c r="K166" s="75">
        <f>G166*H166</f>
        <v>0</v>
      </c>
      <c r="L166" s="75">
        <v>0.038</v>
      </c>
      <c r="M166" s="75">
        <f>G166*L166</f>
        <v>0.304</v>
      </c>
      <c r="N166" s="86" t="s">
        <v>647</v>
      </c>
      <c r="O166" s="18"/>
      <c r="Z166" s="48">
        <f>IF(AQ166="5",BJ166,0)</f>
        <v>0</v>
      </c>
      <c r="AB166" s="48">
        <f>IF(AQ166="1",BH166,0)</f>
        <v>0</v>
      </c>
      <c r="AC166" s="48">
        <f>IF(AQ166="1",BI166,0)</f>
        <v>0</v>
      </c>
      <c r="AD166" s="48">
        <f>IF(AQ166="7",BH166,0)</f>
        <v>0</v>
      </c>
      <c r="AE166" s="48">
        <f>IF(AQ166="7",BI166,0)</f>
        <v>0</v>
      </c>
      <c r="AF166" s="48">
        <f>IF(AQ166="2",BH166,0)</f>
        <v>0</v>
      </c>
      <c r="AG166" s="48">
        <f>IF(AQ166="2",BI166,0)</f>
        <v>0</v>
      </c>
      <c r="AH166" s="48">
        <f>IF(AQ166="0",BJ166,0)</f>
        <v>0</v>
      </c>
      <c r="AI166" s="80"/>
      <c r="AJ166" s="75">
        <f>IF(AN166=0,K166,0)</f>
        <v>0</v>
      </c>
      <c r="AK166" s="75">
        <f>IF(AN166=15,K166,0)</f>
        <v>0</v>
      </c>
      <c r="AL166" s="75">
        <f>IF(AN166=21,K166,0)</f>
        <v>0</v>
      </c>
      <c r="AN166" s="48">
        <v>21</v>
      </c>
      <c r="AO166" s="48">
        <f>H166*1</f>
        <v>0</v>
      </c>
      <c r="AP166" s="48">
        <f>H166*(1-1)</f>
        <v>0</v>
      </c>
      <c r="AQ166" s="89" t="s">
        <v>81</v>
      </c>
      <c r="AV166" s="48">
        <f>AW166+AX166</f>
        <v>0</v>
      </c>
      <c r="AW166" s="48">
        <f>G166*AO166</f>
        <v>0</v>
      </c>
      <c r="AX166" s="48">
        <f>G166*AP166</f>
        <v>0</v>
      </c>
      <c r="AY166" s="90" t="s">
        <v>673</v>
      </c>
      <c r="AZ166" s="90" t="s">
        <v>688</v>
      </c>
      <c r="BA166" s="80" t="s">
        <v>690</v>
      </c>
      <c r="BC166" s="48">
        <f>AW166+AX166</f>
        <v>0</v>
      </c>
      <c r="BD166" s="48">
        <f>H166/(100-BE166)*100</f>
        <v>0</v>
      </c>
      <c r="BE166" s="48">
        <v>0</v>
      </c>
      <c r="BF166" s="48">
        <f>M166</f>
        <v>0.304</v>
      </c>
      <c r="BH166" s="75">
        <f>G166*AO166</f>
        <v>0</v>
      </c>
      <c r="BI166" s="75">
        <f>G166*AP166</f>
        <v>0</v>
      </c>
      <c r="BJ166" s="75">
        <f>G166*H166</f>
        <v>0</v>
      </c>
      <c r="BK166" s="75" t="s">
        <v>696</v>
      </c>
      <c r="BL166" s="48">
        <v>83</v>
      </c>
    </row>
    <row r="167" spans="1:15" ht="12.75">
      <c r="A167" s="18"/>
      <c r="D167" s="66" t="s">
        <v>472</v>
      </c>
      <c r="E167" s="68"/>
      <c r="G167" s="74">
        <v>8</v>
      </c>
      <c r="N167" s="16"/>
      <c r="O167" s="18"/>
    </row>
    <row r="168" spans="1:64" ht="12.75">
      <c r="A168" s="58" t="s">
        <v>165</v>
      </c>
      <c r="B168" s="64"/>
      <c r="C168" s="64" t="s">
        <v>284</v>
      </c>
      <c r="D168" s="179" t="s">
        <v>475</v>
      </c>
      <c r="E168" s="180"/>
      <c r="F168" s="64" t="s">
        <v>612</v>
      </c>
      <c r="G168" s="73">
        <v>5</v>
      </c>
      <c r="H168" s="183"/>
      <c r="I168" s="73">
        <f>G168*AO168</f>
        <v>0</v>
      </c>
      <c r="J168" s="73">
        <f>G168*AP168</f>
        <v>0</v>
      </c>
      <c r="K168" s="73">
        <f>G168*H168</f>
        <v>0</v>
      </c>
      <c r="L168" s="73">
        <v>4E-05</v>
      </c>
      <c r="M168" s="73">
        <f>G168*L168</f>
        <v>0.0002</v>
      </c>
      <c r="N168" s="85" t="s">
        <v>647</v>
      </c>
      <c r="O168" s="18"/>
      <c r="Z168" s="48">
        <f>IF(AQ168="5",BJ168,0)</f>
        <v>0</v>
      </c>
      <c r="AB168" s="48">
        <f>IF(AQ168="1",BH168,0)</f>
        <v>0</v>
      </c>
      <c r="AC168" s="48">
        <f>IF(AQ168="1",BI168,0)</f>
        <v>0</v>
      </c>
      <c r="AD168" s="48">
        <f>IF(AQ168="7",BH168,0)</f>
        <v>0</v>
      </c>
      <c r="AE168" s="48">
        <f>IF(AQ168="7",BI168,0)</f>
        <v>0</v>
      </c>
      <c r="AF168" s="48">
        <f>IF(AQ168="2",BH168,0)</f>
        <v>0</v>
      </c>
      <c r="AG168" s="48">
        <f>IF(AQ168="2",BI168,0)</f>
        <v>0</v>
      </c>
      <c r="AH168" s="48">
        <f>IF(AQ168="0",BJ168,0)</f>
        <v>0</v>
      </c>
      <c r="AI168" s="80"/>
      <c r="AJ168" s="73">
        <f>IF(AN168=0,K168,0)</f>
        <v>0</v>
      </c>
      <c r="AK168" s="73">
        <f>IF(AN168=15,K168,0)</f>
        <v>0</v>
      </c>
      <c r="AL168" s="73">
        <f>IF(AN168=21,K168,0)</f>
        <v>0</v>
      </c>
      <c r="AN168" s="48">
        <v>21</v>
      </c>
      <c r="AO168" s="48">
        <f>H168*0.00218045112781955</f>
        <v>0</v>
      </c>
      <c r="AP168" s="48">
        <f>H168*(1-0.00218045112781955)</f>
        <v>0</v>
      </c>
      <c r="AQ168" s="88" t="s">
        <v>81</v>
      </c>
      <c r="AV168" s="48">
        <f>AW168+AX168</f>
        <v>0</v>
      </c>
      <c r="AW168" s="48">
        <f>G168*AO168</f>
        <v>0</v>
      </c>
      <c r="AX168" s="48">
        <f>G168*AP168</f>
        <v>0</v>
      </c>
      <c r="AY168" s="90" t="s">
        <v>673</v>
      </c>
      <c r="AZ168" s="90" t="s">
        <v>688</v>
      </c>
      <c r="BA168" s="80" t="s">
        <v>690</v>
      </c>
      <c r="BC168" s="48">
        <f>AW168+AX168</f>
        <v>0</v>
      </c>
      <c r="BD168" s="48">
        <f>H168/(100-BE168)*100</f>
        <v>0</v>
      </c>
      <c r="BE168" s="48">
        <v>0</v>
      </c>
      <c r="BF168" s="48">
        <f>M168</f>
        <v>0.0002</v>
      </c>
      <c r="BH168" s="73">
        <f>G168*AO168</f>
        <v>0</v>
      </c>
      <c r="BI168" s="73">
        <f>G168*AP168</f>
        <v>0</v>
      </c>
      <c r="BJ168" s="73">
        <f>G168*H168</f>
        <v>0</v>
      </c>
      <c r="BK168" s="73" t="s">
        <v>695</v>
      </c>
      <c r="BL168" s="48">
        <v>83</v>
      </c>
    </row>
    <row r="169" spans="1:15" ht="12.75">
      <c r="A169" s="18"/>
      <c r="D169" s="66" t="s">
        <v>476</v>
      </c>
      <c r="E169" s="68" t="s">
        <v>567</v>
      </c>
      <c r="G169" s="74">
        <v>2</v>
      </c>
      <c r="N169" s="16"/>
      <c r="O169" s="18"/>
    </row>
    <row r="170" spans="1:15" ht="12.75">
      <c r="A170" s="18"/>
      <c r="D170" s="66" t="s">
        <v>477</v>
      </c>
      <c r="E170" s="68" t="s">
        <v>591</v>
      </c>
      <c r="G170" s="74">
        <v>3</v>
      </c>
      <c r="N170" s="16"/>
      <c r="O170" s="18"/>
    </row>
    <row r="171" spans="1:64" ht="12.75">
      <c r="A171" s="59" t="s">
        <v>166</v>
      </c>
      <c r="B171" s="65"/>
      <c r="C171" s="65" t="s">
        <v>285</v>
      </c>
      <c r="D171" s="181" t="s">
        <v>478</v>
      </c>
      <c r="E171" s="182"/>
      <c r="F171" s="65" t="s">
        <v>612</v>
      </c>
      <c r="G171" s="75">
        <v>2</v>
      </c>
      <c r="H171" s="184"/>
      <c r="I171" s="75">
        <f>G171*AO171</f>
        <v>0</v>
      </c>
      <c r="J171" s="75">
        <f>G171*AP171</f>
        <v>0</v>
      </c>
      <c r="K171" s="75">
        <f>G171*H171</f>
        <v>0</v>
      </c>
      <c r="L171" s="75">
        <v>0.072</v>
      </c>
      <c r="M171" s="75">
        <f>G171*L171</f>
        <v>0.144</v>
      </c>
      <c r="N171" s="86" t="s">
        <v>647</v>
      </c>
      <c r="O171" s="18"/>
      <c r="Z171" s="48">
        <f>IF(AQ171="5",BJ171,0)</f>
        <v>0</v>
      </c>
      <c r="AB171" s="48">
        <f>IF(AQ171="1",BH171,0)</f>
        <v>0</v>
      </c>
      <c r="AC171" s="48">
        <f>IF(AQ171="1",BI171,0)</f>
        <v>0</v>
      </c>
      <c r="AD171" s="48">
        <f>IF(AQ171="7",BH171,0)</f>
        <v>0</v>
      </c>
      <c r="AE171" s="48">
        <f>IF(AQ171="7",BI171,0)</f>
        <v>0</v>
      </c>
      <c r="AF171" s="48">
        <f>IF(AQ171="2",BH171,0)</f>
        <v>0</v>
      </c>
      <c r="AG171" s="48">
        <f>IF(AQ171="2",BI171,0)</f>
        <v>0</v>
      </c>
      <c r="AH171" s="48">
        <f>IF(AQ171="0",BJ171,0)</f>
        <v>0</v>
      </c>
      <c r="AI171" s="80"/>
      <c r="AJ171" s="75">
        <f>IF(AN171=0,K171,0)</f>
        <v>0</v>
      </c>
      <c r="AK171" s="75">
        <f>IF(AN171=15,K171,0)</f>
        <v>0</v>
      </c>
      <c r="AL171" s="75">
        <f>IF(AN171=21,K171,0)</f>
        <v>0</v>
      </c>
      <c r="AN171" s="48">
        <v>21</v>
      </c>
      <c r="AO171" s="48">
        <f>H171*1</f>
        <v>0</v>
      </c>
      <c r="AP171" s="48">
        <f>H171*(1-1)</f>
        <v>0</v>
      </c>
      <c r="AQ171" s="89" t="s">
        <v>81</v>
      </c>
      <c r="AV171" s="48">
        <f>AW171+AX171</f>
        <v>0</v>
      </c>
      <c r="AW171" s="48">
        <f>G171*AO171</f>
        <v>0</v>
      </c>
      <c r="AX171" s="48">
        <f>G171*AP171</f>
        <v>0</v>
      </c>
      <c r="AY171" s="90" t="s">
        <v>673</v>
      </c>
      <c r="AZ171" s="90" t="s">
        <v>688</v>
      </c>
      <c r="BA171" s="80" t="s">
        <v>690</v>
      </c>
      <c r="BC171" s="48">
        <f>AW171+AX171</f>
        <v>0</v>
      </c>
      <c r="BD171" s="48">
        <f>H171/(100-BE171)*100</f>
        <v>0</v>
      </c>
      <c r="BE171" s="48">
        <v>0</v>
      </c>
      <c r="BF171" s="48">
        <f>M171</f>
        <v>0.144</v>
      </c>
      <c r="BH171" s="75">
        <f>G171*AO171</f>
        <v>0</v>
      </c>
      <c r="BI171" s="75">
        <f>G171*AP171</f>
        <v>0</v>
      </c>
      <c r="BJ171" s="75">
        <f>G171*H171</f>
        <v>0</v>
      </c>
      <c r="BK171" s="75" t="s">
        <v>696</v>
      </c>
      <c r="BL171" s="48">
        <v>83</v>
      </c>
    </row>
    <row r="172" spans="1:15" ht="12.75">
      <c r="A172" s="18"/>
      <c r="D172" s="66" t="s">
        <v>106</v>
      </c>
      <c r="E172" s="68"/>
      <c r="G172" s="74">
        <v>2</v>
      </c>
      <c r="N172" s="16"/>
      <c r="O172" s="18"/>
    </row>
    <row r="173" spans="1:64" ht="12.75">
      <c r="A173" s="59" t="s">
        <v>167</v>
      </c>
      <c r="B173" s="65"/>
      <c r="C173" s="65" t="s">
        <v>286</v>
      </c>
      <c r="D173" s="181" t="s">
        <v>479</v>
      </c>
      <c r="E173" s="182"/>
      <c r="F173" s="65" t="s">
        <v>617</v>
      </c>
      <c r="G173" s="75">
        <v>2</v>
      </c>
      <c r="H173" s="184"/>
      <c r="I173" s="75">
        <f>G173*AO173</f>
        <v>0</v>
      </c>
      <c r="J173" s="75">
        <f>G173*AP173</f>
        <v>0</v>
      </c>
      <c r="K173" s="75">
        <f>G173*H173</f>
        <v>0</v>
      </c>
      <c r="L173" s="75">
        <v>0</v>
      </c>
      <c r="M173" s="75">
        <f>G173*L173</f>
        <v>0</v>
      </c>
      <c r="N173" s="86" t="s">
        <v>647</v>
      </c>
      <c r="O173" s="18"/>
      <c r="Z173" s="48">
        <f>IF(AQ173="5",BJ173,0)</f>
        <v>0</v>
      </c>
      <c r="AB173" s="48">
        <f>IF(AQ173="1",BH173,0)</f>
        <v>0</v>
      </c>
      <c r="AC173" s="48">
        <f>IF(AQ173="1",BI173,0)</f>
        <v>0</v>
      </c>
      <c r="AD173" s="48">
        <f>IF(AQ173="7",BH173,0)</f>
        <v>0</v>
      </c>
      <c r="AE173" s="48">
        <f>IF(AQ173="7",BI173,0)</f>
        <v>0</v>
      </c>
      <c r="AF173" s="48">
        <f>IF(AQ173="2",BH173,0)</f>
        <v>0</v>
      </c>
      <c r="AG173" s="48">
        <f>IF(AQ173="2",BI173,0)</f>
        <v>0</v>
      </c>
      <c r="AH173" s="48">
        <f>IF(AQ173="0",BJ173,0)</f>
        <v>0</v>
      </c>
      <c r="AI173" s="80"/>
      <c r="AJ173" s="75">
        <f>IF(AN173=0,K173,0)</f>
        <v>0</v>
      </c>
      <c r="AK173" s="75">
        <f>IF(AN173=15,K173,0)</f>
        <v>0</v>
      </c>
      <c r="AL173" s="75">
        <f>IF(AN173=21,K173,0)</f>
        <v>0</v>
      </c>
      <c r="AN173" s="48">
        <v>21</v>
      </c>
      <c r="AO173" s="48">
        <f>H173*1</f>
        <v>0</v>
      </c>
      <c r="AP173" s="48">
        <f>H173*(1-1)</f>
        <v>0</v>
      </c>
      <c r="AQ173" s="89" t="s">
        <v>81</v>
      </c>
      <c r="AV173" s="48">
        <f>AW173+AX173</f>
        <v>0</v>
      </c>
      <c r="AW173" s="48">
        <f>G173*AO173</f>
        <v>0</v>
      </c>
      <c r="AX173" s="48">
        <f>G173*AP173</f>
        <v>0</v>
      </c>
      <c r="AY173" s="90" t="s">
        <v>673</v>
      </c>
      <c r="AZ173" s="90" t="s">
        <v>688</v>
      </c>
      <c r="BA173" s="80" t="s">
        <v>690</v>
      </c>
      <c r="BC173" s="48">
        <f>AW173+AX173</f>
        <v>0</v>
      </c>
      <c r="BD173" s="48">
        <f>H173/(100-BE173)*100</f>
        <v>0</v>
      </c>
      <c r="BE173" s="48">
        <v>0</v>
      </c>
      <c r="BF173" s="48">
        <f>M173</f>
        <v>0</v>
      </c>
      <c r="BH173" s="75">
        <f>G173*AO173</f>
        <v>0</v>
      </c>
      <c r="BI173" s="75">
        <f>G173*AP173</f>
        <v>0</v>
      </c>
      <c r="BJ173" s="75">
        <f>G173*H173</f>
        <v>0</v>
      </c>
      <c r="BK173" s="75" t="s">
        <v>696</v>
      </c>
      <c r="BL173" s="48">
        <v>83</v>
      </c>
    </row>
    <row r="174" spans="1:15" ht="12.75">
      <c r="A174" s="18"/>
      <c r="D174" s="66" t="s">
        <v>106</v>
      </c>
      <c r="E174" s="68"/>
      <c r="G174" s="74">
        <v>2</v>
      </c>
      <c r="N174" s="16"/>
      <c r="O174" s="18"/>
    </row>
    <row r="175" spans="1:64" ht="12.75">
      <c r="A175" s="59" t="s">
        <v>168</v>
      </c>
      <c r="B175" s="65"/>
      <c r="C175" s="65" t="s">
        <v>287</v>
      </c>
      <c r="D175" s="181" t="s">
        <v>480</v>
      </c>
      <c r="E175" s="182"/>
      <c r="F175" s="65" t="s">
        <v>612</v>
      </c>
      <c r="G175" s="75">
        <v>3</v>
      </c>
      <c r="H175" s="184"/>
      <c r="I175" s="75">
        <f>G175*AO175</f>
        <v>0</v>
      </c>
      <c r="J175" s="75">
        <f>G175*AP175</f>
        <v>0</v>
      </c>
      <c r="K175" s="75">
        <f>G175*H175</f>
        <v>0</v>
      </c>
      <c r="L175" s="75">
        <v>0.053</v>
      </c>
      <c r="M175" s="75">
        <f>G175*L175</f>
        <v>0.159</v>
      </c>
      <c r="N175" s="86" t="s">
        <v>647</v>
      </c>
      <c r="O175" s="18"/>
      <c r="Z175" s="48">
        <f>IF(AQ175="5",BJ175,0)</f>
        <v>0</v>
      </c>
      <c r="AB175" s="48">
        <f>IF(AQ175="1",BH175,0)</f>
        <v>0</v>
      </c>
      <c r="AC175" s="48">
        <f>IF(AQ175="1",BI175,0)</f>
        <v>0</v>
      </c>
      <c r="AD175" s="48">
        <f>IF(AQ175="7",BH175,0)</f>
        <v>0</v>
      </c>
      <c r="AE175" s="48">
        <f>IF(AQ175="7",BI175,0)</f>
        <v>0</v>
      </c>
      <c r="AF175" s="48">
        <f>IF(AQ175="2",BH175,0)</f>
        <v>0</v>
      </c>
      <c r="AG175" s="48">
        <f>IF(AQ175="2",BI175,0)</f>
        <v>0</v>
      </c>
      <c r="AH175" s="48">
        <f>IF(AQ175="0",BJ175,0)</f>
        <v>0</v>
      </c>
      <c r="AI175" s="80"/>
      <c r="AJ175" s="75">
        <f>IF(AN175=0,K175,0)</f>
        <v>0</v>
      </c>
      <c r="AK175" s="75">
        <f>IF(AN175=15,K175,0)</f>
        <v>0</v>
      </c>
      <c r="AL175" s="75">
        <f>IF(AN175=21,K175,0)</f>
        <v>0</v>
      </c>
      <c r="AN175" s="48">
        <v>21</v>
      </c>
      <c r="AO175" s="48">
        <f>H175*1</f>
        <v>0</v>
      </c>
      <c r="AP175" s="48">
        <f>H175*(1-1)</f>
        <v>0</v>
      </c>
      <c r="AQ175" s="89" t="s">
        <v>81</v>
      </c>
      <c r="AV175" s="48">
        <f>AW175+AX175</f>
        <v>0</v>
      </c>
      <c r="AW175" s="48">
        <f>G175*AO175</f>
        <v>0</v>
      </c>
      <c r="AX175" s="48">
        <f>G175*AP175</f>
        <v>0</v>
      </c>
      <c r="AY175" s="90" t="s">
        <v>673</v>
      </c>
      <c r="AZ175" s="90" t="s">
        <v>688</v>
      </c>
      <c r="BA175" s="80" t="s">
        <v>690</v>
      </c>
      <c r="BC175" s="48">
        <f>AW175+AX175</f>
        <v>0</v>
      </c>
      <c r="BD175" s="48">
        <f>H175/(100-BE175)*100</f>
        <v>0</v>
      </c>
      <c r="BE175" s="48">
        <v>0</v>
      </c>
      <c r="BF175" s="48">
        <f>M175</f>
        <v>0.159</v>
      </c>
      <c r="BH175" s="75">
        <f>G175*AO175</f>
        <v>0</v>
      </c>
      <c r="BI175" s="75">
        <f>G175*AP175</f>
        <v>0</v>
      </c>
      <c r="BJ175" s="75">
        <f>G175*H175</f>
        <v>0</v>
      </c>
      <c r="BK175" s="75" t="s">
        <v>696</v>
      </c>
      <c r="BL175" s="48">
        <v>83</v>
      </c>
    </row>
    <row r="176" spans="1:15" ht="12.75">
      <c r="A176" s="18"/>
      <c r="D176" s="66" t="s">
        <v>107</v>
      </c>
      <c r="E176" s="68"/>
      <c r="G176" s="74">
        <v>3</v>
      </c>
      <c r="N176" s="16"/>
      <c r="O176" s="18"/>
    </row>
    <row r="177" spans="1:64" ht="12.75">
      <c r="A177" s="59" t="s">
        <v>169</v>
      </c>
      <c r="B177" s="65"/>
      <c r="C177" s="65" t="s">
        <v>288</v>
      </c>
      <c r="D177" s="181" t="s">
        <v>481</v>
      </c>
      <c r="E177" s="182"/>
      <c r="F177" s="65" t="s">
        <v>617</v>
      </c>
      <c r="G177" s="75">
        <v>2</v>
      </c>
      <c r="H177" s="184"/>
      <c r="I177" s="75">
        <f>G177*AO177</f>
        <v>0</v>
      </c>
      <c r="J177" s="75">
        <f>G177*AP177</f>
        <v>0</v>
      </c>
      <c r="K177" s="75">
        <f>G177*H177</f>
        <v>0</v>
      </c>
      <c r="L177" s="75">
        <v>0</v>
      </c>
      <c r="M177" s="75">
        <f>G177*L177</f>
        <v>0</v>
      </c>
      <c r="N177" s="86" t="s">
        <v>647</v>
      </c>
      <c r="O177" s="18"/>
      <c r="Z177" s="48">
        <f>IF(AQ177="5",BJ177,0)</f>
        <v>0</v>
      </c>
      <c r="AB177" s="48">
        <f>IF(AQ177="1",BH177,0)</f>
        <v>0</v>
      </c>
      <c r="AC177" s="48">
        <f>IF(AQ177="1",BI177,0)</f>
        <v>0</v>
      </c>
      <c r="AD177" s="48">
        <f>IF(AQ177="7",BH177,0)</f>
        <v>0</v>
      </c>
      <c r="AE177" s="48">
        <f>IF(AQ177="7",BI177,0)</f>
        <v>0</v>
      </c>
      <c r="AF177" s="48">
        <f>IF(AQ177="2",BH177,0)</f>
        <v>0</v>
      </c>
      <c r="AG177" s="48">
        <f>IF(AQ177="2",BI177,0)</f>
        <v>0</v>
      </c>
      <c r="AH177" s="48">
        <f>IF(AQ177="0",BJ177,0)</f>
        <v>0</v>
      </c>
      <c r="AI177" s="80"/>
      <c r="AJ177" s="75">
        <f>IF(AN177=0,K177,0)</f>
        <v>0</v>
      </c>
      <c r="AK177" s="75">
        <f>IF(AN177=15,K177,0)</f>
        <v>0</v>
      </c>
      <c r="AL177" s="75">
        <f>IF(AN177=21,K177,0)</f>
        <v>0</v>
      </c>
      <c r="AN177" s="48">
        <v>21</v>
      </c>
      <c r="AO177" s="48">
        <f>H177*1</f>
        <v>0</v>
      </c>
      <c r="AP177" s="48">
        <f>H177*(1-1)</f>
        <v>0</v>
      </c>
      <c r="AQ177" s="89" t="s">
        <v>81</v>
      </c>
      <c r="AV177" s="48">
        <f>AW177+AX177</f>
        <v>0</v>
      </c>
      <c r="AW177" s="48">
        <f>G177*AO177</f>
        <v>0</v>
      </c>
      <c r="AX177" s="48">
        <f>G177*AP177</f>
        <v>0</v>
      </c>
      <c r="AY177" s="90" t="s">
        <v>673</v>
      </c>
      <c r="AZ177" s="90" t="s">
        <v>688</v>
      </c>
      <c r="BA177" s="80" t="s">
        <v>690</v>
      </c>
      <c r="BC177" s="48">
        <f>AW177+AX177</f>
        <v>0</v>
      </c>
      <c r="BD177" s="48">
        <f>H177/(100-BE177)*100</f>
        <v>0</v>
      </c>
      <c r="BE177" s="48">
        <v>0</v>
      </c>
      <c r="BF177" s="48">
        <f>M177</f>
        <v>0</v>
      </c>
      <c r="BH177" s="75">
        <f>G177*AO177</f>
        <v>0</v>
      </c>
      <c r="BI177" s="75">
        <f>G177*AP177</f>
        <v>0</v>
      </c>
      <c r="BJ177" s="75">
        <f>G177*H177</f>
        <v>0</v>
      </c>
      <c r="BK177" s="75" t="s">
        <v>696</v>
      </c>
      <c r="BL177" s="48">
        <v>83</v>
      </c>
    </row>
    <row r="178" spans="1:15" ht="12.75">
      <c r="A178" s="18"/>
      <c r="D178" s="66" t="s">
        <v>106</v>
      </c>
      <c r="E178" s="68"/>
      <c r="G178" s="74">
        <v>2</v>
      </c>
      <c r="N178" s="16"/>
      <c r="O178" s="18"/>
    </row>
    <row r="179" spans="1:64" ht="12.75">
      <c r="A179" s="58" t="s">
        <v>170</v>
      </c>
      <c r="B179" s="64"/>
      <c r="C179" s="64" t="s">
        <v>289</v>
      </c>
      <c r="D179" s="179" t="s">
        <v>482</v>
      </c>
      <c r="E179" s="180"/>
      <c r="F179" s="64" t="s">
        <v>617</v>
      </c>
      <c r="G179" s="73">
        <v>4</v>
      </c>
      <c r="H179" s="183"/>
      <c r="I179" s="73">
        <f>G179*AO179</f>
        <v>0</v>
      </c>
      <c r="J179" s="73">
        <f>G179*AP179</f>
        <v>0</v>
      </c>
      <c r="K179" s="73">
        <f>G179*H179</f>
        <v>0</v>
      </c>
      <c r="L179" s="73">
        <v>1.24645</v>
      </c>
      <c r="M179" s="73">
        <f>G179*L179</f>
        <v>4.9858</v>
      </c>
      <c r="N179" s="85" t="s">
        <v>647</v>
      </c>
      <c r="O179" s="18"/>
      <c r="Z179" s="48">
        <f>IF(AQ179="5",BJ179,0)</f>
        <v>0</v>
      </c>
      <c r="AB179" s="48">
        <f>IF(AQ179="1",BH179,0)</f>
        <v>0</v>
      </c>
      <c r="AC179" s="48">
        <f>IF(AQ179="1",BI179,0)</f>
        <v>0</v>
      </c>
      <c r="AD179" s="48">
        <f>IF(AQ179="7",BH179,0)</f>
        <v>0</v>
      </c>
      <c r="AE179" s="48">
        <f>IF(AQ179="7",BI179,0)</f>
        <v>0</v>
      </c>
      <c r="AF179" s="48">
        <f>IF(AQ179="2",BH179,0)</f>
        <v>0</v>
      </c>
      <c r="AG179" s="48">
        <f>IF(AQ179="2",BI179,0)</f>
        <v>0</v>
      </c>
      <c r="AH179" s="48">
        <f>IF(AQ179="0",BJ179,0)</f>
        <v>0</v>
      </c>
      <c r="AI179" s="80"/>
      <c r="AJ179" s="73">
        <f>IF(AN179=0,K179,0)</f>
        <v>0</v>
      </c>
      <c r="AK179" s="73">
        <f>IF(AN179=15,K179,0)</f>
        <v>0</v>
      </c>
      <c r="AL179" s="73">
        <f>IF(AN179=21,K179,0)</f>
        <v>0</v>
      </c>
      <c r="AN179" s="48">
        <v>21</v>
      </c>
      <c r="AO179" s="48">
        <f>H179*0.145979591836735</f>
        <v>0</v>
      </c>
      <c r="AP179" s="48">
        <f>H179*(1-0.145979591836735)</f>
        <v>0</v>
      </c>
      <c r="AQ179" s="88" t="s">
        <v>81</v>
      </c>
      <c r="AV179" s="48">
        <f>AW179+AX179</f>
        <v>0</v>
      </c>
      <c r="AW179" s="48">
        <f>G179*AO179</f>
        <v>0</v>
      </c>
      <c r="AX179" s="48">
        <f>G179*AP179</f>
        <v>0</v>
      </c>
      <c r="AY179" s="90" t="s">
        <v>673</v>
      </c>
      <c r="AZ179" s="90" t="s">
        <v>688</v>
      </c>
      <c r="BA179" s="80" t="s">
        <v>690</v>
      </c>
      <c r="BC179" s="48">
        <f>AW179+AX179</f>
        <v>0</v>
      </c>
      <c r="BD179" s="48">
        <f>H179/(100-BE179)*100</f>
        <v>0</v>
      </c>
      <c r="BE179" s="48">
        <v>0</v>
      </c>
      <c r="BF179" s="48">
        <f>M179</f>
        <v>4.9858</v>
      </c>
      <c r="BH179" s="73">
        <f>G179*AO179</f>
        <v>0</v>
      </c>
      <c r="BI179" s="73">
        <f>G179*AP179</f>
        <v>0</v>
      </c>
      <c r="BJ179" s="73">
        <f>G179*H179</f>
        <v>0</v>
      </c>
      <c r="BK179" s="73" t="s">
        <v>695</v>
      </c>
      <c r="BL179" s="48">
        <v>83</v>
      </c>
    </row>
    <row r="180" spans="1:15" ht="12.75">
      <c r="A180" s="18"/>
      <c r="D180" s="66" t="s">
        <v>82</v>
      </c>
      <c r="E180" s="68"/>
      <c r="G180" s="74">
        <v>4</v>
      </c>
      <c r="N180" s="16"/>
      <c r="O180" s="18"/>
    </row>
    <row r="181" spans="1:64" ht="12.75">
      <c r="A181" s="58" t="s">
        <v>171</v>
      </c>
      <c r="B181" s="64"/>
      <c r="C181" s="64" t="s">
        <v>290</v>
      </c>
      <c r="D181" s="179" t="s">
        <v>483</v>
      </c>
      <c r="E181" s="180"/>
      <c r="F181" s="64" t="s">
        <v>617</v>
      </c>
      <c r="G181" s="73">
        <v>2</v>
      </c>
      <c r="H181" s="183"/>
      <c r="I181" s="73">
        <f>G181*AO181</f>
        <v>0</v>
      </c>
      <c r="J181" s="73">
        <f>G181*AP181</f>
        <v>0</v>
      </c>
      <c r="K181" s="73">
        <f>G181*H181</f>
        <v>0</v>
      </c>
      <c r="L181" s="73">
        <v>1.63628</v>
      </c>
      <c r="M181" s="73">
        <f>G181*L181</f>
        <v>3.27256</v>
      </c>
      <c r="N181" s="85" t="s">
        <v>647</v>
      </c>
      <c r="O181" s="18"/>
      <c r="Z181" s="48">
        <f>IF(AQ181="5",BJ181,0)</f>
        <v>0</v>
      </c>
      <c r="AB181" s="48">
        <f>IF(AQ181="1",BH181,0)</f>
        <v>0</v>
      </c>
      <c r="AC181" s="48">
        <f>IF(AQ181="1",BI181,0)</f>
        <v>0</v>
      </c>
      <c r="AD181" s="48">
        <f>IF(AQ181="7",BH181,0)</f>
        <v>0</v>
      </c>
      <c r="AE181" s="48">
        <f>IF(AQ181="7",BI181,0)</f>
        <v>0</v>
      </c>
      <c r="AF181" s="48">
        <f>IF(AQ181="2",BH181,0)</f>
        <v>0</v>
      </c>
      <c r="AG181" s="48">
        <f>IF(AQ181="2",BI181,0)</f>
        <v>0</v>
      </c>
      <c r="AH181" s="48">
        <f>IF(AQ181="0",BJ181,0)</f>
        <v>0</v>
      </c>
      <c r="AI181" s="80"/>
      <c r="AJ181" s="73">
        <f>IF(AN181=0,K181,0)</f>
        <v>0</v>
      </c>
      <c r="AK181" s="73">
        <f>IF(AN181=15,K181,0)</f>
        <v>0</v>
      </c>
      <c r="AL181" s="73">
        <f>IF(AN181=21,K181,0)</f>
        <v>0</v>
      </c>
      <c r="AN181" s="48">
        <v>21</v>
      </c>
      <c r="AO181" s="48">
        <f>H181*0.146185781006746</f>
        <v>0</v>
      </c>
      <c r="AP181" s="48">
        <f>H181*(1-0.146185781006746)</f>
        <v>0</v>
      </c>
      <c r="AQ181" s="88" t="s">
        <v>81</v>
      </c>
      <c r="AV181" s="48">
        <f>AW181+AX181</f>
        <v>0</v>
      </c>
      <c r="AW181" s="48">
        <f>G181*AO181</f>
        <v>0</v>
      </c>
      <c r="AX181" s="48">
        <f>G181*AP181</f>
        <v>0</v>
      </c>
      <c r="AY181" s="90" t="s">
        <v>673</v>
      </c>
      <c r="AZ181" s="90" t="s">
        <v>688</v>
      </c>
      <c r="BA181" s="80" t="s">
        <v>690</v>
      </c>
      <c r="BC181" s="48">
        <f>AW181+AX181</f>
        <v>0</v>
      </c>
      <c r="BD181" s="48">
        <f>H181/(100-BE181)*100</f>
        <v>0</v>
      </c>
      <c r="BE181" s="48">
        <v>0</v>
      </c>
      <c r="BF181" s="48">
        <f>M181</f>
        <v>3.27256</v>
      </c>
      <c r="BH181" s="73">
        <f>G181*AO181</f>
        <v>0</v>
      </c>
      <c r="BI181" s="73">
        <f>G181*AP181</f>
        <v>0</v>
      </c>
      <c r="BJ181" s="73">
        <f>G181*H181</f>
        <v>0</v>
      </c>
      <c r="BK181" s="73" t="s">
        <v>695</v>
      </c>
      <c r="BL181" s="48">
        <v>83</v>
      </c>
    </row>
    <row r="182" spans="1:15" ht="12.75">
      <c r="A182" s="18"/>
      <c r="D182" s="66" t="s">
        <v>484</v>
      </c>
      <c r="E182" s="68"/>
      <c r="G182" s="74">
        <v>2</v>
      </c>
      <c r="N182" s="16"/>
      <c r="O182" s="18"/>
    </row>
    <row r="183" spans="1:47" ht="12.75">
      <c r="A183" s="57"/>
      <c r="B183" s="63"/>
      <c r="C183" s="63" t="s">
        <v>186</v>
      </c>
      <c r="D183" s="177" t="s">
        <v>485</v>
      </c>
      <c r="E183" s="178"/>
      <c r="F183" s="71" t="s">
        <v>78</v>
      </c>
      <c r="G183" s="71" t="s">
        <v>78</v>
      </c>
      <c r="H183" s="71" t="s">
        <v>78</v>
      </c>
      <c r="I183" s="93">
        <f>SUM(I184:I196)</f>
        <v>0</v>
      </c>
      <c r="J183" s="93">
        <f>SUM(J184:J196)</f>
        <v>0</v>
      </c>
      <c r="K183" s="93">
        <f>SUM(K184:K196)</f>
        <v>0</v>
      </c>
      <c r="L183" s="80"/>
      <c r="M183" s="93">
        <f>SUM(M184:M196)</f>
        <v>0.381521</v>
      </c>
      <c r="N183" s="84"/>
      <c r="O183" s="18"/>
      <c r="AI183" s="80"/>
      <c r="AS183" s="93">
        <f>SUM(AJ184:AJ196)</f>
        <v>0</v>
      </c>
      <c r="AT183" s="93">
        <f>SUM(AK184:AK196)</f>
        <v>0</v>
      </c>
      <c r="AU183" s="93">
        <f>SUM(AL184:AL196)</f>
        <v>0</v>
      </c>
    </row>
    <row r="184" spans="1:64" ht="12.75">
      <c r="A184" s="58" t="s">
        <v>172</v>
      </c>
      <c r="B184" s="64"/>
      <c r="C184" s="64" t="s">
        <v>291</v>
      </c>
      <c r="D184" s="179" t="s">
        <v>486</v>
      </c>
      <c r="E184" s="180"/>
      <c r="F184" s="64" t="s">
        <v>612</v>
      </c>
      <c r="G184" s="73">
        <v>28</v>
      </c>
      <c r="H184" s="183"/>
      <c r="I184" s="73">
        <f>G184*AO184</f>
        <v>0</v>
      </c>
      <c r="J184" s="73">
        <f>G184*AP184</f>
        <v>0</v>
      </c>
      <c r="K184" s="73">
        <f>G184*H184</f>
        <v>0</v>
      </c>
      <c r="L184" s="73">
        <v>1E-05</v>
      </c>
      <c r="M184" s="73">
        <f>G184*L184</f>
        <v>0.00028000000000000003</v>
      </c>
      <c r="N184" s="85" t="s">
        <v>648</v>
      </c>
      <c r="O184" s="18"/>
      <c r="Z184" s="48">
        <f>IF(AQ184="5",BJ184,0)</f>
        <v>0</v>
      </c>
      <c r="AB184" s="48">
        <f>IF(AQ184="1",BH184,0)</f>
        <v>0</v>
      </c>
      <c r="AC184" s="48">
        <f>IF(AQ184="1",BI184,0)</f>
        <v>0</v>
      </c>
      <c r="AD184" s="48">
        <f>IF(AQ184="7",BH184,0)</f>
        <v>0</v>
      </c>
      <c r="AE184" s="48">
        <f>IF(AQ184="7",BI184,0)</f>
        <v>0</v>
      </c>
      <c r="AF184" s="48">
        <f>IF(AQ184="2",BH184,0)</f>
        <v>0</v>
      </c>
      <c r="AG184" s="48">
        <f>IF(AQ184="2",BI184,0)</f>
        <v>0</v>
      </c>
      <c r="AH184" s="48">
        <f>IF(AQ184="0",BJ184,0)</f>
        <v>0</v>
      </c>
      <c r="AI184" s="80"/>
      <c r="AJ184" s="73">
        <f>IF(AN184=0,K184,0)</f>
        <v>0</v>
      </c>
      <c r="AK184" s="73">
        <f>IF(AN184=15,K184,0)</f>
        <v>0</v>
      </c>
      <c r="AL184" s="73">
        <f>IF(AN184=21,K184,0)</f>
        <v>0</v>
      </c>
      <c r="AN184" s="48">
        <v>21</v>
      </c>
      <c r="AO184" s="48">
        <f>H184*0.00533049040511727</f>
        <v>0</v>
      </c>
      <c r="AP184" s="48">
        <f>H184*(1-0.00533049040511727)</f>
        <v>0</v>
      </c>
      <c r="AQ184" s="88" t="s">
        <v>81</v>
      </c>
      <c r="AV184" s="48">
        <f>AW184+AX184</f>
        <v>0</v>
      </c>
      <c r="AW184" s="48">
        <f>G184*AO184</f>
        <v>0</v>
      </c>
      <c r="AX184" s="48">
        <f>G184*AP184</f>
        <v>0</v>
      </c>
      <c r="AY184" s="90" t="s">
        <v>674</v>
      </c>
      <c r="AZ184" s="90" t="s">
        <v>688</v>
      </c>
      <c r="BA184" s="80" t="s">
        <v>690</v>
      </c>
      <c r="BC184" s="48">
        <f>AW184+AX184</f>
        <v>0</v>
      </c>
      <c r="BD184" s="48">
        <f>H184/(100-BE184)*100</f>
        <v>0</v>
      </c>
      <c r="BE184" s="48">
        <v>0</v>
      </c>
      <c r="BF184" s="48">
        <f>M184</f>
        <v>0.00028000000000000003</v>
      </c>
      <c r="BH184" s="73">
        <f>G184*AO184</f>
        <v>0</v>
      </c>
      <c r="BI184" s="73">
        <f>G184*AP184</f>
        <v>0</v>
      </c>
      <c r="BJ184" s="73">
        <f>G184*H184</f>
        <v>0</v>
      </c>
      <c r="BK184" s="73" t="s">
        <v>695</v>
      </c>
      <c r="BL184" s="48">
        <v>87</v>
      </c>
    </row>
    <row r="185" spans="1:15" ht="12.75">
      <c r="A185" s="18"/>
      <c r="D185" s="66" t="s">
        <v>128</v>
      </c>
      <c r="E185" s="68" t="s">
        <v>590</v>
      </c>
      <c r="G185" s="74">
        <v>28</v>
      </c>
      <c r="N185" s="16"/>
      <c r="O185" s="18"/>
    </row>
    <row r="186" spans="1:64" ht="12.75">
      <c r="A186" s="59" t="s">
        <v>173</v>
      </c>
      <c r="B186" s="65"/>
      <c r="C186" s="65" t="s">
        <v>292</v>
      </c>
      <c r="D186" s="181" t="s">
        <v>487</v>
      </c>
      <c r="E186" s="182"/>
      <c r="F186" s="65" t="s">
        <v>617</v>
      </c>
      <c r="G186" s="75">
        <v>5.88</v>
      </c>
      <c r="H186" s="184"/>
      <c r="I186" s="75">
        <f>G186*AO186</f>
        <v>0</v>
      </c>
      <c r="J186" s="75">
        <f>G186*AP186</f>
        <v>0</v>
      </c>
      <c r="K186" s="75">
        <f>G186*H186</f>
        <v>0</v>
      </c>
      <c r="L186" s="75">
        <v>0.02465</v>
      </c>
      <c r="M186" s="75">
        <f>G186*L186</f>
        <v>0.144942</v>
      </c>
      <c r="N186" s="86" t="s">
        <v>648</v>
      </c>
      <c r="O186" s="18"/>
      <c r="Z186" s="48">
        <f>IF(AQ186="5",BJ186,0)</f>
        <v>0</v>
      </c>
      <c r="AB186" s="48">
        <f>IF(AQ186="1",BH186,0)</f>
        <v>0</v>
      </c>
      <c r="AC186" s="48">
        <f>IF(AQ186="1",BI186,0)</f>
        <v>0</v>
      </c>
      <c r="AD186" s="48">
        <f>IF(AQ186="7",BH186,0)</f>
        <v>0</v>
      </c>
      <c r="AE186" s="48">
        <f>IF(AQ186="7",BI186,0)</f>
        <v>0</v>
      </c>
      <c r="AF186" s="48">
        <f>IF(AQ186="2",BH186,0)</f>
        <v>0</v>
      </c>
      <c r="AG186" s="48">
        <f>IF(AQ186="2",BI186,0)</f>
        <v>0</v>
      </c>
      <c r="AH186" s="48">
        <f>IF(AQ186="0",BJ186,0)</f>
        <v>0</v>
      </c>
      <c r="AI186" s="80"/>
      <c r="AJ186" s="75">
        <f>IF(AN186=0,K186,0)</f>
        <v>0</v>
      </c>
      <c r="AK186" s="75">
        <f>IF(AN186=15,K186,0)</f>
        <v>0</v>
      </c>
      <c r="AL186" s="75">
        <f>IF(AN186=21,K186,0)</f>
        <v>0</v>
      </c>
      <c r="AN186" s="48">
        <v>21</v>
      </c>
      <c r="AO186" s="48">
        <f>H186*1</f>
        <v>0</v>
      </c>
      <c r="AP186" s="48">
        <f>H186*(1-1)</f>
        <v>0</v>
      </c>
      <c r="AQ186" s="89" t="s">
        <v>81</v>
      </c>
      <c r="AV186" s="48">
        <f>AW186+AX186</f>
        <v>0</v>
      </c>
      <c r="AW186" s="48">
        <f>G186*AO186</f>
        <v>0</v>
      </c>
      <c r="AX186" s="48">
        <f>G186*AP186</f>
        <v>0</v>
      </c>
      <c r="AY186" s="90" t="s">
        <v>674</v>
      </c>
      <c r="AZ186" s="90" t="s">
        <v>688</v>
      </c>
      <c r="BA186" s="80" t="s">
        <v>690</v>
      </c>
      <c r="BC186" s="48">
        <f>AW186+AX186</f>
        <v>0</v>
      </c>
      <c r="BD186" s="48">
        <f>H186/(100-BE186)*100</f>
        <v>0</v>
      </c>
      <c r="BE186" s="48">
        <v>0</v>
      </c>
      <c r="BF186" s="48">
        <f>M186</f>
        <v>0.144942</v>
      </c>
      <c r="BH186" s="75">
        <f>G186*AO186</f>
        <v>0</v>
      </c>
      <c r="BI186" s="75">
        <f>G186*AP186</f>
        <v>0</v>
      </c>
      <c r="BJ186" s="75">
        <f>G186*H186</f>
        <v>0</v>
      </c>
      <c r="BK186" s="75" t="s">
        <v>696</v>
      </c>
      <c r="BL186" s="48">
        <v>87</v>
      </c>
    </row>
    <row r="187" spans="1:15" ht="12.75">
      <c r="A187" s="18"/>
      <c r="D187" s="66" t="s">
        <v>488</v>
      </c>
      <c r="E187" s="68"/>
      <c r="G187" s="74" t="s">
        <v>628</v>
      </c>
      <c r="N187" s="16"/>
      <c r="O187" s="18"/>
    </row>
    <row r="188" spans="1:15" ht="12.75">
      <c r="A188" s="18"/>
      <c r="D188" s="66" t="s">
        <v>489</v>
      </c>
      <c r="E188" s="68"/>
      <c r="G188" s="74" t="s">
        <v>629</v>
      </c>
      <c r="N188" s="16"/>
      <c r="O188" s="18"/>
    </row>
    <row r="189" spans="1:64" ht="12.75">
      <c r="A189" s="58" t="s">
        <v>174</v>
      </c>
      <c r="B189" s="64"/>
      <c r="C189" s="64" t="s">
        <v>293</v>
      </c>
      <c r="D189" s="179" t="s">
        <v>490</v>
      </c>
      <c r="E189" s="180"/>
      <c r="F189" s="64" t="s">
        <v>612</v>
      </c>
      <c r="G189" s="73">
        <v>3</v>
      </c>
      <c r="H189" s="183"/>
      <c r="I189" s="73">
        <f>G189*AO189</f>
        <v>0</v>
      </c>
      <c r="J189" s="73">
        <f>G189*AP189</f>
        <v>0</v>
      </c>
      <c r="K189" s="73">
        <f>G189*H189</f>
        <v>0</v>
      </c>
      <c r="L189" s="73">
        <v>0</v>
      </c>
      <c r="M189" s="73">
        <f>G189*L189</f>
        <v>0</v>
      </c>
      <c r="N189" s="85" t="s">
        <v>648</v>
      </c>
      <c r="O189" s="18"/>
      <c r="Z189" s="48">
        <f>IF(AQ189="5",BJ189,0)</f>
        <v>0</v>
      </c>
      <c r="AB189" s="48">
        <f>IF(AQ189="1",BH189,0)</f>
        <v>0</v>
      </c>
      <c r="AC189" s="48">
        <f>IF(AQ189="1",BI189,0)</f>
        <v>0</v>
      </c>
      <c r="AD189" s="48">
        <f>IF(AQ189="7",BH189,0)</f>
        <v>0</v>
      </c>
      <c r="AE189" s="48">
        <f>IF(AQ189="7",BI189,0)</f>
        <v>0</v>
      </c>
      <c r="AF189" s="48">
        <f>IF(AQ189="2",BH189,0)</f>
        <v>0</v>
      </c>
      <c r="AG189" s="48">
        <f>IF(AQ189="2",BI189,0)</f>
        <v>0</v>
      </c>
      <c r="AH189" s="48">
        <f>IF(AQ189="0",BJ189,0)</f>
        <v>0</v>
      </c>
      <c r="AI189" s="80"/>
      <c r="AJ189" s="73">
        <f>IF(AN189=0,K189,0)</f>
        <v>0</v>
      </c>
      <c r="AK189" s="73">
        <f>IF(AN189=15,K189,0)</f>
        <v>0</v>
      </c>
      <c r="AL189" s="73">
        <f>IF(AN189=21,K189,0)</f>
        <v>0</v>
      </c>
      <c r="AN189" s="48">
        <v>21</v>
      </c>
      <c r="AO189" s="48">
        <f>H189*0</f>
        <v>0</v>
      </c>
      <c r="AP189" s="48">
        <f>H189*(1-0)</f>
        <v>0</v>
      </c>
      <c r="AQ189" s="88" t="s">
        <v>81</v>
      </c>
      <c r="AV189" s="48">
        <f>AW189+AX189</f>
        <v>0</v>
      </c>
      <c r="AW189" s="48">
        <f>G189*AO189</f>
        <v>0</v>
      </c>
      <c r="AX189" s="48">
        <f>G189*AP189</f>
        <v>0</v>
      </c>
      <c r="AY189" s="90" t="s">
        <v>674</v>
      </c>
      <c r="AZ189" s="90" t="s">
        <v>688</v>
      </c>
      <c r="BA189" s="80" t="s">
        <v>690</v>
      </c>
      <c r="BC189" s="48">
        <f>AW189+AX189</f>
        <v>0</v>
      </c>
      <c r="BD189" s="48">
        <f>H189/(100-BE189)*100</f>
        <v>0</v>
      </c>
      <c r="BE189" s="48">
        <v>0</v>
      </c>
      <c r="BF189" s="48">
        <f>M189</f>
        <v>0</v>
      </c>
      <c r="BH189" s="73">
        <f>G189*AO189</f>
        <v>0</v>
      </c>
      <c r="BI189" s="73">
        <f>G189*AP189</f>
        <v>0</v>
      </c>
      <c r="BJ189" s="73">
        <f>G189*H189</f>
        <v>0</v>
      </c>
      <c r="BK189" s="73" t="s">
        <v>695</v>
      </c>
      <c r="BL189" s="48">
        <v>87</v>
      </c>
    </row>
    <row r="190" spans="1:15" ht="12.75">
      <c r="A190" s="18"/>
      <c r="D190" s="66" t="s">
        <v>107</v>
      </c>
      <c r="E190" s="68" t="s">
        <v>585</v>
      </c>
      <c r="G190" s="74">
        <v>3</v>
      </c>
      <c r="N190" s="16"/>
      <c r="O190" s="18"/>
    </row>
    <row r="191" spans="1:64" ht="12.75">
      <c r="A191" s="59" t="s">
        <v>175</v>
      </c>
      <c r="B191" s="65"/>
      <c r="C191" s="65" t="s">
        <v>294</v>
      </c>
      <c r="D191" s="181" t="s">
        <v>491</v>
      </c>
      <c r="E191" s="182"/>
      <c r="F191" s="65" t="s">
        <v>612</v>
      </c>
      <c r="G191" s="75">
        <v>3.15</v>
      </c>
      <c r="H191" s="184"/>
      <c r="I191" s="75">
        <f>G191*AO191</f>
        <v>0</v>
      </c>
      <c r="J191" s="75">
        <f>G191*AP191</f>
        <v>0</v>
      </c>
      <c r="K191" s="75">
        <f>G191*H191</f>
        <v>0</v>
      </c>
      <c r="L191" s="75">
        <v>0.00146</v>
      </c>
      <c r="M191" s="75">
        <f>G191*L191</f>
        <v>0.004599</v>
      </c>
      <c r="N191" s="86" t="s">
        <v>648</v>
      </c>
      <c r="O191" s="18"/>
      <c r="Z191" s="48">
        <f>IF(AQ191="5",BJ191,0)</f>
        <v>0</v>
      </c>
      <c r="AB191" s="48">
        <f>IF(AQ191="1",BH191,0)</f>
        <v>0</v>
      </c>
      <c r="AC191" s="48">
        <f>IF(AQ191="1",BI191,0)</f>
        <v>0</v>
      </c>
      <c r="AD191" s="48">
        <f>IF(AQ191="7",BH191,0)</f>
        <v>0</v>
      </c>
      <c r="AE191" s="48">
        <f>IF(AQ191="7",BI191,0)</f>
        <v>0</v>
      </c>
      <c r="AF191" s="48">
        <f>IF(AQ191="2",BH191,0)</f>
        <v>0</v>
      </c>
      <c r="AG191" s="48">
        <f>IF(AQ191="2",BI191,0)</f>
        <v>0</v>
      </c>
      <c r="AH191" s="48">
        <f>IF(AQ191="0",BJ191,0)</f>
        <v>0</v>
      </c>
      <c r="AI191" s="80"/>
      <c r="AJ191" s="75">
        <f>IF(AN191=0,K191,0)</f>
        <v>0</v>
      </c>
      <c r="AK191" s="75">
        <f>IF(AN191=15,K191,0)</f>
        <v>0</v>
      </c>
      <c r="AL191" s="75">
        <f>IF(AN191=21,K191,0)</f>
        <v>0</v>
      </c>
      <c r="AN191" s="48">
        <v>21</v>
      </c>
      <c r="AO191" s="48">
        <f>H191*1</f>
        <v>0</v>
      </c>
      <c r="AP191" s="48">
        <f>H191*(1-1)</f>
        <v>0</v>
      </c>
      <c r="AQ191" s="89" t="s">
        <v>81</v>
      </c>
      <c r="AV191" s="48">
        <f>AW191+AX191</f>
        <v>0</v>
      </c>
      <c r="AW191" s="48">
        <f>G191*AO191</f>
        <v>0</v>
      </c>
      <c r="AX191" s="48">
        <f>G191*AP191</f>
        <v>0</v>
      </c>
      <c r="AY191" s="90" t="s">
        <v>674</v>
      </c>
      <c r="AZ191" s="90" t="s">
        <v>688</v>
      </c>
      <c r="BA191" s="80" t="s">
        <v>690</v>
      </c>
      <c r="BC191" s="48">
        <f>AW191+AX191</f>
        <v>0</v>
      </c>
      <c r="BD191" s="48">
        <f>H191/(100-BE191)*100</f>
        <v>0</v>
      </c>
      <c r="BE191" s="48">
        <v>0</v>
      </c>
      <c r="BF191" s="48">
        <f>M191</f>
        <v>0.004599</v>
      </c>
      <c r="BH191" s="75">
        <f>G191*AO191</f>
        <v>0</v>
      </c>
      <c r="BI191" s="75">
        <f>G191*AP191</f>
        <v>0</v>
      </c>
      <c r="BJ191" s="75">
        <f>G191*H191</f>
        <v>0</v>
      </c>
      <c r="BK191" s="75" t="s">
        <v>696</v>
      </c>
      <c r="BL191" s="48">
        <v>87</v>
      </c>
    </row>
    <row r="192" spans="1:15" ht="12.75">
      <c r="A192" s="18"/>
      <c r="D192" s="66" t="s">
        <v>107</v>
      </c>
      <c r="E192" s="68"/>
      <c r="G192" s="74">
        <v>3</v>
      </c>
      <c r="N192" s="16"/>
      <c r="O192" s="18"/>
    </row>
    <row r="193" spans="1:15" ht="12.75">
      <c r="A193" s="18"/>
      <c r="D193" s="66" t="s">
        <v>492</v>
      </c>
      <c r="E193" s="68"/>
      <c r="G193" s="74" t="s">
        <v>630</v>
      </c>
      <c r="N193" s="16"/>
      <c r="O193" s="18"/>
    </row>
    <row r="194" spans="1:64" ht="12.75">
      <c r="A194" s="58" t="s">
        <v>84</v>
      </c>
      <c r="B194" s="64"/>
      <c r="C194" s="64" t="s">
        <v>291</v>
      </c>
      <c r="D194" s="179" t="s">
        <v>486</v>
      </c>
      <c r="E194" s="180"/>
      <c r="F194" s="64" t="s">
        <v>612</v>
      </c>
      <c r="G194" s="73">
        <v>35</v>
      </c>
      <c r="H194" s="183"/>
      <c r="I194" s="73">
        <f>G194*AO194</f>
        <v>0</v>
      </c>
      <c r="J194" s="73">
        <f>G194*AP194</f>
        <v>0</v>
      </c>
      <c r="K194" s="73">
        <f>G194*H194</f>
        <v>0</v>
      </c>
      <c r="L194" s="73">
        <v>1E-05</v>
      </c>
      <c r="M194" s="73">
        <f>G194*L194</f>
        <v>0.00035000000000000005</v>
      </c>
      <c r="N194" s="85" t="s">
        <v>648</v>
      </c>
      <c r="O194" s="18"/>
      <c r="Z194" s="48">
        <f>IF(AQ194="5",BJ194,0)</f>
        <v>0</v>
      </c>
      <c r="AB194" s="48">
        <f>IF(AQ194="1",BH194,0)</f>
        <v>0</v>
      </c>
      <c r="AC194" s="48">
        <f>IF(AQ194="1",BI194,0)</f>
        <v>0</v>
      </c>
      <c r="AD194" s="48">
        <f>IF(AQ194="7",BH194,0)</f>
        <v>0</v>
      </c>
      <c r="AE194" s="48">
        <f>IF(AQ194="7",BI194,0)</f>
        <v>0</v>
      </c>
      <c r="AF194" s="48">
        <f>IF(AQ194="2",BH194,0)</f>
        <v>0</v>
      </c>
      <c r="AG194" s="48">
        <f>IF(AQ194="2",BI194,0)</f>
        <v>0</v>
      </c>
      <c r="AH194" s="48">
        <f>IF(AQ194="0",BJ194,0)</f>
        <v>0</v>
      </c>
      <c r="AI194" s="80"/>
      <c r="AJ194" s="73">
        <f>IF(AN194=0,K194,0)</f>
        <v>0</v>
      </c>
      <c r="AK194" s="73">
        <f>IF(AN194=15,K194,0)</f>
        <v>0</v>
      </c>
      <c r="AL194" s="73">
        <f>IF(AN194=21,K194,0)</f>
        <v>0</v>
      </c>
      <c r="AN194" s="48">
        <v>21</v>
      </c>
      <c r="AO194" s="48">
        <f>H194*0.00533049040511727</f>
        <v>0</v>
      </c>
      <c r="AP194" s="48">
        <f>H194*(1-0.00533049040511727)</f>
        <v>0</v>
      </c>
      <c r="AQ194" s="88" t="s">
        <v>81</v>
      </c>
      <c r="AV194" s="48">
        <f>AW194+AX194</f>
        <v>0</v>
      </c>
      <c r="AW194" s="48">
        <f>G194*AO194</f>
        <v>0</v>
      </c>
      <c r="AX194" s="48">
        <f>G194*AP194</f>
        <v>0</v>
      </c>
      <c r="AY194" s="90" t="s">
        <v>674</v>
      </c>
      <c r="AZ194" s="90" t="s">
        <v>688</v>
      </c>
      <c r="BA194" s="80" t="s">
        <v>690</v>
      </c>
      <c r="BC194" s="48">
        <f>AW194+AX194</f>
        <v>0</v>
      </c>
      <c r="BD194" s="48">
        <f>H194/(100-BE194)*100</f>
        <v>0</v>
      </c>
      <c r="BE194" s="48">
        <v>0</v>
      </c>
      <c r="BF194" s="48">
        <f>M194</f>
        <v>0.00035000000000000005</v>
      </c>
      <c r="BH194" s="73">
        <f>G194*AO194</f>
        <v>0</v>
      </c>
      <c r="BI194" s="73">
        <f>G194*AP194</f>
        <v>0</v>
      </c>
      <c r="BJ194" s="73">
        <f>G194*H194</f>
        <v>0</v>
      </c>
      <c r="BK194" s="73" t="s">
        <v>695</v>
      </c>
      <c r="BL194" s="48">
        <v>87</v>
      </c>
    </row>
    <row r="195" spans="1:15" ht="12.75">
      <c r="A195" s="18"/>
      <c r="D195" s="66" t="s">
        <v>135</v>
      </c>
      <c r="E195" s="68" t="s">
        <v>584</v>
      </c>
      <c r="G195" s="74">
        <v>35</v>
      </c>
      <c r="N195" s="16"/>
      <c r="O195" s="18"/>
    </row>
    <row r="196" spans="1:64" ht="12.75">
      <c r="A196" s="59" t="s">
        <v>176</v>
      </c>
      <c r="B196" s="65"/>
      <c r="C196" s="65" t="s">
        <v>295</v>
      </c>
      <c r="D196" s="181" t="s">
        <v>493</v>
      </c>
      <c r="E196" s="182"/>
      <c r="F196" s="65" t="s">
        <v>617</v>
      </c>
      <c r="G196" s="75">
        <v>7</v>
      </c>
      <c r="H196" s="184"/>
      <c r="I196" s="75">
        <f>G196*AO196</f>
        <v>0</v>
      </c>
      <c r="J196" s="75">
        <f>G196*AP196</f>
        <v>0</v>
      </c>
      <c r="K196" s="75">
        <f>G196*H196</f>
        <v>0</v>
      </c>
      <c r="L196" s="75">
        <v>0.03305</v>
      </c>
      <c r="M196" s="75">
        <f>G196*L196</f>
        <v>0.23135000000000003</v>
      </c>
      <c r="N196" s="86" t="s">
        <v>648</v>
      </c>
      <c r="O196" s="18"/>
      <c r="Z196" s="48">
        <f>IF(AQ196="5",BJ196,0)</f>
        <v>0</v>
      </c>
      <c r="AB196" s="48">
        <f>IF(AQ196="1",BH196,0)</f>
        <v>0</v>
      </c>
      <c r="AC196" s="48">
        <f>IF(AQ196="1",BI196,0)</f>
        <v>0</v>
      </c>
      <c r="AD196" s="48">
        <f>IF(AQ196="7",BH196,0)</f>
        <v>0</v>
      </c>
      <c r="AE196" s="48">
        <f>IF(AQ196="7",BI196,0)</f>
        <v>0</v>
      </c>
      <c r="AF196" s="48">
        <f>IF(AQ196="2",BH196,0)</f>
        <v>0</v>
      </c>
      <c r="AG196" s="48">
        <f>IF(AQ196="2",BI196,0)</f>
        <v>0</v>
      </c>
      <c r="AH196" s="48">
        <f>IF(AQ196="0",BJ196,0)</f>
        <v>0</v>
      </c>
      <c r="AI196" s="80"/>
      <c r="AJ196" s="75">
        <f>IF(AN196=0,K196,0)</f>
        <v>0</v>
      </c>
      <c r="AK196" s="75">
        <f>IF(AN196=15,K196,0)</f>
        <v>0</v>
      </c>
      <c r="AL196" s="75">
        <f>IF(AN196=21,K196,0)</f>
        <v>0</v>
      </c>
      <c r="AN196" s="48">
        <v>21</v>
      </c>
      <c r="AO196" s="48">
        <f>H196*1</f>
        <v>0</v>
      </c>
      <c r="AP196" s="48">
        <f>H196*(1-1)</f>
        <v>0</v>
      </c>
      <c r="AQ196" s="89" t="s">
        <v>81</v>
      </c>
      <c r="AV196" s="48">
        <f>AW196+AX196</f>
        <v>0</v>
      </c>
      <c r="AW196" s="48">
        <f>G196*AO196</f>
        <v>0</v>
      </c>
      <c r="AX196" s="48">
        <f>G196*AP196</f>
        <v>0</v>
      </c>
      <c r="AY196" s="90" t="s">
        <v>674</v>
      </c>
      <c r="AZ196" s="90" t="s">
        <v>688</v>
      </c>
      <c r="BA196" s="80" t="s">
        <v>690</v>
      </c>
      <c r="BC196" s="48">
        <f>AW196+AX196</f>
        <v>0</v>
      </c>
      <c r="BD196" s="48">
        <f>H196/(100-BE196)*100</f>
        <v>0</v>
      </c>
      <c r="BE196" s="48">
        <v>0</v>
      </c>
      <c r="BF196" s="48">
        <f>M196</f>
        <v>0.23135000000000003</v>
      </c>
      <c r="BH196" s="75">
        <f>G196*AO196</f>
        <v>0</v>
      </c>
      <c r="BI196" s="75">
        <f>G196*AP196</f>
        <v>0</v>
      </c>
      <c r="BJ196" s="75">
        <f>G196*H196</f>
        <v>0</v>
      </c>
      <c r="BK196" s="75" t="s">
        <v>696</v>
      </c>
      <c r="BL196" s="48">
        <v>87</v>
      </c>
    </row>
    <row r="197" spans="1:15" ht="12.75">
      <c r="A197" s="18"/>
      <c r="D197" s="66" t="s">
        <v>494</v>
      </c>
      <c r="E197" s="68"/>
      <c r="G197" s="74">
        <v>7</v>
      </c>
      <c r="N197" s="16"/>
      <c r="O197" s="18"/>
    </row>
    <row r="198" spans="1:47" ht="12.75">
      <c r="A198" s="57"/>
      <c r="B198" s="63"/>
      <c r="C198" s="63" t="s">
        <v>188</v>
      </c>
      <c r="D198" s="177" t="s">
        <v>495</v>
      </c>
      <c r="E198" s="178"/>
      <c r="F198" s="71" t="s">
        <v>78</v>
      </c>
      <c r="G198" s="71" t="s">
        <v>78</v>
      </c>
      <c r="H198" s="71" t="s">
        <v>78</v>
      </c>
      <c r="I198" s="93">
        <f>SUM(I199:I243)</f>
        <v>0</v>
      </c>
      <c r="J198" s="93">
        <f>SUM(J199:J243)</f>
        <v>0</v>
      </c>
      <c r="K198" s="93">
        <f>SUM(K199:K243)</f>
        <v>0</v>
      </c>
      <c r="L198" s="80"/>
      <c r="M198" s="93">
        <f>SUM(M199:M243)</f>
        <v>41.34221999999999</v>
      </c>
      <c r="N198" s="84"/>
      <c r="O198" s="18"/>
      <c r="AI198" s="80"/>
      <c r="AS198" s="93">
        <f>SUM(AJ199:AJ243)</f>
        <v>0</v>
      </c>
      <c r="AT198" s="93">
        <f>SUM(AK199:AK243)</f>
        <v>0</v>
      </c>
      <c r="AU198" s="93">
        <f>SUM(AL199:AL243)</f>
        <v>0</v>
      </c>
    </row>
    <row r="199" spans="1:64" ht="12.75">
      <c r="A199" s="58" t="s">
        <v>177</v>
      </c>
      <c r="B199" s="64"/>
      <c r="C199" s="64" t="s">
        <v>296</v>
      </c>
      <c r="D199" s="179" t="s">
        <v>496</v>
      </c>
      <c r="E199" s="180"/>
      <c r="F199" s="64" t="s">
        <v>613</v>
      </c>
      <c r="G199" s="73">
        <v>18</v>
      </c>
      <c r="H199" s="183"/>
      <c r="I199" s="73">
        <f>G199*AO199</f>
        <v>0</v>
      </c>
      <c r="J199" s="73">
        <f>G199*AP199</f>
        <v>0</v>
      </c>
      <c r="K199" s="73">
        <f>G199*H199</f>
        <v>0</v>
      </c>
      <c r="L199" s="73">
        <v>0.00418</v>
      </c>
      <c r="M199" s="73">
        <f>G199*L199</f>
        <v>0.07524</v>
      </c>
      <c r="N199" s="85" t="s">
        <v>647</v>
      </c>
      <c r="O199" s="18"/>
      <c r="Z199" s="48">
        <f>IF(AQ199="5",BJ199,0)</f>
        <v>0</v>
      </c>
      <c r="AB199" s="48">
        <f>IF(AQ199="1",BH199,0)</f>
        <v>0</v>
      </c>
      <c r="AC199" s="48">
        <f>IF(AQ199="1",BI199,0)</f>
        <v>0</v>
      </c>
      <c r="AD199" s="48">
        <f>IF(AQ199="7",BH199,0)</f>
        <v>0</v>
      </c>
      <c r="AE199" s="48">
        <f>IF(AQ199="7",BI199,0)</f>
        <v>0</v>
      </c>
      <c r="AF199" s="48">
        <f>IF(AQ199="2",BH199,0)</f>
        <v>0</v>
      </c>
      <c r="AG199" s="48">
        <f>IF(AQ199="2",BI199,0)</f>
        <v>0</v>
      </c>
      <c r="AH199" s="48">
        <f>IF(AQ199="0",BJ199,0)</f>
        <v>0</v>
      </c>
      <c r="AI199" s="80"/>
      <c r="AJ199" s="73">
        <f>IF(AN199=0,K199,0)</f>
        <v>0</v>
      </c>
      <c r="AK199" s="73">
        <f>IF(AN199=15,K199,0)</f>
        <v>0</v>
      </c>
      <c r="AL199" s="73">
        <f>IF(AN199=21,K199,0)</f>
        <v>0</v>
      </c>
      <c r="AN199" s="48">
        <v>21</v>
      </c>
      <c r="AO199" s="48">
        <f>H199*0.123983140147524</f>
        <v>0</v>
      </c>
      <c r="AP199" s="48">
        <f>H199*(1-0.123983140147524)</f>
        <v>0</v>
      </c>
      <c r="AQ199" s="88" t="s">
        <v>81</v>
      </c>
      <c r="AV199" s="48">
        <f>AW199+AX199</f>
        <v>0</v>
      </c>
      <c r="AW199" s="48">
        <f>G199*AO199</f>
        <v>0</v>
      </c>
      <c r="AX199" s="48">
        <f>G199*AP199</f>
        <v>0</v>
      </c>
      <c r="AY199" s="90" t="s">
        <v>675</v>
      </c>
      <c r="AZ199" s="90" t="s">
        <v>688</v>
      </c>
      <c r="BA199" s="80" t="s">
        <v>690</v>
      </c>
      <c r="BC199" s="48">
        <f>AW199+AX199</f>
        <v>0</v>
      </c>
      <c r="BD199" s="48">
        <f>H199/(100-BE199)*100</f>
        <v>0</v>
      </c>
      <c r="BE199" s="48">
        <v>0</v>
      </c>
      <c r="BF199" s="48">
        <f>M199</f>
        <v>0.07524</v>
      </c>
      <c r="BH199" s="73">
        <f>G199*AO199</f>
        <v>0</v>
      </c>
      <c r="BI199" s="73">
        <f>G199*AP199</f>
        <v>0</v>
      </c>
      <c r="BJ199" s="73">
        <f>G199*H199</f>
        <v>0</v>
      </c>
      <c r="BK199" s="73" t="s">
        <v>695</v>
      </c>
      <c r="BL199" s="48">
        <v>89</v>
      </c>
    </row>
    <row r="200" spans="1:15" ht="12.75">
      <c r="A200" s="18"/>
      <c r="D200" s="66" t="s">
        <v>497</v>
      </c>
      <c r="E200" s="68"/>
      <c r="G200" s="74">
        <v>18</v>
      </c>
      <c r="N200" s="16"/>
      <c r="O200" s="18"/>
    </row>
    <row r="201" spans="1:64" ht="12.75">
      <c r="A201" s="58" t="s">
        <v>178</v>
      </c>
      <c r="B201" s="64"/>
      <c r="C201" s="64" t="s">
        <v>297</v>
      </c>
      <c r="D201" s="179" t="s">
        <v>498</v>
      </c>
      <c r="E201" s="180"/>
      <c r="F201" s="64" t="s">
        <v>614</v>
      </c>
      <c r="G201" s="73">
        <v>7.73</v>
      </c>
      <c r="H201" s="183"/>
      <c r="I201" s="73">
        <f>G201*AO201</f>
        <v>0</v>
      </c>
      <c r="J201" s="73">
        <f>G201*AP201</f>
        <v>0</v>
      </c>
      <c r="K201" s="73">
        <f>G201*H201</f>
        <v>0</v>
      </c>
      <c r="L201" s="73">
        <v>2.525</v>
      </c>
      <c r="M201" s="73">
        <f>G201*L201</f>
        <v>19.518250000000002</v>
      </c>
      <c r="N201" s="85" t="s">
        <v>647</v>
      </c>
      <c r="O201" s="18"/>
      <c r="Z201" s="48">
        <f>IF(AQ201="5",BJ201,0)</f>
        <v>0</v>
      </c>
      <c r="AB201" s="48">
        <f>IF(AQ201="1",BH201,0)</f>
        <v>0</v>
      </c>
      <c r="AC201" s="48">
        <f>IF(AQ201="1",BI201,0)</f>
        <v>0</v>
      </c>
      <c r="AD201" s="48">
        <f>IF(AQ201="7",BH201,0)</f>
        <v>0</v>
      </c>
      <c r="AE201" s="48">
        <f>IF(AQ201="7",BI201,0)</f>
        <v>0</v>
      </c>
      <c r="AF201" s="48">
        <f>IF(AQ201="2",BH201,0)</f>
        <v>0</v>
      </c>
      <c r="AG201" s="48">
        <f>IF(AQ201="2",BI201,0)</f>
        <v>0</v>
      </c>
      <c r="AH201" s="48">
        <f>IF(AQ201="0",BJ201,0)</f>
        <v>0</v>
      </c>
      <c r="AI201" s="80"/>
      <c r="AJ201" s="73">
        <f>IF(AN201=0,K201,0)</f>
        <v>0</v>
      </c>
      <c r="AK201" s="73">
        <f>IF(AN201=15,K201,0)</f>
        <v>0</v>
      </c>
      <c r="AL201" s="73">
        <f>IF(AN201=21,K201,0)</f>
        <v>0</v>
      </c>
      <c r="AN201" s="48">
        <v>21</v>
      </c>
      <c r="AO201" s="48">
        <f>H201*0.842075455425578</f>
        <v>0</v>
      </c>
      <c r="AP201" s="48">
        <f>H201*(1-0.842075455425578)</f>
        <v>0</v>
      </c>
      <c r="AQ201" s="88" t="s">
        <v>81</v>
      </c>
      <c r="AV201" s="48">
        <f>AW201+AX201</f>
        <v>0</v>
      </c>
      <c r="AW201" s="48">
        <f>G201*AO201</f>
        <v>0</v>
      </c>
      <c r="AX201" s="48">
        <f>G201*AP201</f>
        <v>0</v>
      </c>
      <c r="AY201" s="90" t="s">
        <v>675</v>
      </c>
      <c r="AZ201" s="90" t="s">
        <v>688</v>
      </c>
      <c r="BA201" s="80" t="s">
        <v>690</v>
      </c>
      <c r="BC201" s="48">
        <f>AW201+AX201</f>
        <v>0</v>
      </c>
      <c r="BD201" s="48">
        <f>H201/(100-BE201)*100</f>
        <v>0</v>
      </c>
      <c r="BE201" s="48">
        <v>0</v>
      </c>
      <c r="BF201" s="48">
        <f>M201</f>
        <v>19.518250000000002</v>
      </c>
      <c r="BH201" s="73">
        <f>G201*AO201</f>
        <v>0</v>
      </c>
      <c r="BI201" s="73">
        <f>G201*AP201</f>
        <v>0</v>
      </c>
      <c r="BJ201" s="73">
        <f>G201*H201</f>
        <v>0</v>
      </c>
      <c r="BK201" s="73" t="s">
        <v>695</v>
      </c>
      <c r="BL201" s="48">
        <v>89</v>
      </c>
    </row>
    <row r="202" spans="1:15" ht="12.75">
      <c r="A202" s="18"/>
      <c r="D202" s="66" t="s">
        <v>499</v>
      </c>
      <c r="E202" s="68" t="s">
        <v>600</v>
      </c>
      <c r="G202" s="74" t="s">
        <v>631</v>
      </c>
      <c r="N202" s="16"/>
      <c r="O202" s="18"/>
    </row>
    <row r="203" spans="1:64" ht="12.75">
      <c r="A203" s="58" t="s">
        <v>179</v>
      </c>
      <c r="B203" s="64"/>
      <c r="C203" s="64" t="s">
        <v>298</v>
      </c>
      <c r="D203" s="179" t="s">
        <v>500</v>
      </c>
      <c r="E203" s="180"/>
      <c r="F203" s="64" t="s">
        <v>617</v>
      </c>
      <c r="G203" s="73">
        <v>6</v>
      </c>
      <c r="H203" s="183"/>
      <c r="I203" s="73">
        <f>G203*AO203</f>
        <v>0</v>
      </c>
      <c r="J203" s="73">
        <f>G203*AP203</f>
        <v>0</v>
      </c>
      <c r="K203" s="73">
        <f>G203*H203</f>
        <v>0</v>
      </c>
      <c r="L203" s="73">
        <v>0</v>
      </c>
      <c r="M203" s="73">
        <f>G203*L203</f>
        <v>0</v>
      </c>
      <c r="N203" s="85" t="s">
        <v>648</v>
      </c>
      <c r="O203" s="18"/>
      <c r="Z203" s="48">
        <f>IF(AQ203="5",BJ203,0)</f>
        <v>0</v>
      </c>
      <c r="AB203" s="48">
        <f>IF(AQ203="1",BH203,0)</f>
        <v>0</v>
      </c>
      <c r="AC203" s="48">
        <f>IF(AQ203="1",BI203,0)</f>
        <v>0</v>
      </c>
      <c r="AD203" s="48">
        <f>IF(AQ203="7",BH203,0)</f>
        <v>0</v>
      </c>
      <c r="AE203" s="48">
        <f>IF(AQ203="7",BI203,0)</f>
        <v>0</v>
      </c>
      <c r="AF203" s="48">
        <f>IF(AQ203="2",BH203,0)</f>
        <v>0</v>
      </c>
      <c r="AG203" s="48">
        <f>IF(AQ203="2",BI203,0)</f>
        <v>0</v>
      </c>
      <c r="AH203" s="48">
        <f>IF(AQ203="0",BJ203,0)</f>
        <v>0</v>
      </c>
      <c r="AI203" s="80"/>
      <c r="AJ203" s="73">
        <f>IF(AN203=0,K203,0)</f>
        <v>0</v>
      </c>
      <c r="AK203" s="73">
        <f>IF(AN203=15,K203,0)</f>
        <v>0</v>
      </c>
      <c r="AL203" s="73">
        <f>IF(AN203=21,K203,0)</f>
        <v>0</v>
      </c>
      <c r="AN203" s="48">
        <v>21</v>
      </c>
      <c r="AO203" s="48">
        <f>H203*0</f>
        <v>0</v>
      </c>
      <c r="AP203" s="48">
        <f>H203*(1-0)</f>
        <v>0</v>
      </c>
      <c r="AQ203" s="88" t="s">
        <v>81</v>
      </c>
      <c r="AV203" s="48">
        <f>AW203+AX203</f>
        <v>0</v>
      </c>
      <c r="AW203" s="48">
        <f>G203*AO203</f>
        <v>0</v>
      </c>
      <c r="AX203" s="48">
        <f>G203*AP203</f>
        <v>0</v>
      </c>
      <c r="AY203" s="90" t="s">
        <v>675</v>
      </c>
      <c r="AZ203" s="90" t="s">
        <v>688</v>
      </c>
      <c r="BA203" s="80" t="s">
        <v>690</v>
      </c>
      <c r="BC203" s="48">
        <f>AW203+AX203</f>
        <v>0</v>
      </c>
      <c r="BD203" s="48">
        <f>H203/(100-BE203)*100</f>
        <v>0</v>
      </c>
      <c r="BE203" s="48">
        <v>0</v>
      </c>
      <c r="BF203" s="48">
        <f>M203</f>
        <v>0</v>
      </c>
      <c r="BH203" s="73">
        <f>G203*AO203</f>
        <v>0</v>
      </c>
      <c r="BI203" s="73">
        <f>G203*AP203</f>
        <v>0</v>
      </c>
      <c r="BJ203" s="73">
        <f>G203*H203</f>
        <v>0</v>
      </c>
      <c r="BK203" s="73" t="s">
        <v>695</v>
      </c>
      <c r="BL203" s="48">
        <v>89</v>
      </c>
    </row>
    <row r="204" spans="1:15" ht="12.75">
      <c r="A204" s="18"/>
      <c r="D204" s="66" t="s">
        <v>501</v>
      </c>
      <c r="E204" s="68" t="s">
        <v>601</v>
      </c>
      <c r="G204" s="74">
        <v>6</v>
      </c>
      <c r="N204" s="16"/>
      <c r="O204" s="18"/>
    </row>
    <row r="205" spans="1:64" ht="12.75">
      <c r="A205" s="59" t="s">
        <v>180</v>
      </c>
      <c r="B205" s="65"/>
      <c r="C205" s="65" t="s">
        <v>299</v>
      </c>
      <c r="D205" s="181" t="s">
        <v>502</v>
      </c>
      <c r="E205" s="182"/>
      <c r="F205" s="65" t="s">
        <v>617</v>
      </c>
      <c r="G205" s="75">
        <v>1</v>
      </c>
      <c r="H205" s="184"/>
      <c r="I205" s="75">
        <f>G205*AO205</f>
        <v>0</v>
      </c>
      <c r="J205" s="75">
        <f>G205*AP205</f>
        <v>0</v>
      </c>
      <c r="K205" s="75">
        <f>G205*H205</f>
        <v>0</v>
      </c>
      <c r="L205" s="75">
        <v>1.74</v>
      </c>
      <c r="M205" s="75">
        <f>G205*L205</f>
        <v>1.74</v>
      </c>
      <c r="N205" s="86" t="s">
        <v>648</v>
      </c>
      <c r="O205" s="18"/>
      <c r="Z205" s="48">
        <f>IF(AQ205="5",BJ205,0)</f>
        <v>0</v>
      </c>
      <c r="AB205" s="48">
        <f>IF(AQ205="1",BH205,0)</f>
        <v>0</v>
      </c>
      <c r="AC205" s="48">
        <f>IF(AQ205="1",BI205,0)</f>
        <v>0</v>
      </c>
      <c r="AD205" s="48">
        <f>IF(AQ205="7",BH205,0)</f>
        <v>0</v>
      </c>
      <c r="AE205" s="48">
        <f>IF(AQ205="7",BI205,0)</f>
        <v>0</v>
      </c>
      <c r="AF205" s="48">
        <f>IF(AQ205="2",BH205,0)</f>
        <v>0</v>
      </c>
      <c r="AG205" s="48">
        <f>IF(AQ205="2",BI205,0)</f>
        <v>0</v>
      </c>
      <c r="AH205" s="48">
        <f>IF(AQ205="0",BJ205,0)</f>
        <v>0</v>
      </c>
      <c r="AI205" s="80"/>
      <c r="AJ205" s="75">
        <f>IF(AN205=0,K205,0)</f>
        <v>0</v>
      </c>
      <c r="AK205" s="75">
        <f>IF(AN205=15,K205,0)</f>
        <v>0</v>
      </c>
      <c r="AL205" s="75">
        <f>IF(AN205=21,K205,0)</f>
        <v>0</v>
      </c>
      <c r="AN205" s="48">
        <v>21</v>
      </c>
      <c r="AO205" s="48">
        <f>H205*1</f>
        <v>0</v>
      </c>
      <c r="AP205" s="48">
        <f>H205*(1-1)</f>
        <v>0</v>
      </c>
      <c r="AQ205" s="89" t="s">
        <v>81</v>
      </c>
      <c r="AV205" s="48">
        <f>AW205+AX205</f>
        <v>0</v>
      </c>
      <c r="AW205" s="48">
        <f>G205*AO205</f>
        <v>0</v>
      </c>
      <c r="AX205" s="48">
        <f>G205*AP205</f>
        <v>0</v>
      </c>
      <c r="AY205" s="90" t="s">
        <v>675</v>
      </c>
      <c r="AZ205" s="90" t="s">
        <v>688</v>
      </c>
      <c r="BA205" s="80" t="s">
        <v>690</v>
      </c>
      <c r="BC205" s="48">
        <f>AW205+AX205</f>
        <v>0</v>
      </c>
      <c r="BD205" s="48">
        <f>H205/(100-BE205)*100</f>
        <v>0</v>
      </c>
      <c r="BE205" s="48">
        <v>0</v>
      </c>
      <c r="BF205" s="48">
        <f>M205</f>
        <v>1.74</v>
      </c>
      <c r="BH205" s="75">
        <f>G205*AO205</f>
        <v>0</v>
      </c>
      <c r="BI205" s="75">
        <f>G205*AP205</f>
        <v>0</v>
      </c>
      <c r="BJ205" s="75">
        <f>G205*H205</f>
        <v>0</v>
      </c>
      <c r="BK205" s="75" t="s">
        <v>696</v>
      </c>
      <c r="BL205" s="48">
        <v>89</v>
      </c>
    </row>
    <row r="206" spans="1:15" ht="12.75">
      <c r="A206" s="18"/>
      <c r="D206" s="66" t="s">
        <v>81</v>
      </c>
      <c r="E206" s="68"/>
      <c r="G206" s="74">
        <v>1</v>
      </c>
      <c r="N206" s="16"/>
      <c r="O206" s="18"/>
    </row>
    <row r="207" spans="1:64" ht="12.75">
      <c r="A207" s="59" t="s">
        <v>181</v>
      </c>
      <c r="B207" s="65"/>
      <c r="C207" s="65" t="s">
        <v>300</v>
      </c>
      <c r="D207" s="181" t="s">
        <v>503</v>
      </c>
      <c r="E207" s="182"/>
      <c r="F207" s="65" t="s">
        <v>617</v>
      </c>
      <c r="G207" s="75">
        <v>1</v>
      </c>
      <c r="H207" s="184"/>
      <c r="I207" s="75">
        <f>G207*AO207</f>
        <v>0</v>
      </c>
      <c r="J207" s="75">
        <f>G207*AP207</f>
        <v>0</v>
      </c>
      <c r="K207" s="75">
        <f>G207*H207</f>
        <v>0</v>
      </c>
      <c r="L207" s="75">
        <v>2.54</v>
      </c>
      <c r="M207" s="75">
        <f>G207*L207</f>
        <v>2.54</v>
      </c>
      <c r="N207" s="86" t="s">
        <v>648</v>
      </c>
      <c r="O207" s="18"/>
      <c r="Z207" s="48">
        <f>IF(AQ207="5",BJ207,0)</f>
        <v>0</v>
      </c>
      <c r="AB207" s="48">
        <f>IF(AQ207="1",BH207,0)</f>
        <v>0</v>
      </c>
      <c r="AC207" s="48">
        <f>IF(AQ207="1",BI207,0)</f>
        <v>0</v>
      </c>
      <c r="AD207" s="48">
        <f>IF(AQ207="7",BH207,0)</f>
        <v>0</v>
      </c>
      <c r="AE207" s="48">
        <f>IF(AQ207="7",BI207,0)</f>
        <v>0</v>
      </c>
      <c r="AF207" s="48">
        <f>IF(AQ207="2",BH207,0)</f>
        <v>0</v>
      </c>
      <c r="AG207" s="48">
        <f>IF(AQ207="2",BI207,0)</f>
        <v>0</v>
      </c>
      <c r="AH207" s="48">
        <f>IF(AQ207="0",BJ207,0)</f>
        <v>0</v>
      </c>
      <c r="AI207" s="80"/>
      <c r="AJ207" s="75">
        <f>IF(AN207=0,K207,0)</f>
        <v>0</v>
      </c>
      <c r="AK207" s="75">
        <f>IF(AN207=15,K207,0)</f>
        <v>0</v>
      </c>
      <c r="AL207" s="75">
        <f>IF(AN207=21,K207,0)</f>
        <v>0</v>
      </c>
      <c r="AN207" s="48">
        <v>21</v>
      </c>
      <c r="AO207" s="48">
        <f>H207*1</f>
        <v>0</v>
      </c>
      <c r="AP207" s="48">
        <f>H207*(1-1)</f>
        <v>0</v>
      </c>
      <c r="AQ207" s="89" t="s">
        <v>81</v>
      </c>
      <c r="AV207" s="48">
        <f>AW207+AX207</f>
        <v>0</v>
      </c>
      <c r="AW207" s="48">
        <f>G207*AO207</f>
        <v>0</v>
      </c>
      <c r="AX207" s="48">
        <f>G207*AP207</f>
        <v>0</v>
      </c>
      <c r="AY207" s="90" t="s">
        <v>675</v>
      </c>
      <c r="AZ207" s="90" t="s">
        <v>688</v>
      </c>
      <c r="BA207" s="80" t="s">
        <v>690</v>
      </c>
      <c r="BC207" s="48">
        <f>AW207+AX207</f>
        <v>0</v>
      </c>
      <c r="BD207" s="48">
        <f>H207/(100-BE207)*100</f>
        <v>0</v>
      </c>
      <c r="BE207" s="48">
        <v>0</v>
      </c>
      <c r="BF207" s="48">
        <f>M207</f>
        <v>2.54</v>
      </c>
      <c r="BH207" s="75">
        <f>G207*AO207</f>
        <v>0</v>
      </c>
      <c r="BI207" s="75">
        <f>G207*AP207</f>
        <v>0</v>
      </c>
      <c r="BJ207" s="75">
        <f>G207*H207</f>
        <v>0</v>
      </c>
      <c r="BK207" s="75" t="s">
        <v>696</v>
      </c>
      <c r="BL207" s="48">
        <v>89</v>
      </c>
    </row>
    <row r="208" spans="1:15" ht="12.75">
      <c r="A208" s="18"/>
      <c r="D208" s="66" t="s">
        <v>81</v>
      </c>
      <c r="E208" s="68"/>
      <c r="G208" s="74">
        <v>1</v>
      </c>
      <c r="N208" s="16"/>
      <c r="O208" s="18"/>
    </row>
    <row r="209" spans="1:64" ht="12.75">
      <c r="A209" s="59" t="s">
        <v>182</v>
      </c>
      <c r="B209" s="65"/>
      <c r="C209" s="65" t="s">
        <v>301</v>
      </c>
      <c r="D209" s="181" t="s">
        <v>504</v>
      </c>
      <c r="E209" s="182"/>
      <c r="F209" s="65" t="s">
        <v>617</v>
      </c>
      <c r="G209" s="75">
        <v>1</v>
      </c>
      <c r="H209" s="184"/>
      <c r="I209" s="75">
        <f>G209*AO209</f>
        <v>0</v>
      </c>
      <c r="J209" s="75">
        <f>G209*AP209</f>
        <v>0</v>
      </c>
      <c r="K209" s="75">
        <f>G209*H209</f>
        <v>0</v>
      </c>
      <c r="L209" s="75">
        <v>5.55</v>
      </c>
      <c r="M209" s="75">
        <f>G209*L209</f>
        <v>5.55</v>
      </c>
      <c r="N209" s="86" t="s">
        <v>648</v>
      </c>
      <c r="O209" s="18"/>
      <c r="Z209" s="48">
        <f>IF(AQ209="5",BJ209,0)</f>
        <v>0</v>
      </c>
      <c r="AB209" s="48">
        <f>IF(AQ209="1",BH209,0)</f>
        <v>0</v>
      </c>
      <c r="AC209" s="48">
        <f>IF(AQ209="1",BI209,0)</f>
        <v>0</v>
      </c>
      <c r="AD209" s="48">
        <f>IF(AQ209="7",BH209,0)</f>
        <v>0</v>
      </c>
      <c r="AE209" s="48">
        <f>IF(AQ209="7",BI209,0)</f>
        <v>0</v>
      </c>
      <c r="AF209" s="48">
        <f>IF(AQ209="2",BH209,0)</f>
        <v>0</v>
      </c>
      <c r="AG209" s="48">
        <f>IF(AQ209="2",BI209,0)</f>
        <v>0</v>
      </c>
      <c r="AH209" s="48">
        <f>IF(AQ209="0",BJ209,0)</f>
        <v>0</v>
      </c>
      <c r="AI209" s="80"/>
      <c r="AJ209" s="75">
        <f>IF(AN209=0,K209,0)</f>
        <v>0</v>
      </c>
      <c r="AK209" s="75">
        <f>IF(AN209=15,K209,0)</f>
        <v>0</v>
      </c>
      <c r="AL209" s="75">
        <f>IF(AN209=21,K209,0)</f>
        <v>0</v>
      </c>
      <c r="AN209" s="48">
        <v>21</v>
      </c>
      <c r="AO209" s="48">
        <f>H209*1</f>
        <v>0</v>
      </c>
      <c r="AP209" s="48">
        <f>H209*(1-1)</f>
        <v>0</v>
      </c>
      <c r="AQ209" s="89" t="s">
        <v>81</v>
      </c>
      <c r="AV209" s="48">
        <f>AW209+AX209</f>
        <v>0</v>
      </c>
      <c r="AW209" s="48">
        <f>G209*AO209</f>
        <v>0</v>
      </c>
      <c r="AX209" s="48">
        <f>G209*AP209</f>
        <v>0</v>
      </c>
      <c r="AY209" s="90" t="s">
        <v>675</v>
      </c>
      <c r="AZ209" s="90" t="s">
        <v>688</v>
      </c>
      <c r="BA209" s="80" t="s">
        <v>690</v>
      </c>
      <c r="BC209" s="48">
        <f>AW209+AX209</f>
        <v>0</v>
      </c>
      <c r="BD209" s="48">
        <f>H209/(100-BE209)*100</f>
        <v>0</v>
      </c>
      <c r="BE209" s="48">
        <v>0</v>
      </c>
      <c r="BF209" s="48">
        <f>M209</f>
        <v>5.55</v>
      </c>
      <c r="BH209" s="75">
        <f>G209*AO209</f>
        <v>0</v>
      </c>
      <c r="BI209" s="75">
        <f>G209*AP209</f>
        <v>0</v>
      </c>
      <c r="BJ209" s="75">
        <f>G209*H209</f>
        <v>0</v>
      </c>
      <c r="BK209" s="75" t="s">
        <v>696</v>
      </c>
      <c r="BL209" s="48">
        <v>89</v>
      </c>
    </row>
    <row r="210" spans="1:15" ht="12.75">
      <c r="A210" s="18"/>
      <c r="D210" s="66" t="s">
        <v>81</v>
      </c>
      <c r="E210" s="68"/>
      <c r="G210" s="74">
        <v>1</v>
      </c>
      <c r="N210" s="16"/>
      <c r="O210" s="18"/>
    </row>
    <row r="211" spans="1:64" ht="12.75">
      <c r="A211" s="59" t="s">
        <v>183</v>
      </c>
      <c r="B211" s="65"/>
      <c r="C211" s="65" t="s">
        <v>302</v>
      </c>
      <c r="D211" s="181" t="s">
        <v>505</v>
      </c>
      <c r="E211" s="182"/>
      <c r="F211" s="65" t="s">
        <v>617</v>
      </c>
      <c r="G211" s="75">
        <v>1</v>
      </c>
      <c r="H211" s="184"/>
      <c r="I211" s="75">
        <f>G211*AO211</f>
        <v>0</v>
      </c>
      <c r="J211" s="75">
        <f>G211*AP211</f>
        <v>0</v>
      </c>
      <c r="K211" s="75">
        <f>G211*H211</f>
        <v>0</v>
      </c>
      <c r="L211" s="75">
        <v>6.5</v>
      </c>
      <c r="M211" s="75">
        <f>G211*L211</f>
        <v>6.5</v>
      </c>
      <c r="N211" s="86" t="s">
        <v>648</v>
      </c>
      <c r="O211" s="18"/>
      <c r="Z211" s="48">
        <f>IF(AQ211="5",BJ211,0)</f>
        <v>0</v>
      </c>
      <c r="AB211" s="48">
        <f>IF(AQ211="1",BH211,0)</f>
        <v>0</v>
      </c>
      <c r="AC211" s="48">
        <f>IF(AQ211="1",BI211,0)</f>
        <v>0</v>
      </c>
      <c r="AD211" s="48">
        <f>IF(AQ211="7",BH211,0)</f>
        <v>0</v>
      </c>
      <c r="AE211" s="48">
        <f>IF(AQ211="7",BI211,0)</f>
        <v>0</v>
      </c>
      <c r="AF211" s="48">
        <f>IF(AQ211="2",BH211,0)</f>
        <v>0</v>
      </c>
      <c r="AG211" s="48">
        <f>IF(AQ211="2",BI211,0)</f>
        <v>0</v>
      </c>
      <c r="AH211" s="48">
        <f>IF(AQ211="0",BJ211,0)</f>
        <v>0</v>
      </c>
      <c r="AI211" s="80"/>
      <c r="AJ211" s="75">
        <f>IF(AN211=0,K211,0)</f>
        <v>0</v>
      </c>
      <c r="AK211" s="75">
        <f>IF(AN211=15,K211,0)</f>
        <v>0</v>
      </c>
      <c r="AL211" s="75">
        <f>IF(AN211=21,K211,0)</f>
        <v>0</v>
      </c>
      <c r="AN211" s="48">
        <v>21</v>
      </c>
      <c r="AO211" s="48">
        <f>H211*1</f>
        <v>0</v>
      </c>
      <c r="AP211" s="48">
        <f>H211*(1-1)</f>
        <v>0</v>
      </c>
      <c r="AQ211" s="89" t="s">
        <v>81</v>
      </c>
      <c r="AV211" s="48">
        <f>AW211+AX211</f>
        <v>0</v>
      </c>
      <c r="AW211" s="48">
        <f>G211*AO211</f>
        <v>0</v>
      </c>
      <c r="AX211" s="48">
        <f>G211*AP211</f>
        <v>0</v>
      </c>
      <c r="AY211" s="90" t="s">
        <v>675</v>
      </c>
      <c r="AZ211" s="90" t="s">
        <v>688</v>
      </c>
      <c r="BA211" s="80" t="s">
        <v>690</v>
      </c>
      <c r="BC211" s="48">
        <f>AW211+AX211</f>
        <v>0</v>
      </c>
      <c r="BD211" s="48">
        <f>H211/(100-BE211)*100</f>
        <v>0</v>
      </c>
      <c r="BE211" s="48">
        <v>0</v>
      </c>
      <c r="BF211" s="48">
        <f>M211</f>
        <v>6.5</v>
      </c>
      <c r="BH211" s="75">
        <f>G211*AO211</f>
        <v>0</v>
      </c>
      <c r="BI211" s="75">
        <f>G211*AP211</f>
        <v>0</v>
      </c>
      <c r="BJ211" s="75">
        <f>G211*H211</f>
        <v>0</v>
      </c>
      <c r="BK211" s="75" t="s">
        <v>696</v>
      </c>
      <c r="BL211" s="48">
        <v>89</v>
      </c>
    </row>
    <row r="212" spans="1:15" ht="12.75">
      <c r="A212" s="18"/>
      <c r="D212" s="66" t="s">
        <v>81</v>
      </c>
      <c r="E212" s="68"/>
      <c r="G212" s="74">
        <v>1</v>
      </c>
      <c r="N212" s="16"/>
      <c r="O212" s="18"/>
    </row>
    <row r="213" spans="1:64" ht="12.75">
      <c r="A213" s="59" t="s">
        <v>184</v>
      </c>
      <c r="B213" s="65"/>
      <c r="C213" s="65" t="s">
        <v>303</v>
      </c>
      <c r="D213" s="181" t="s">
        <v>506</v>
      </c>
      <c r="E213" s="182"/>
      <c r="F213" s="65" t="s">
        <v>617</v>
      </c>
      <c r="G213" s="75">
        <v>1</v>
      </c>
      <c r="H213" s="184"/>
      <c r="I213" s="75">
        <f>G213*AO213</f>
        <v>0</v>
      </c>
      <c r="J213" s="75">
        <f>G213*AP213</f>
        <v>0</v>
      </c>
      <c r="K213" s="75">
        <f>G213*H213</f>
        <v>0</v>
      </c>
      <c r="L213" s="75">
        <v>1.12</v>
      </c>
      <c r="M213" s="75">
        <f>G213*L213</f>
        <v>1.12</v>
      </c>
      <c r="N213" s="86" t="s">
        <v>648</v>
      </c>
      <c r="O213" s="18"/>
      <c r="Z213" s="48">
        <f>IF(AQ213="5",BJ213,0)</f>
        <v>0</v>
      </c>
      <c r="AB213" s="48">
        <f>IF(AQ213="1",BH213,0)</f>
        <v>0</v>
      </c>
      <c r="AC213" s="48">
        <f>IF(AQ213="1",BI213,0)</f>
        <v>0</v>
      </c>
      <c r="AD213" s="48">
        <f>IF(AQ213="7",BH213,0)</f>
        <v>0</v>
      </c>
      <c r="AE213" s="48">
        <f>IF(AQ213="7",BI213,0)</f>
        <v>0</v>
      </c>
      <c r="AF213" s="48">
        <f>IF(AQ213="2",BH213,0)</f>
        <v>0</v>
      </c>
      <c r="AG213" s="48">
        <f>IF(AQ213="2",BI213,0)</f>
        <v>0</v>
      </c>
      <c r="AH213" s="48">
        <f>IF(AQ213="0",BJ213,0)</f>
        <v>0</v>
      </c>
      <c r="AI213" s="80"/>
      <c r="AJ213" s="75">
        <f>IF(AN213=0,K213,0)</f>
        <v>0</v>
      </c>
      <c r="AK213" s="75">
        <f>IF(AN213=15,K213,0)</f>
        <v>0</v>
      </c>
      <c r="AL213" s="75">
        <f>IF(AN213=21,K213,0)</f>
        <v>0</v>
      </c>
      <c r="AN213" s="48">
        <v>21</v>
      </c>
      <c r="AO213" s="48">
        <f>H213*1</f>
        <v>0</v>
      </c>
      <c r="AP213" s="48">
        <f>H213*(1-1)</f>
        <v>0</v>
      </c>
      <c r="AQ213" s="89" t="s">
        <v>81</v>
      </c>
      <c r="AV213" s="48">
        <f>AW213+AX213</f>
        <v>0</v>
      </c>
      <c r="AW213" s="48">
        <f>G213*AO213</f>
        <v>0</v>
      </c>
      <c r="AX213" s="48">
        <f>G213*AP213</f>
        <v>0</v>
      </c>
      <c r="AY213" s="90" t="s">
        <v>675</v>
      </c>
      <c r="AZ213" s="90" t="s">
        <v>688</v>
      </c>
      <c r="BA213" s="80" t="s">
        <v>690</v>
      </c>
      <c r="BC213" s="48">
        <f>AW213+AX213</f>
        <v>0</v>
      </c>
      <c r="BD213" s="48">
        <f>H213/(100-BE213)*100</f>
        <v>0</v>
      </c>
      <c r="BE213" s="48">
        <v>0</v>
      </c>
      <c r="BF213" s="48">
        <f>M213</f>
        <v>1.12</v>
      </c>
      <c r="BH213" s="75">
        <f>G213*AO213</f>
        <v>0</v>
      </c>
      <c r="BI213" s="75">
        <f>G213*AP213</f>
        <v>0</v>
      </c>
      <c r="BJ213" s="75">
        <f>G213*H213</f>
        <v>0</v>
      </c>
      <c r="BK213" s="75" t="s">
        <v>696</v>
      </c>
      <c r="BL213" s="48">
        <v>89</v>
      </c>
    </row>
    <row r="214" spans="1:15" ht="12.75">
      <c r="A214" s="18"/>
      <c r="D214" s="66" t="s">
        <v>81</v>
      </c>
      <c r="E214" s="68"/>
      <c r="G214" s="74">
        <v>1</v>
      </c>
      <c r="N214" s="16"/>
      <c r="O214" s="18"/>
    </row>
    <row r="215" spans="1:64" ht="12.75">
      <c r="A215" s="59" t="s">
        <v>185</v>
      </c>
      <c r="B215" s="65"/>
      <c r="C215" s="65" t="s">
        <v>304</v>
      </c>
      <c r="D215" s="181" t="s">
        <v>507</v>
      </c>
      <c r="E215" s="182"/>
      <c r="F215" s="65" t="s">
        <v>617</v>
      </c>
      <c r="G215" s="75">
        <v>1</v>
      </c>
      <c r="H215" s="184"/>
      <c r="I215" s="75">
        <f>G215*AO215</f>
        <v>0</v>
      </c>
      <c r="J215" s="75">
        <f>G215*AP215</f>
        <v>0</v>
      </c>
      <c r="K215" s="75">
        <f>G215*H215</f>
        <v>0</v>
      </c>
      <c r="L215" s="75">
        <v>2.44</v>
      </c>
      <c r="M215" s="75">
        <f>G215*L215</f>
        <v>2.44</v>
      </c>
      <c r="N215" s="86" t="s">
        <v>648</v>
      </c>
      <c r="O215" s="18"/>
      <c r="Z215" s="48">
        <f>IF(AQ215="5",BJ215,0)</f>
        <v>0</v>
      </c>
      <c r="AB215" s="48">
        <f>IF(AQ215="1",BH215,0)</f>
        <v>0</v>
      </c>
      <c r="AC215" s="48">
        <f>IF(AQ215="1",BI215,0)</f>
        <v>0</v>
      </c>
      <c r="AD215" s="48">
        <f>IF(AQ215="7",BH215,0)</f>
        <v>0</v>
      </c>
      <c r="AE215" s="48">
        <f>IF(AQ215="7",BI215,0)</f>
        <v>0</v>
      </c>
      <c r="AF215" s="48">
        <f>IF(AQ215="2",BH215,0)</f>
        <v>0</v>
      </c>
      <c r="AG215" s="48">
        <f>IF(AQ215="2",BI215,0)</f>
        <v>0</v>
      </c>
      <c r="AH215" s="48">
        <f>IF(AQ215="0",BJ215,0)</f>
        <v>0</v>
      </c>
      <c r="AI215" s="80"/>
      <c r="AJ215" s="75">
        <f>IF(AN215=0,K215,0)</f>
        <v>0</v>
      </c>
      <c r="AK215" s="75">
        <f>IF(AN215=15,K215,0)</f>
        <v>0</v>
      </c>
      <c r="AL215" s="75">
        <f>IF(AN215=21,K215,0)</f>
        <v>0</v>
      </c>
      <c r="AN215" s="48">
        <v>21</v>
      </c>
      <c r="AO215" s="48">
        <f>H215*1</f>
        <v>0</v>
      </c>
      <c r="AP215" s="48">
        <f>H215*(1-1)</f>
        <v>0</v>
      </c>
      <c r="AQ215" s="89" t="s">
        <v>81</v>
      </c>
      <c r="AV215" s="48">
        <f>AW215+AX215</f>
        <v>0</v>
      </c>
      <c r="AW215" s="48">
        <f>G215*AO215</f>
        <v>0</v>
      </c>
      <c r="AX215" s="48">
        <f>G215*AP215</f>
        <v>0</v>
      </c>
      <c r="AY215" s="90" t="s">
        <v>675</v>
      </c>
      <c r="AZ215" s="90" t="s">
        <v>688</v>
      </c>
      <c r="BA215" s="80" t="s">
        <v>690</v>
      </c>
      <c r="BC215" s="48">
        <f>AW215+AX215</f>
        <v>0</v>
      </c>
      <c r="BD215" s="48">
        <f>H215/(100-BE215)*100</f>
        <v>0</v>
      </c>
      <c r="BE215" s="48">
        <v>0</v>
      </c>
      <c r="BF215" s="48">
        <f>M215</f>
        <v>2.44</v>
      </c>
      <c r="BH215" s="75">
        <f>G215*AO215</f>
        <v>0</v>
      </c>
      <c r="BI215" s="75">
        <f>G215*AP215</f>
        <v>0</v>
      </c>
      <c r="BJ215" s="75">
        <f>G215*H215</f>
        <v>0</v>
      </c>
      <c r="BK215" s="75" t="s">
        <v>696</v>
      </c>
      <c r="BL215" s="48">
        <v>89</v>
      </c>
    </row>
    <row r="216" spans="1:15" ht="12.75">
      <c r="A216" s="18"/>
      <c r="D216" s="66" t="s">
        <v>81</v>
      </c>
      <c r="E216" s="68"/>
      <c r="G216" s="74">
        <v>1</v>
      </c>
      <c r="N216" s="16"/>
      <c r="O216" s="18"/>
    </row>
    <row r="217" spans="1:64" ht="12.75">
      <c r="A217" s="58" t="s">
        <v>186</v>
      </c>
      <c r="B217" s="64"/>
      <c r="C217" s="64" t="s">
        <v>305</v>
      </c>
      <c r="D217" s="179" t="s">
        <v>508</v>
      </c>
      <c r="E217" s="180"/>
      <c r="F217" s="64" t="s">
        <v>617</v>
      </c>
      <c r="G217" s="73">
        <v>2</v>
      </c>
      <c r="H217" s="183"/>
      <c r="I217" s="73">
        <f>G217*AO217</f>
        <v>0</v>
      </c>
      <c r="J217" s="73">
        <f>G217*AP217</f>
        <v>0</v>
      </c>
      <c r="K217" s="73">
        <f>G217*H217</f>
        <v>0</v>
      </c>
      <c r="L217" s="73">
        <v>0.00936</v>
      </c>
      <c r="M217" s="73">
        <f>G217*L217</f>
        <v>0.01872</v>
      </c>
      <c r="N217" s="85" t="s">
        <v>648</v>
      </c>
      <c r="O217" s="18"/>
      <c r="Z217" s="48">
        <f>IF(AQ217="5",BJ217,0)</f>
        <v>0</v>
      </c>
      <c r="AB217" s="48">
        <f>IF(AQ217="1",BH217,0)</f>
        <v>0</v>
      </c>
      <c r="AC217" s="48">
        <f>IF(AQ217="1",BI217,0)</f>
        <v>0</v>
      </c>
      <c r="AD217" s="48">
        <f>IF(AQ217="7",BH217,0)</f>
        <v>0</v>
      </c>
      <c r="AE217" s="48">
        <f>IF(AQ217="7",BI217,0)</f>
        <v>0</v>
      </c>
      <c r="AF217" s="48">
        <f>IF(AQ217="2",BH217,0)</f>
        <v>0</v>
      </c>
      <c r="AG217" s="48">
        <f>IF(AQ217="2",BI217,0)</f>
        <v>0</v>
      </c>
      <c r="AH217" s="48">
        <f>IF(AQ217="0",BJ217,0)</f>
        <v>0</v>
      </c>
      <c r="AI217" s="80"/>
      <c r="AJ217" s="73">
        <f>IF(AN217=0,K217,0)</f>
        <v>0</v>
      </c>
      <c r="AK217" s="73">
        <f>IF(AN217=15,K217,0)</f>
        <v>0</v>
      </c>
      <c r="AL217" s="73">
        <f>IF(AN217=21,K217,0)</f>
        <v>0</v>
      </c>
      <c r="AN217" s="48">
        <v>21</v>
      </c>
      <c r="AO217" s="48">
        <f>H217*0.0197142857142857</f>
        <v>0</v>
      </c>
      <c r="AP217" s="48">
        <f>H217*(1-0.0197142857142857)</f>
        <v>0</v>
      </c>
      <c r="AQ217" s="88" t="s">
        <v>81</v>
      </c>
      <c r="AV217" s="48">
        <f>AW217+AX217</f>
        <v>0</v>
      </c>
      <c r="AW217" s="48">
        <f>G217*AO217</f>
        <v>0</v>
      </c>
      <c r="AX217" s="48">
        <f>G217*AP217</f>
        <v>0</v>
      </c>
      <c r="AY217" s="90" t="s">
        <v>675</v>
      </c>
      <c r="AZ217" s="90" t="s">
        <v>688</v>
      </c>
      <c r="BA217" s="80" t="s">
        <v>690</v>
      </c>
      <c r="BC217" s="48">
        <f>AW217+AX217</f>
        <v>0</v>
      </c>
      <c r="BD217" s="48">
        <f>H217/(100-BE217)*100</f>
        <v>0</v>
      </c>
      <c r="BE217" s="48">
        <v>0</v>
      </c>
      <c r="BF217" s="48">
        <f>M217</f>
        <v>0.01872</v>
      </c>
      <c r="BH217" s="73">
        <f>G217*AO217</f>
        <v>0</v>
      </c>
      <c r="BI217" s="73">
        <f>G217*AP217</f>
        <v>0</v>
      </c>
      <c r="BJ217" s="73">
        <f>G217*H217</f>
        <v>0</v>
      </c>
      <c r="BK217" s="73" t="s">
        <v>695</v>
      </c>
      <c r="BL217" s="48">
        <v>89</v>
      </c>
    </row>
    <row r="218" spans="1:15" ht="12.75">
      <c r="A218" s="18"/>
      <c r="D218" s="66" t="s">
        <v>106</v>
      </c>
      <c r="E218" s="68" t="s">
        <v>602</v>
      </c>
      <c r="G218" s="74">
        <v>2</v>
      </c>
      <c r="N218" s="16"/>
      <c r="O218" s="18"/>
    </row>
    <row r="219" spans="1:64" ht="12.75">
      <c r="A219" s="59" t="s">
        <v>187</v>
      </c>
      <c r="B219" s="65"/>
      <c r="C219" s="65" t="s">
        <v>306</v>
      </c>
      <c r="D219" s="181" t="s">
        <v>509</v>
      </c>
      <c r="E219" s="182"/>
      <c r="F219" s="65" t="s">
        <v>617</v>
      </c>
      <c r="G219" s="75">
        <v>2</v>
      </c>
      <c r="H219" s="184"/>
      <c r="I219" s="75">
        <f>G219*AO219</f>
        <v>0</v>
      </c>
      <c r="J219" s="75">
        <f>G219*AP219</f>
        <v>0</v>
      </c>
      <c r="K219" s="75">
        <f>G219*H219</f>
        <v>0</v>
      </c>
      <c r="L219" s="75">
        <v>0.0215</v>
      </c>
      <c r="M219" s="75">
        <f>G219*L219</f>
        <v>0.043</v>
      </c>
      <c r="N219" s="86" t="s">
        <v>648</v>
      </c>
      <c r="O219" s="18"/>
      <c r="Z219" s="48">
        <f>IF(AQ219="5",BJ219,0)</f>
        <v>0</v>
      </c>
      <c r="AB219" s="48">
        <f>IF(AQ219="1",BH219,0)</f>
        <v>0</v>
      </c>
      <c r="AC219" s="48">
        <f>IF(AQ219="1",BI219,0)</f>
        <v>0</v>
      </c>
      <c r="AD219" s="48">
        <f>IF(AQ219="7",BH219,0)</f>
        <v>0</v>
      </c>
      <c r="AE219" s="48">
        <f>IF(AQ219="7",BI219,0)</f>
        <v>0</v>
      </c>
      <c r="AF219" s="48">
        <f>IF(AQ219="2",BH219,0)</f>
        <v>0</v>
      </c>
      <c r="AG219" s="48">
        <f>IF(AQ219="2",BI219,0)</f>
        <v>0</v>
      </c>
      <c r="AH219" s="48">
        <f>IF(AQ219="0",BJ219,0)</f>
        <v>0</v>
      </c>
      <c r="AI219" s="80"/>
      <c r="AJ219" s="75">
        <f>IF(AN219=0,K219,0)</f>
        <v>0</v>
      </c>
      <c r="AK219" s="75">
        <f>IF(AN219=15,K219,0)</f>
        <v>0</v>
      </c>
      <c r="AL219" s="75">
        <f>IF(AN219=21,K219,0)</f>
        <v>0</v>
      </c>
      <c r="AN219" s="48">
        <v>21</v>
      </c>
      <c r="AO219" s="48">
        <f>H219*1</f>
        <v>0</v>
      </c>
      <c r="AP219" s="48">
        <f>H219*(1-1)</f>
        <v>0</v>
      </c>
      <c r="AQ219" s="89" t="s">
        <v>81</v>
      </c>
      <c r="AV219" s="48">
        <f>AW219+AX219</f>
        <v>0</v>
      </c>
      <c r="AW219" s="48">
        <f>G219*AO219</f>
        <v>0</v>
      </c>
      <c r="AX219" s="48">
        <f>G219*AP219</f>
        <v>0</v>
      </c>
      <c r="AY219" s="90" t="s">
        <v>675</v>
      </c>
      <c r="AZ219" s="90" t="s">
        <v>688</v>
      </c>
      <c r="BA219" s="80" t="s">
        <v>690</v>
      </c>
      <c r="BC219" s="48">
        <f>AW219+AX219</f>
        <v>0</v>
      </c>
      <c r="BD219" s="48">
        <f>H219/(100-BE219)*100</f>
        <v>0</v>
      </c>
      <c r="BE219" s="48">
        <v>0</v>
      </c>
      <c r="BF219" s="48">
        <f>M219</f>
        <v>0.043</v>
      </c>
      <c r="BH219" s="75">
        <f>G219*AO219</f>
        <v>0</v>
      </c>
      <c r="BI219" s="75">
        <f>G219*AP219</f>
        <v>0</v>
      </c>
      <c r="BJ219" s="75">
        <f>G219*H219</f>
        <v>0</v>
      </c>
      <c r="BK219" s="75" t="s">
        <v>696</v>
      </c>
      <c r="BL219" s="48">
        <v>89</v>
      </c>
    </row>
    <row r="220" spans="1:15" ht="12.75">
      <c r="A220" s="18"/>
      <c r="D220" s="66" t="s">
        <v>106</v>
      </c>
      <c r="E220" s="68"/>
      <c r="G220" s="74">
        <v>2</v>
      </c>
      <c r="N220" s="16"/>
      <c r="O220" s="18"/>
    </row>
    <row r="221" spans="1:64" ht="12.75">
      <c r="A221" s="58" t="s">
        <v>188</v>
      </c>
      <c r="B221" s="64"/>
      <c r="C221" s="64" t="s">
        <v>307</v>
      </c>
      <c r="D221" s="179" t="s">
        <v>510</v>
      </c>
      <c r="E221" s="180"/>
      <c r="F221" s="64" t="s">
        <v>617</v>
      </c>
      <c r="G221" s="73">
        <v>1</v>
      </c>
      <c r="H221" s="183"/>
      <c r="I221" s="73">
        <f>G221*AO221</f>
        <v>0</v>
      </c>
      <c r="J221" s="73">
        <f>G221*AP221</f>
        <v>0</v>
      </c>
      <c r="K221" s="73">
        <f>G221*H221</f>
        <v>0</v>
      </c>
      <c r="L221" s="73">
        <v>0.05034</v>
      </c>
      <c r="M221" s="73">
        <f>G221*L221</f>
        <v>0.05034</v>
      </c>
      <c r="N221" s="85" t="s">
        <v>647</v>
      </c>
      <c r="O221" s="18"/>
      <c r="Z221" s="48">
        <f>IF(AQ221="5",BJ221,0)</f>
        <v>0</v>
      </c>
      <c r="AB221" s="48">
        <f>IF(AQ221="1",BH221,0)</f>
        <v>0</v>
      </c>
      <c r="AC221" s="48">
        <f>IF(AQ221="1",BI221,0)</f>
        <v>0</v>
      </c>
      <c r="AD221" s="48">
        <f>IF(AQ221="7",BH221,0)</f>
        <v>0</v>
      </c>
      <c r="AE221" s="48">
        <f>IF(AQ221="7",BI221,0)</f>
        <v>0</v>
      </c>
      <c r="AF221" s="48">
        <f>IF(AQ221="2",BH221,0)</f>
        <v>0</v>
      </c>
      <c r="AG221" s="48">
        <f>IF(AQ221="2",BI221,0)</f>
        <v>0</v>
      </c>
      <c r="AH221" s="48">
        <f>IF(AQ221="0",BJ221,0)</f>
        <v>0</v>
      </c>
      <c r="AI221" s="80"/>
      <c r="AJ221" s="73">
        <f>IF(AN221=0,K221,0)</f>
        <v>0</v>
      </c>
      <c r="AK221" s="73">
        <f>IF(AN221=15,K221,0)</f>
        <v>0</v>
      </c>
      <c r="AL221" s="73">
        <f>IF(AN221=21,K221,0)</f>
        <v>0</v>
      </c>
      <c r="AN221" s="48">
        <v>21</v>
      </c>
      <c r="AO221" s="48">
        <f>H221*0.0740979591836735</f>
        <v>0</v>
      </c>
      <c r="AP221" s="48">
        <f>H221*(1-0.0740979591836735)</f>
        <v>0</v>
      </c>
      <c r="AQ221" s="88" t="s">
        <v>81</v>
      </c>
      <c r="AV221" s="48">
        <f>AW221+AX221</f>
        <v>0</v>
      </c>
      <c r="AW221" s="48">
        <f>G221*AO221</f>
        <v>0</v>
      </c>
      <c r="AX221" s="48">
        <f>G221*AP221</f>
        <v>0</v>
      </c>
      <c r="AY221" s="90" t="s">
        <v>675</v>
      </c>
      <c r="AZ221" s="90" t="s">
        <v>688</v>
      </c>
      <c r="BA221" s="80" t="s">
        <v>690</v>
      </c>
      <c r="BC221" s="48">
        <f>AW221+AX221</f>
        <v>0</v>
      </c>
      <c r="BD221" s="48">
        <f>H221/(100-BE221)*100</f>
        <v>0</v>
      </c>
      <c r="BE221" s="48">
        <v>0</v>
      </c>
      <c r="BF221" s="48">
        <f>M221</f>
        <v>0.05034</v>
      </c>
      <c r="BH221" s="73">
        <f>G221*AO221</f>
        <v>0</v>
      </c>
      <c r="BI221" s="73">
        <f>G221*AP221</f>
        <v>0</v>
      </c>
      <c r="BJ221" s="73">
        <f>G221*H221</f>
        <v>0</v>
      </c>
      <c r="BK221" s="73" t="s">
        <v>695</v>
      </c>
      <c r="BL221" s="48">
        <v>89</v>
      </c>
    </row>
    <row r="222" spans="1:15" ht="12.75">
      <c r="A222" s="18"/>
      <c r="D222" s="66" t="s">
        <v>81</v>
      </c>
      <c r="E222" s="68" t="s">
        <v>603</v>
      </c>
      <c r="G222" s="74">
        <v>1</v>
      </c>
      <c r="N222" s="16"/>
      <c r="O222" s="18"/>
    </row>
    <row r="223" spans="1:64" ht="12.75">
      <c r="A223" s="59" t="s">
        <v>189</v>
      </c>
      <c r="B223" s="65"/>
      <c r="C223" s="65" t="s">
        <v>308</v>
      </c>
      <c r="D223" s="181" t="s">
        <v>511</v>
      </c>
      <c r="E223" s="182"/>
      <c r="F223" s="65" t="s">
        <v>617</v>
      </c>
      <c r="G223" s="75">
        <v>1</v>
      </c>
      <c r="H223" s="184"/>
      <c r="I223" s="75">
        <f>G223*AO223</f>
        <v>0</v>
      </c>
      <c r="J223" s="75">
        <f>G223*AP223</f>
        <v>0</v>
      </c>
      <c r="K223" s="75">
        <f>G223*H223</f>
        <v>0</v>
      </c>
      <c r="L223" s="75">
        <v>0.039</v>
      </c>
      <c r="M223" s="75">
        <f>G223*L223</f>
        <v>0.039</v>
      </c>
      <c r="N223" s="86" t="s">
        <v>647</v>
      </c>
      <c r="O223" s="18"/>
      <c r="Z223" s="48">
        <f>IF(AQ223="5",BJ223,0)</f>
        <v>0</v>
      </c>
      <c r="AB223" s="48">
        <f>IF(AQ223="1",BH223,0)</f>
        <v>0</v>
      </c>
      <c r="AC223" s="48">
        <f>IF(AQ223="1",BI223,0)</f>
        <v>0</v>
      </c>
      <c r="AD223" s="48">
        <f>IF(AQ223="7",BH223,0)</f>
        <v>0</v>
      </c>
      <c r="AE223" s="48">
        <f>IF(AQ223="7",BI223,0)</f>
        <v>0</v>
      </c>
      <c r="AF223" s="48">
        <f>IF(AQ223="2",BH223,0)</f>
        <v>0</v>
      </c>
      <c r="AG223" s="48">
        <f>IF(AQ223="2",BI223,0)</f>
        <v>0</v>
      </c>
      <c r="AH223" s="48">
        <f>IF(AQ223="0",BJ223,0)</f>
        <v>0</v>
      </c>
      <c r="AI223" s="80"/>
      <c r="AJ223" s="75">
        <f>IF(AN223=0,K223,0)</f>
        <v>0</v>
      </c>
      <c r="AK223" s="75">
        <f>IF(AN223=15,K223,0)</f>
        <v>0</v>
      </c>
      <c r="AL223" s="75">
        <f>IF(AN223=21,K223,0)</f>
        <v>0</v>
      </c>
      <c r="AN223" s="48">
        <v>21</v>
      </c>
      <c r="AO223" s="48">
        <f>H223*1</f>
        <v>0</v>
      </c>
      <c r="AP223" s="48">
        <f>H223*(1-1)</f>
        <v>0</v>
      </c>
      <c r="AQ223" s="89" t="s">
        <v>81</v>
      </c>
      <c r="AV223" s="48">
        <f>AW223+AX223</f>
        <v>0</v>
      </c>
      <c r="AW223" s="48">
        <f>G223*AO223</f>
        <v>0</v>
      </c>
      <c r="AX223" s="48">
        <f>G223*AP223</f>
        <v>0</v>
      </c>
      <c r="AY223" s="90" t="s">
        <v>675</v>
      </c>
      <c r="AZ223" s="90" t="s">
        <v>688</v>
      </c>
      <c r="BA223" s="80" t="s">
        <v>690</v>
      </c>
      <c r="BC223" s="48">
        <f>AW223+AX223</f>
        <v>0</v>
      </c>
      <c r="BD223" s="48">
        <f>H223/(100-BE223)*100</f>
        <v>0</v>
      </c>
      <c r="BE223" s="48">
        <v>0</v>
      </c>
      <c r="BF223" s="48">
        <f>M223</f>
        <v>0.039</v>
      </c>
      <c r="BH223" s="75">
        <f>G223*AO223</f>
        <v>0</v>
      </c>
      <c r="BI223" s="75">
        <f>G223*AP223</f>
        <v>0</v>
      </c>
      <c r="BJ223" s="75">
        <f>G223*H223</f>
        <v>0</v>
      </c>
      <c r="BK223" s="75" t="s">
        <v>696</v>
      </c>
      <c r="BL223" s="48">
        <v>89</v>
      </c>
    </row>
    <row r="224" spans="1:15" ht="12.75">
      <c r="A224" s="18"/>
      <c r="D224" s="66" t="s">
        <v>81</v>
      </c>
      <c r="E224" s="68"/>
      <c r="G224" s="74">
        <v>1</v>
      </c>
      <c r="N224" s="16"/>
      <c r="O224" s="18"/>
    </row>
    <row r="225" spans="1:64" ht="12.75">
      <c r="A225" s="58" t="s">
        <v>190</v>
      </c>
      <c r="B225" s="64"/>
      <c r="C225" s="64" t="s">
        <v>309</v>
      </c>
      <c r="D225" s="179" t="s">
        <v>512</v>
      </c>
      <c r="E225" s="180"/>
      <c r="F225" s="64" t="s">
        <v>618</v>
      </c>
      <c r="G225" s="73">
        <v>5</v>
      </c>
      <c r="H225" s="183"/>
      <c r="I225" s="73">
        <f>G225*AO225</f>
        <v>0</v>
      </c>
      <c r="J225" s="73">
        <f>G225*AP225</f>
        <v>0</v>
      </c>
      <c r="K225" s="73">
        <f>G225*H225</f>
        <v>0</v>
      </c>
      <c r="L225" s="73">
        <v>0.00013</v>
      </c>
      <c r="M225" s="73">
        <f>G225*L225</f>
        <v>0.00065</v>
      </c>
      <c r="N225" s="85" t="s">
        <v>648</v>
      </c>
      <c r="O225" s="18"/>
      <c r="Z225" s="48">
        <f>IF(AQ225="5",BJ225,0)</f>
        <v>0</v>
      </c>
      <c r="AB225" s="48">
        <f>IF(AQ225="1",BH225,0)</f>
        <v>0</v>
      </c>
      <c r="AC225" s="48">
        <f>IF(AQ225="1",BI225,0)</f>
        <v>0</v>
      </c>
      <c r="AD225" s="48">
        <f>IF(AQ225="7",BH225,0)</f>
        <v>0</v>
      </c>
      <c r="AE225" s="48">
        <f>IF(AQ225="7",BI225,0)</f>
        <v>0</v>
      </c>
      <c r="AF225" s="48">
        <f>IF(AQ225="2",BH225,0)</f>
        <v>0</v>
      </c>
      <c r="AG225" s="48">
        <f>IF(AQ225="2",BI225,0)</f>
        <v>0</v>
      </c>
      <c r="AH225" s="48">
        <f>IF(AQ225="0",BJ225,0)</f>
        <v>0</v>
      </c>
      <c r="AI225" s="80"/>
      <c r="AJ225" s="73">
        <f>IF(AN225=0,K225,0)</f>
        <v>0</v>
      </c>
      <c r="AK225" s="73">
        <f>IF(AN225=15,K225,0)</f>
        <v>0</v>
      </c>
      <c r="AL225" s="73">
        <f>IF(AN225=21,K225,0)</f>
        <v>0</v>
      </c>
      <c r="AN225" s="48">
        <v>21</v>
      </c>
      <c r="AO225" s="48">
        <f>H225*0.082590206185567</f>
        <v>0</v>
      </c>
      <c r="AP225" s="48">
        <f>H225*(1-0.082590206185567)</f>
        <v>0</v>
      </c>
      <c r="AQ225" s="88" t="s">
        <v>81</v>
      </c>
      <c r="AV225" s="48">
        <f>AW225+AX225</f>
        <v>0</v>
      </c>
      <c r="AW225" s="48">
        <f>G225*AO225</f>
        <v>0</v>
      </c>
      <c r="AX225" s="48">
        <f>G225*AP225</f>
        <v>0</v>
      </c>
      <c r="AY225" s="90" t="s">
        <v>675</v>
      </c>
      <c r="AZ225" s="90" t="s">
        <v>688</v>
      </c>
      <c r="BA225" s="80" t="s">
        <v>690</v>
      </c>
      <c r="BC225" s="48">
        <f>AW225+AX225</f>
        <v>0</v>
      </c>
      <c r="BD225" s="48">
        <f>H225/(100-BE225)*100</f>
        <v>0</v>
      </c>
      <c r="BE225" s="48">
        <v>0</v>
      </c>
      <c r="BF225" s="48">
        <f>M225</f>
        <v>0.00065</v>
      </c>
      <c r="BH225" s="73">
        <f>G225*AO225</f>
        <v>0</v>
      </c>
      <c r="BI225" s="73">
        <f>G225*AP225</f>
        <v>0</v>
      </c>
      <c r="BJ225" s="73">
        <f>G225*H225</f>
        <v>0</v>
      </c>
      <c r="BK225" s="73" t="s">
        <v>695</v>
      </c>
      <c r="BL225" s="48">
        <v>89</v>
      </c>
    </row>
    <row r="226" spans="1:15" ht="12.75">
      <c r="A226" s="18"/>
      <c r="D226" s="66" t="s">
        <v>83</v>
      </c>
      <c r="E226" s="68"/>
      <c r="G226" s="74">
        <v>5</v>
      </c>
      <c r="N226" s="16"/>
      <c r="O226" s="18"/>
    </row>
    <row r="227" spans="1:64" ht="12.75">
      <c r="A227" s="58" t="s">
        <v>191</v>
      </c>
      <c r="B227" s="64"/>
      <c r="C227" s="64" t="s">
        <v>310</v>
      </c>
      <c r="D227" s="179" t="s">
        <v>513</v>
      </c>
      <c r="E227" s="180"/>
      <c r="F227" s="64" t="s">
        <v>612</v>
      </c>
      <c r="G227" s="73">
        <v>20</v>
      </c>
      <c r="H227" s="183"/>
      <c r="I227" s="73">
        <f>G227*AO227</f>
        <v>0</v>
      </c>
      <c r="J227" s="73">
        <f>G227*AP227</f>
        <v>0</v>
      </c>
      <c r="K227" s="73">
        <f>G227*H227</f>
        <v>0</v>
      </c>
      <c r="L227" s="73">
        <v>0</v>
      </c>
      <c r="M227" s="73">
        <f>G227*L227</f>
        <v>0</v>
      </c>
      <c r="N227" s="85" t="s">
        <v>648</v>
      </c>
      <c r="O227" s="18"/>
      <c r="Z227" s="48">
        <f>IF(AQ227="5",BJ227,0)</f>
        <v>0</v>
      </c>
      <c r="AB227" s="48">
        <f>IF(AQ227="1",BH227,0)</f>
        <v>0</v>
      </c>
      <c r="AC227" s="48">
        <f>IF(AQ227="1",BI227,0)</f>
        <v>0</v>
      </c>
      <c r="AD227" s="48">
        <f>IF(AQ227="7",BH227,0)</f>
        <v>0</v>
      </c>
      <c r="AE227" s="48">
        <f>IF(AQ227="7",BI227,0)</f>
        <v>0</v>
      </c>
      <c r="AF227" s="48">
        <f>IF(AQ227="2",BH227,0)</f>
        <v>0</v>
      </c>
      <c r="AG227" s="48">
        <f>IF(AQ227="2",BI227,0)</f>
        <v>0</v>
      </c>
      <c r="AH227" s="48">
        <f>IF(AQ227="0",BJ227,0)</f>
        <v>0</v>
      </c>
      <c r="AI227" s="80"/>
      <c r="AJ227" s="73">
        <f>IF(AN227=0,K227,0)</f>
        <v>0</v>
      </c>
      <c r="AK227" s="73">
        <f>IF(AN227=15,K227,0)</f>
        <v>0</v>
      </c>
      <c r="AL227" s="73">
        <f>IF(AN227=21,K227,0)</f>
        <v>0</v>
      </c>
      <c r="AN227" s="48">
        <v>21</v>
      </c>
      <c r="AO227" s="48">
        <f>H227*0.0885922330097087</f>
        <v>0</v>
      </c>
      <c r="AP227" s="48">
        <f>H227*(1-0.0885922330097087)</f>
        <v>0</v>
      </c>
      <c r="AQ227" s="88" t="s">
        <v>81</v>
      </c>
      <c r="AV227" s="48">
        <f>AW227+AX227</f>
        <v>0</v>
      </c>
      <c r="AW227" s="48">
        <f>G227*AO227</f>
        <v>0</v>
      </c>
      <c r="AX227" s="48">
        <f>G227*AP227</f>
        <v>0</v>
      </c>
      <c r="AY227" s="90" t="s">
        <v>675</v>
      </c>
      <c r="AZ227" s="90" t="s">
        <v>688</v>
      </c>
      <c r="BA227" s="80" t="s">
        <v>690</v>
      </c>
      <c r="BC227" s="48">
        <f>AW227+AX227</f>
        <v>0</v>
      </c>
      <c r="BD227" s="48">
        <f>H227/(100-BE227)*100</f>
        <v>0</v>
      </c>
      <c r="BE227" s="48">
        <v>0</v>
      </c>
      <c r="BF227" s="48">
        <f>M227</f>
        <v>0</v>
      </c>
      <c r="BH227" s="73">
        <f>G227*AO227</f>
        <v>0</v>
      </c>
      <c r="BI227" s="73">
        <f>G227*AP227</f>
        <v>0</v>
      </c>
      <c r="BJ227" s="73">
        <f>G227*H227</f>
        <v>0</v>
      </c>
      <c r="BK227" s="73" t="s">
        <v>695</v>
      </c>
      <c r="BL227" s="48">
        <v>89</v>
      </c>
    </row>
    <row r="228" spans="1:15" ht="12.75">
      <c r="A228" s="18"/>
      <c r="D228" s="66" t="s">
        <v>514</v>
      </c>
      <c r="E228" s="68"/>
      <c r="G228" s="74">
        <v>20</v>
      </c>
      <c r="N228" s="16"/>
      <c r="O228" s="18"/>
    </row>
    <row r="229" spans="1:64" ht="12.75">
      <c r="A229" s="58" t="s">
        <v>192</v>
      </c>
      <c r="B229" s="64"/>
      <c r="C229" s="64" t="s">
        <v>311</v>
      </c>
      <c r="D229" s="179" t="s">
        <v>515</v>
      </c>
      <c r="E229" s="180"/>
      <c r="F229" s="64" t="s">
        <v>612</v>
      </c>
      <c r="G229" s="73">
        <v>90</v>
      </c>
      <c r="H229" s="183"/>
      <c r="I229" s="73">
        <f>G229*AO229</f>
        <v>0</v>
      </c>
      <c r="J229" s="73">
        <f>G229*AP229</f>
        <v>0</v>
      </c>
      <c r="K229" s="73">
        <f>G229*H229</f>
        <v>0</v>
      </c>
      <c r="L229" s="73">
        <v>0</v>
      </c>
      <c r="M229" s="73">
        <f>G229*L229</f>
        <v>0</v>
      </c>
      <c r="N229" s="85" t="s">
        <v>648</v>
      </c>
      <c r="O229" s="18"/>
      <c r="Z229" s="48">
        <f>IF(AQ229="5",BJ229,0)</f>
        <v>0</v>
      </c>
      <c r="AB229" s="48">
        <f>IF(AQ229="1",BH229,0)</f>
        <v>0</v>
      </c>
      <c r="AC229" s="48">
        <f>IF(AQ229="1",BI229,0)</f>
        <v>0</v>
      </c>
      <c r="AD229" s="48">
        <f>IF(AQ229="7",BH229,0)</f>
        <v>0</v>
      </c>
      <c r="AE229" s="48">
        <f>IF(AQ229="7",BI229,0)</f>
        <v>0</v>
      </c>
      <c r="AF229" s="48">
        <f>IF(AQ229="2",BH229,0)</f>
        <v>0</v>
      </c>
      <c r="AG229" s="48">
        <f>IF(AQ229="2",BI229,0)</f>
        <v>0</v>
      </c>
      <c r="AH229" s="48">
        <f>IF(AQ229="0",BJ229,0)</f>
        <v>0</v>
      </c>
      <c r="AI229" s="80"/>
      <c r="AJ229" s="73">
        <f>IF(AN229=0,K229,0)</f>
        <v>0</v>
      </c>
      <c r="AK229" s="73">
        <f>IF(AN229=15,K229,0)</f>
        <v>0</v>
      </c>
      <c r="AL229" s="73">
        <f>IF(AN229=21,K229,0)</f>
        <v>0</v>
      </c>
      <c r="AN229" s="48">
        <v>21</v>
      </c>
      <c r="AO229" s="48">
        <f>H229*0</f>
        <v>0</v>
      </c>
      <c r="AP229" s="48">
        <f>H229*(1-0)</f>
        <v>0</v>
      </c>
      <c r="AQ229" s="88" t="s">
        <v>81</v>
      </c>
      <c r="AV229" s="48">
        <f>AW229+AX229</f>
        <v>0</v>
      </c>
      <c r="AW229" s="48">
        <f>G229*AO229</f>
        <v>0</v>
      </c>
      <c r="AX229" s="48">
        <f>G229*AP229</f>
        <v>0</v>
      </c>
      <c r="AY229" s="90" t="s">
        <v>675</v>
      </c>
      <c r="AZ229" s="90" t="s">
        <v>688</v>
      </c>
      <c r="BA229" s="80" t="s">
        <v>690</v>
      </c>
      <c r="BC229" s="48">
        <f>AW229+AX229</f>
        <v>0</v>
      </c>
      <c r="BD229" s="48">
        <f>H229/(100-BE229)*100</f>
        <v>0</v>
      </c>
      <c r="BE229" s="48">
        <v>0</v>
      </c>
      <c r="BF229" s="48">
        <f>M229</f>
        <v>0</v>
      </c>
      <c r="BH229" s="73">
        <f>G229*AO229</f>
        <v>0</v>
      </c>
      <c r="BI229" s="73">
        <f>G229*AP229</f>
        <v>0</v>
      </c>
      <c r="BJ229" s="73">
        <f>G229*H229</f>
        <v>0</v>
      </c>
      <c r="BK229" s="73" t="s">
        <v>695</v>
      </c>
      <c r="BL229" s="48">
        <v>89</v>
      </c>
    </row>
    <row r="230" spans="1:15" ht="12.75">
      <c r="A230" s="18"/>
      <c r="D230" s="66" t="s">
        <v>516</v>
      </c>
      <c r="E230" s="68" t="s">
        <v>604</v>
      </c>
      <c r="G230" s="74">
        <v>90</v>
      </c>
      <c r="N230" s="16"/>
      <c r="O230" s="18"/>
    </row>
    <row r="231" spans="1:64" ht="12.75">
      <c r="A231" s="58" t="s">
        <v>193</v>
      </c>
      <c r="B231" s="64"/>
      <c r="C231" s="64" t="s">
        <v>312</v>
      </c>
      <c r="D231" s="179" t="s">
        <v>517</v>
      </c>
      <c r="E231" s="180"/>
      <c r="F231" s="64" t="s">
        <v>617</v>
      </c>
      <c r="G231" s="73">
        <v>2</v>
      </c>
      <c r="H231" s="183"/>
      <c r="I231" s="73">
        <f>G231*AO231</f>
        <v>0</v>
      </c>
      <c r="J231" s="73">
        <f>G231*AP231</f>
        <v>0</v>
      </c>
      <c r="K231" s="73">
        <f>G231*H231</f>
        <v>0</v>
      </c>
      <c r="L231" s="73">
        <v>0</v>
      </c>
      <c r="M231" s="73">
        <f>G231*L231</f>
        <v>0</v>
      </c>
      <c r="N231" s="85" t="s">
        <v>648</v>
      </c>
      <c r="O231" s="18"/>
      <c r="Z231" s="48">
        <f>IF(AQ231="5",BJ231,0)</f>
        <v>0</v>
      </c>
      <c r="AB231" s="48">
        <f>IF(AQ231="1",BH231,0)</f>
        <v>0</v>
      </c>
      <c r="AC231" s="48">
        <f>IF(AQ231="1",BI231,0)</f>
        <v>0</v>
      </c>
      <c r="AD231" s="48">
        <f>IF(AQ231="7",BH231,0)</f>
        <v>0</v>
      </c>
      <c r="AE231" s="48">
        <f>IF(AQ231="7",BI231,0)</f>
        <v>0</v>
      </c>
      <c r="AF231" s="48">
        <f>IF(AQ231="2",BH231,0)</f>
        <v>0</v>
      </c>
      <c r="AG231" s="48">
        <f>IF(AQ231="2",BI231,0)</f>
        <v>0</v>
      </c>
      <c r="AH231" s="48">
        <f>IF(AQ231="0",BJ231,0)</f>
        <v>0</v>
      </c>
      <c r="AI231" s="80"/>
      <c r="AJ231" s="73">
        <f>IF(AN231=0,K231,0)</f>
        <v>0</v>
      </c>
      <c r="AK231" s="73">
        <f>IF(AN231=15,K231,0)</f>
        <v>0</v>
      </c>
      <c r="AL231" s="73">
        <f>IF(AN231=21,K231,0)</f>
        <v>0</v>
      </c>
      <c r="AN231" s="48">
        <v>21</v>
      </c>
      <c r="AO231" s="48">
        <f>H231*0</f>
        <v>0</v>
      </c>
      <c r="AP231" s="48">
        <f>H231*(1-0)</f>
        <v>0</v>
      </c>
      <c r="AQ231" s="88" t="s">
        <v>81</v>
      </c>
      <c r="AV231" s="48">
        <f>AW231+AX231</f>
        <v>0</v>
      </c>
      <c r="AW231" s="48">
        <f>G231*AO231</f>
        <v>0</v>
      </c>
      <c r="AX231" s="48">
        <f>G231*AP231</f>
        <v>0</v>
      </c>
      <c r="AY231" s="90" t="s">
        <v>675</v>
      </c>
      <c r="AZ231" s="90" t="s">
        <v>688</v>
      </c>
      <c r="BA231" s="80" t="s">
        <v>690</v>
      </c>
      <c r="BC231" s="48">
        <f>AW231+AX231</f>
        <v>0</v>
      </c>
      <c r="BD231" s="48">
        <f>H231/(100-BE231)*100</f>
        <v>0</v>
      </c>
      <c r="BE231" s="48">
        <v>0</v>
      </c>
      <c r="BF231" s="48">
        <f>M231</f>
        <v>0</v>
      </c>
      <c r="BH231" s="73">
        <f>G231*AO231</f>
        <v>0</v>
      </c>
      <c r="BI231" s="73">
        <f>G231*AP231</f>
        <v>0</v>
      </c>
      <c r="BJ231" s="73">
        <f>G231*H231</f>
        <v>0</v>
      </c>
      <c r="BK231" s="73" t="s">
        <v>695</v>
      </c>
      <c r="BL231" s="48">
        <v>89</v>
      </c>
    </row>
    <row r="232" spans="1:15" ht="12.75">
      <c r="A232" s="18"/>
      <c r="D232" s="66" t="s">
        <v>106</v>
      </c>
      <c r="E232" s="68" t="s">
        <v>605</v>
      </c>
      <c r="G232" s="74">
        <v>2</v>
      </c>
      <c r="N232" s="16"/>
      <c r="O232" s="18"/>
    </row>
    <row r="233" spans="1:64" ht="12.75">
      <c r="A233" s="59" t="s">
        <v>194</v>
      </c>
      <c r="B233" s="65"/>
      <c r="C233" s="65" t="s">
        <v>313</v>
      </c>
      <c r="D233" s="181" t="s">
        <v>518</v>
      </c>
      <c r="E233" s="182"/>
      <c r="F233" s="65" t="s">
        <v>617</v>
      </c>
      <c r="G233" s="75">
        <v>2</v>
      </c>
      <c r="H233" s="184"/>
      <c r="I233" s="75">
        <f>G233*AO233</f>
        <v>0</v>
      </c>
      <c r="J233" s="75">
        <f>G233*AP233</f>
        <v>0</v>
      </c>
      <c r="K233" s="75">
        <f>G233*H233</f>
        <v>0</v>
      </c>
      <c r="L233" s="75">
        <v>0.43</v>
      </c>
      <c r="M233" s="75">
        <f>G233*L233</f>
        <v>0.86</v>
      </c>
      <c r="N233" s="86" t="s">
        <v>648</v>
      </c>
      <c r="O233" s="18"/>
      <c r="Z233" s="48">
        <f>IF(AQ233="5",BJ233,0)</f>
        <v>0</v>
      </c>
      <c r="AB233" s="48">
        <f>IF(AQ233="1",BH233,0)</f>
        <v>0</v>
      </c>
      <c r="AC233" s="48">
        <f>IF(AQ233="1",BI233,0)</f>
        <v>0</v>
      </c>
      <c r="AD233" s="48">
        <f>IF(AQ233="7",BH233,0)</f>
        <v>0</v>
      </c>
      <c r="AE233" s="48">
        <f>IF(AQ233="7",BI233,0)</f>
        <v>0</v>
      </c>
      <c r="AF233" s="48">
        <f>IF(AQ233="2",BH233,0)</f>
        <v>0</v>
      </c>
      <c r="AG233" s="48">
        <f>IF(AQ233="2",BI233,0)</f>
        <v>0</v>
      </c>
      <c r="AH233" s="48">
        <f>IF(AQ233="0",BJ233,0)</f>
        <v>0</v>
      </c>
      <c r="AI233" s="80"/>
      <c r="AJ233" s="75">
        <f>IF(AN233=0,K233,0)</f>
        <v>0</v>
      </c>
      <c r="AK233" s="75">
        <f>IF(AN233=15,K233,0)</f>
        <v>0</v>
      </c>
      <c r="AL233" s="75">
        <f>IF(AN233=21,K233,0)</f>
        <v>0</v>
      </c>
      <c r="AN233" s="48">
        <v>21</v>
      </c>
      <c r="AO233" s="48">
        <f>H233*1</f>
        <v>0</v>
      </c>
      <c r="AP233" s="48">
        <f>H233*(1-1)</f>
        <v>0</v>
      </c>
      <c r="AQ233" s="89" t="s">
        <v>81</v>
      </c>
      <c r="AV233" s="48">
        <f>AW233+AX233</f>
        <v>0</v>
      </c>
      <c r="AW233" s="48">
        <f>G233*AO233</f>
        <v>0</v>
      </c>
      <c r="AX233" s="48">
        <f>G233*AP233</f>
        <v>0</v>
      </c>
      <c r="AY233" s="90" t="s">
        <v>675</v>
      </c>
      <c r="AZ233" s="90" t="s">
        <v>688</v>
      </c>
      <c r="BA233" s="80" t="s">
        <v>690</v>
      </c>
      <c r="BC233" s="48">
        <f>AW233+AX233</f>
        <v>0</v>
      </c>
      <c r="BD233" s="48">
        <f>H233/(100-BE233)*100</f>
        <v>0</v>
      </c>
      <c r="BE233" s="48">
        <v>0</v>
      </c>
      <c r="BF233" s="48">
        <f>M233</f>
        <v>0.86</v>
      </c>
      <c r="BH233" s="75">
        <f>G233*AO233</f>
        <v>0</v>
      </c>
      <c r="BI233" s="75">
        <f>G233*AP233</f>
        <v>0</v>
      </c>
      <c r="BJ233" s="75">
        <f>G233*H233</f>
        <v>0</v>
      </c>
      <c r="BK233" s="75" t="s">
        <v>696</v>
      </c>
      <c r="BL233" s="48">
        <v>89</v>
      </c>
    </row>
    <row r="234" spans="1:15" ht="12.75">
      <c r="A234" s="18"/>
      <c r="D234" s="66" t="s">
        <v>106</v>
      </c>
      <c r="E234" s="68" t="s">
        <v>605</v>
      </c>
      <c r="G234" s="74">
        <v>2</v>
      </c>
      <c r="N234" s="16"/>
      <c r="O234" s="18"/>
    </row>
    <row r="235" spans="1:64" ht="12.75">
      <c r="A235" s="58" t="s">
        <v>195</v>
      </c>
      <c r="B235" s="64"/>
      <c r="C235" s="64" t="s">
        <v>314</v>
      </c>
      <c r="D235" s="179" t="s">
        <v>517</v>
      </c>
      <c r="E235" s="180"/>
      <c r="F235" s="64" t="s">
        <v>617</v>
      </c>
      <c r="G235" s="73">
        <v>1</v>
      </c>
      <c r="H235" s="183"/>
      <c r="I235" s="73">
        <f>G235*AO235</f>
        <v>0</v>
      </c>
      <c r="J235" s="73">
        <f>G235*AP235</f>
        <v>0</v>
      </c>
      <c r="K235" s="73">
        <f>G235*H235</f>
        <v>0</v>
      </c>
      <c r="L235" s="73">
        <v>0</v>
      </c>
      <c r="M235" s="73">
        <f>G235*L235</f>
        <v>0</v>
      </c>
      <c r="N235" s="85" t="s">
        <v>648</v>
      </c>
      <c r="O235" s="18"/>
      <c r="Z235" s="48">
        <f>IF(AQ235="5",BJ235,0)</f>
        <v>0</v>
      </c>
      <c r="AB235" s="48">
        <f>IF(AQ235="1",BH235,0)</f>
        <v>0</v>
      </c>
      <c r="AC235" s="48">
        <f>IF(AQ235="1",BI235,0)</f>
        <v>0</v>
      </c>
      <c r="AD235" s="48">
        <f>IF(AQ235="7",BH235,0)</f>
        <v>0</v>
      </c>
      <c r="AE235" s="48">
        <f>IF(AQ235="7",BI235,0)</f>
        <v>0</v>
      </c>
      <c r="AF235" s="48">
        <f>IF(AQ235="2",BH235,0)</f>
        <v>0</v>
      </c>
      <c r="AG235" s="48">
        <f>IF(AQ235="2",BI235,0)</f>
        <v>0</v>
      </c>
      <c r="AH235" s="48">
        <f>IF(AQ235="0",BJ235,0)</f>
        <v>0</v>
      </c>
      <c r="AI235" s="80"/>
      <c r="AJ235" s="73">
        <f>IF(AN235=0,K235,0)</f>
        <v>0</v>
      </c>
      <c r="AK235" s="73">
        <f>IF(AN235=15,K235,0)</f>
        <v>0</v>
      </c>
      <c r="AL235" s="73">
        <f>IF(AN235=21,K235,0)</f>
        <v>0</v>
      </c>
      <c r="AN235" s="48">
        <v>21</v>
      </c>
      <c r="AO235" s="48">
        <f>H235*0</f>
        <v>0</v>
      </c>
      <c r="AP235" s="48">
        <f>H235*(1-0)</f>
        <v>0</v>
      </c>
      <c r="AQ235" s="88" t="s">
        <v>81</v>
      </c>
      <c r="AV235" s="48">
        <f>AW235+AX235</f>
        <v>0</v>
      </c>
      <c r="AW235" s="48">
        <f>G235*AO235</f>
        <v>0</v>
      </c>
      <c r="AX235" s="48">
        <f>G235*AP235</f>
        <v>0</v>
      </c>
      <c r="AY235" s="90" t="s">
        <v>675</v>
      </c>
      <c r="AZ235" s="90" t="s">
        <v>688</v>
      </c>
      <c r="BA235" s="80" t="s">
        <v>690</v>
      </c>
      <c r="BC235" s="48">
        <f>AW235+AX235</f>
        <v>0</v>
      </c>
      <c r="BD235" s="48">
        <f>H235/(100-BE235)*100</f>
        <v>0</v>
      </c>
      <c r="BE235" s="48">
        <v>0</v>
      </c>
      <c r="BF235" s="48">
        <f>M235</f>
        <v>0</v>
      </c>
      <c r="BH235" s="73">
        <f>G235*AO235</f>
        <v>0</v>
      </c>
      <c r="BI235" s="73">
        <f>G235*AP235</f>
        <v>0</v>
      </c>
      <c r="BJ235" s="73">
        <f>G235*H235</f>
        <v>0</v>
      </c>
      <c r="BK235" s="73" t="s">
        <v>695</v>
      </c>
      <c r="BL235" s="48">
        <v>89</v>
      </c>
    </row>
    <row r="236" spans="1:15" ht="12.75">
      <c r="A236" s="18"/>
      <c r="D236" s="66" t="s">
        <v>81</v>
      </c>
      <c r="E236" s="68"/>
      <c r="G236" s="74">
        <v>1</v>
      </c>
      <c r="N236" s="16"/>
      <c r="O236" s="18"/>
    </row>
    <row r="237" spans="1:64" ht="12.75">
      <c r="A237" s="59" t="s">
        <v>196</v>
      </c>
      <c r="B237" s="65"/>
      <c r="C237" s="65" t="s">
        <v>315</v>
      </c>
      <c r="D237" s="181" t="s">
        <v>519</v>
      </c>
      <c r="E237" s="182"/>
      <c r="F237" s="65" t="s">
        <v>617</v>
      </c>
      <c r="G237" s="75">
        <v>1</v>
      </c>
      <c r="H237" s="184"/>
      <c r="I237" s="75">
        <f>G237*AO237</f>
        <v>0</v>
      </c>
      <c r="J237" s="75">
        <f>G237*AP237</f>
        <v>0</v>
      </c>
      <c r="K237" s="75">
        <f>G237*H237</f>
        <v>0</v>
      </c>
      <c r="L237" s="75">
        <v>0.61</v>
      </c>
      <c r="M237" s="75">
        <f>G237*L237</f>
        <v>0.61</v>
      </c>
      <c r="N237" s="86" t="s">
        <v>648</v>
      </c>
      <c r="O237" s="18"/>
      <c r="Z237" s="48">
        <f>IF(AQ237="5",BJ237,0)</f>
        <v>0</v>
      </c>
      <c r="AB237" s="48">
        <f>IF(AQ237="1",BH237,0)</f>
        <v>0</v>
      </c>
      <c r="AC237" s="48">
        <f>IF(AQ237="1",BI237,0)</f>
        <v>0</v>
      </c>
      <c r="AD237" s="48">
        <f>IF(AQ237="7",BH237,0)</f>
        <v>0</v>
      </c>
      <c r="AE237" s="48">
        <f>IF(AQ237="7",BI237,0)</f>
        <v>0</v>
      </c>
      <c r="AF237" s="48">
        <f>IF(AQ237="2",BH237,0)</f>
        <v>0</v>
      </c>
      <c r="AG237" s="48">
        <f>IF(AQ237="2",BI237,0)</f>
        <v>0</v>
      </c>
      <c r="AH237" s="48">
        <f>IF(AQ237="0",BJ237,0)</f>
        <v>0</v>
      </c>
      <c r="AI237" s="80"/>
      <c r="AJ237" s="75">
        <f>IF(AN237=0,K237,0)</f>
        <v>0</v>
      </c>
      <c r="AK237" s="75">
        <f>IF(AN237=15,K237,0)</f>
        <v>0</v>
      </c>
      <c r="AL237" s="75">
        <f>IF(AN237=21,K237,0)</f>
        <v>0</v>
      </c>
      <c r="AN237" s="48">
        <v>21</v>
      </c>
      <c r="AO237" s="48">
        <f>H237*1</f>
        <v>0</v>
      </c>
      <c r="AP237" s="48">
        <f>H237*(1-1)</f>
        <v>0</v>
      </c>
      <c r="AQ237" s="89" t="s">
        <v>81</v>
      </c>
      <c r="AV237" s="48">
        <f>AW237+AX237</f>
        <v>0</v>
      </c>
      <c r="AW237" s="48">
        <f>G237*AO237</f>
        <v>0</v>
      </c>
      <c r="AX237" s="48">
        <f>G237*AP237</f>
        <v>0</v>
      </c>
      <c r="AY237" s="90" t="s">
        <v>675</v>
      </c>
      <c r="AZ237" s="90" t="s">
        <v>688</v>
      </c>
      <c r="BA237" s="80" t="s">
        <v>690</v>
      </c>
      <c r="BC237" s="48">
        <f>AW237+AX237</f>
        <v>0</v>
      </c>
      <c r="BD237" s="48">
        <f>H237/(100-BE237)*100</f>
        <v>0</v>
      </c>
      <c r="BE237" s="48">
        <v>0</v>
      </c>
      <c r="BF237" s="48">
        <f>M237</f>
        <v>0.61</v>
      </c>
      <c r="BH237" s="75">
        <f>G237*AO237</f>
        <v>0</v>
      </c>
      <c r="BI237" s="75">
        <f>G237*AP237</f>
        <v>0</v>
      </c>
      <c r="BJ237" s="75">
        <f>G237*H237</f>
        <v>0</v>
      </c>
      <c r="BK237" s="75" t="s">
        <v>696</v>
      </c>
      <c r="BL237" s="48">
        <v>89</v>
      </c>
    </row>
    <row r="238" spans="1:15" ht="12.75">
      <c r="A238" s="18"/>
      <c r="D238" s="66" t="s">
        <v>81</v>
      </c>
      <c r="E238" s="68"/>
      <c r="G238" s="74">
        <v>1</v>
      </c>
      <c r="N238" s="16"/>
      <c r="O238" s="18"/>
    </row>
    <row r="239" spans="1:64" ht="12.75">
      <c r="A239" s="58" t="s">
        <v>197</v>
      </c>
      <c r="B239" s="64"/>
      <c r="C239" s="64" t="s">
        <v>316</v>
      </c>
      <c r="D239" s="179" t="s">
        <v>520</v>
      </c>
      <c r="E239" s="180"/>
      <c r="F239" s="64" t="s">
        <v>617</v>
      </c>
      <c r="G239" s="73">
        <v>1</v>
      </c>
      <c r="H239" s="183"/>
      <c r="I239" s="73">
        <f>G239*AO239</f>
        <v>0</v>
      </c>
      <c r="J239" s="73">
        <f>G239*AP239</f>
        <v>0</v>
      </c>
      <c r="K239" s="73">
        <f>G239*H239</f>
        <v>0</v>
      </c>
      <c r="L239" s="73">
        <v>0.00702</v>
      </c>
      <c r="M239" s="73">
        <f>G239*L239</f>
        <v>0.00702</v>
      </c>
      <c r="N239" s="85" t="s">
        <v>648</v>
      </c>
      <c r="O239" s="18"/>
      <c r="Z239" s="48">
        <f>IF(AQ239="5",BJ239,0)</f>
        <v>0</v>
      </c>
      <c r="AB239" s="48">
        <f>IF(AQ239="1",BH239,0)</f>
        <v>0</v>
      </c>
      <c r="AC239" s="48">
        <f>IF(AQ239="1",BI239,0)</f>
        <v>0</v>
      </c>
      <c r="AD239" s="48">
        <f>IF(AQ239="7",BH239,0)</f>
        <v>0</v>
      </c>
      <c r="AE239" s="48">
        <f>IF(AQ239="7",BI239,0)</f>
        <v>0</v>
      </c>
      <c r="AF239" s="48">
        <f>IF(AQ239="2",BH239,0)</f>
        <v>0</v>
      </c>
      <c r="AG239" s="48">
        <f>IF(AQ239="2",BI239,0)</f>
        <v>0</v>
      </c>
      <c r="AH239" s="48">
        <f>IF(AQ239="0",BJ239,0)</f>
        <v>0</v>
      </c>
      <c r="AI239" s="80"/>
      <c r="AJ239" s="73">
        <f>IF(AN239=0,K239,0)</f>
        <v>0</v>
      </c>
      <c r="AK239" s="73">
        <f>IF(AN239=15,K239,0)</f>
        <v>0</v>
      </c>
      <c r="AL239" s="73">
        <f>IF(AN239=21,K239,0)</f>
        <v>0</v>
      </c>
      <c r="AN239" s="48">
        <v>21</v>
      </c>
      <c r="AO239" s="48">
        <f>H239*0.0118938307030129</f>
        <v>0</v>
      </c>
      <c r="AP239" s="48">
        <f>H239*(1-0.0118938307030129)</f>
        <v>0</v>
      </c>
      <c r="AQ239" s="88" t="s">
        <v>81</v>
      </c>
      <c r="AV239" s="48">
        <f>AW239+AX239</f>
        <v>0</v>
      </c>
      <c r="AW239" s="48">
        <f>G239*AO239</f>
        <v>0</v>
      </c>
      <c r="AX239" s="48">
        <f>G239*AP239</f>
        <v>0</v>
      </c>
      <c r="AY239" s="90" t="s">
        <v>675</v>
      </c>
      <c r="AZ239" s="90" t="s">
        <v>688</v>
      </c>
      <c r="BA239" s="80" t="s">
        <v>690</v>
      </c>
      <c r="BC239" s="48">
        <f>AW239+AX239</f>
        <v>0</v>
      </c>
      <c r="BD239" s="48">
        <f>H239/(100-BE239)*100</f>
        <v>0</v>
      </c>
      <c r="BE239" s="48">
        <v>0</v>
      </c>
      <c r="BF239" s="48">
        <f>M239</f>
        <v>0.00702</v>
      </c>
      <c r="BH239" s="73">
        <f>G239*AO239</f>
        <v>0</v>
      </c>
      <c r="BI239" s="73">
        <f>G239*AP239</f>
        <v>0</v>
      </c>
      <c r="BJ239" s="73">
        <f>G239*H239</f>
        <v>0</v>
      </c>
      <c r="BK239" s="73" t="s">
        <v>695</v>
      </c>
      <c r="BL239" s="48">
        <v>89</v>
      </c>
    </row>
    <row r="240" spans="1:15" ht="12.75">
      <c r="A240" s="18"/>
      <c r="D240" s="66" t="s">
        <v>81</v>
      </c>
      <c r="E240" s="68"/>
      <c r="G240" s="74">
        <v>1</v>
      </c>
      <c r="N240" s="16"/>
      <c r="O240" s="18"/>
    </row>
    <row r="241" spans="1:64" ht="12.75">
      <c r="A241" s="59" t="s">
        <v>198</v>
      </c>
      <c r="B241" s="65"/>
      <c r="C241" s="65" t="s">
        <v>317</v>
      </c>
      <c r="D241" s="181" t="s">
        <v>521</v>
      </c>
      <c r="E241" s="182"/>
      <c r="F241" s="65" t="s">
        <v>617</v>
      </c>
      <c r="G241" s="75">
        <v>1</v>
      </c>
      <c r="H241" s="184"/>
      <c r="I241" s="75">
        <f>G241*AO241</f>
        <v>0</v>
      </c>
      <c r="J241" s="75">
        <f>G241*AP241</f>
        <v>0</v>
      </c>
      <c r="K241" s="75">
        <f>G241*H241</f>
        <v>0</v>
      </c>
      <c r="L241" s="75">
        <v>0.165</v>
      </c>
      <c r="M241" s="75">
        <f>G241*L241</f>
        <v>0.165</v>
      </c>
      <c r="N241" s="86" t="s">
        <v>648</v>
      </c>
      <c r="O241" s="18"/>
      <c r="Z241" s="48">
        <f>IF(AQ241="5",BJ241,0)</f>
        <v>0</v>
      </c>
      <c r="AB241" s="48">
        <f>IF(AQ241="1",BH241,0)</f>
        <v>0</v>
      </c>
      <c r="AC241" s="48">
        <f>IF(AQ241="1",BI241,0)</f>
        <v>0</v>
      </c>
      <c r="AD241" s="48">
        <f>IF(AQ241="7",BH241,0)</f>
        <v>0</v>
      </c>
      <c r="AE241" s="48">
        <f>IF(AQ241="7",BI241,0)</f>
        <v>0</v>
      </c>
      <c r="AF241" s="48">
        <f>IF(AQ241="2",BH241,0)</f>
        <v>0</v>
      </c>
      <c r="AG241" s="48">
        <f>IF(AQ241="2",BI241,0)</f>
        <v>0</v>
      </c>
      <c r="AH241" s="48">
        <f>IF(AQ241="0",BJ241,0)</f>
        <v>0</v>
      </c>
      <c r="AI241" s="80"/>
      <c r="AJ241" s="75">
        <f>IF(AN241=0,K241,0)</f>
        <v>0</v>
      </c>
      <c r="AK241" s="75">
        <f>IF(AN241=15,K241,0)</f>
        <v>0</v>
      </c>
      <c r="AL241" s="75">
        <f>IF(AN241=21,K241,0)</f>
        <v>0</v>
      </c>
      <c r="AN241" s="48">
        <v>21</v>
      </c>
      <c r="AO241" s="48">
        <f>H241*1</f>
        <v>0</v>
      </c>
      <c r="AP241" s="48">
        <f>H241*(1-1)</f>
        <v>0</v>
      </c>
      <c r="AQ241" s="89" t="s">
        <v>81</v>
      </c>
      <c r="AV241" s="48">
        <f>AW241+AX241</f>
        <v>0</v>
      </c>
      <c r="AW241" s="48">
        <f>G241*AO241</f>
        <v>0</v>
      </c>
      <c r="AX241" s="48">
        <f>G241*AP241</f>
        <v>0</v>
      </c>
      <c r="AY241" s="90" t="s">
        <v>675</v>
      </c>
      <c r="AZ241" s="90" t="s">
        <v>688</v>
      </c>
      <c r="BA241" s="80" t="s">
        <v>690</v>
      </c>
      <c r="BC241" s="48">
        <f>AW241+AX241</f>
        <v>0</v>
      </c>
      <c r="BD241" s="48">
        <f>H241/(100-BE241)*100</f>
        <v>0</v>
      </c>
      <c r="BE241" s="48">
        <v>0</v>
      </c>
      <c r="BF241" s="48">
        <f>M241</f>
        <v>0.165</v>
      </c>
      <c r="BH241" s="75">
        <f>G241*AO241</f>
        <v>0</v>
      </c>
      <c r="BI241" s="75">
        <f>G241*AP241</f>
        <v>0</v>
      </c>
      <c r="BJ241" s="75">
        <f>G241*H241</f>
        <v>0</v>
      </c>
      <c r="BK241" s="75" t="s">
        <v>696</v>
      </c>
      <c r="BL241" s="48">
        <v>89</v>
      </c>
    </row>
    <row r="242" spans="1:15" ht="12.75">
      <c r="A242" s="18"/>
      <c r="D242" s="66" t="s">
        <v>81</v>
      </c>
      <c r="E242" s="68"/>
      <c r="G242" s="74">
        <v>1</v>
      </c>
      <c r="N242" s="16"/>
      <c r="O242" s="18"/>
    </row>
    <row r="243" spans="1:64" ht="12.75">
      <c r="A243" s="59" t="s">
        <v>199</v>
      </c>
      <c r="B243" s="65"/>
      <c r="C243" s="65" t="s">
        <v>318</v>
      </c>
      <c r="D243" s="181" t="s">
        <v>522</v>
      </c>
      <c r="E243" s="182"/>
      <c r="F243" s="65" t="s">
        <v>617</v>
      </c>
      <c r="G243" s="75">
        <v>1</v>
      </c>
      <c r="H243" s="184"/>
      <c r="I243" s="75">
        <f>G243*AO243</f>
        <v>0</v>
      </c>
      <c r="J243" s="75">
        <f>G243*AP243</f>
        <v>0</v>
      </c>
      <c r="K243" s="75">
        <f>G243*H243</f>
        <v>0</v>
      </c>
      <c r="L243" s="75">
        <v>0.065</v>
      </c>
      <c r="M243" s="75">
        <f>G243*L243</f>
        <v>0.065</v>
      </c>
      <c r="N243" s="86" t="s">
        <v>648</v>
      </c>
      <c r="O243" s="18"/>
      <c r="Z243" s="48">
        <f>IF(AQ243="5",BJ243,0)</f>
        <v>0</v>
      </c>
      <c r="AB243" s="48">
        <f>IF(AQ243="1",BH243,0)</f>
        <v>0</v>
      </c>
      <c r="AC243" s="48">
        <f>IF(AQ243="1",BI243,0)</f>
        <v>0</v>
      </c>
      <c r="AD243" s="48">
        <f>IF(AQ243="7",BH243,0)</f>
        <v>0</v>
      </c>
      <c r="AE243" s="48">
        <f>IF(AQ243="7",BI243,0)</f>
        <v>0</v>
      </c>
      <c r="AF243" s="48">
        <f>IF(AQ243="2",BH243,0)</f>
        <v>0</v>
      </c>
      <c r="AG243" s="48">
        <f>IF(AQ243="2",BI243,0)</f>
        <v>0</v>
      </c>
      <c r="AH243" s="48">
        <f>IF(AQ243="0",BJ243,0)</f>
        <v>0</v>
      </c>
      <c r="AI243" s="80"/>
      <c r="AJ243" s="75">
        <f>IF(AN243=0,K243,0)</f>
        <v>0</v>
      </c>
      <c r="AK243" s="75">
        <f>IF(AN243=15,K243,0)</f>
        <v>0</v>
      </c>
      <c r="AL243" s="75">
        <f>IF(AN243=21,K243,0)</f>
        <v>0</v>
      </c>
      <c r="AN243" s="48">
        <v>21</v>
      </c>
      <c r="AO243" s="48">
        <f>H243*1</f>
        <v>0</v>
      </c>
      <c r="AP243" s="48">
        <f>H243*(1-1)</f>
        <v>0</v>
      </c>
      <c r="AQ243" s="89" t="s">
        <v>81</v>
      </c>
      <c r="AV243" s="48">
        <f>AW243+AX243</f>
        <v>0</v>
      </c>
      <c r="AW243" s="48">
        <f>G243*AO243</f>
        <v>0</v>
      </c>
      <c r="AX243" s="48">
        <f>G243*AP243</f>
        <v>0</v>
      </c>
      <c r="AY243" s="90" t="s">
        <v>675</v>
      </c>
      <c r="AZ243" s="90" t="s">
        <v>688</v>
      </c>
      <c r="BA243" s="80" t="s">
        <v>690</v>
      </c>
      <c r="BC243" s="48">
        <f>AW243+AX243</f>
        <v>0</v>
      </c>
      <c r="BD243" s="48">
        <f>H243/(100-BE243)*100</f>
        <v>0</v>
      </c>
      <c r="BE243" s="48">
        <v>0</v>
      </c>
      <c r="BF243" s="48">
        <f>M243</f>
        <v>0.065</v>
      </c>
      <c r="BH243" s="75">
        <f>G243*AO243</f>
        <v>0</v>
      </c>
      <c r="BI243" s="75">
        <f>G243*AP243</f>
        <v>0</v>
      </c>
      <c r="BJ243" s="75">
        <f>G243*H243</f>
        <v>0</v>
      </c>
      <c r="BK243" s="75" t="s">
        <v>696</v>
      </c>
      <c r="BL243" s="48">
        <v>89</v>
      </c>
    </row>
    <row r="244" spans="1:15" ht="12.75">
      <c r="A244" s="18"/>
      <c r="D244" s="66" t="s">
        <v>81</v>
      </c>
      <c r="E244" s="68"/>
      <c r="G244" s="74">
        <v>1</v>
      </c>
      <c r="N244" s="16"/>
      <c r="O244" s="18"/>
    </row>
    <row r="245" spans="1:47" ht="12.75">
      <c r="A245" s="57"/>
      <c r="B245" s="63"/>
      <c r="C245" s="63" t="s">
        <v>190</v>
      </c>
      <c r="D245" s="177" t="s">
        <v>523</v>
      </c>
      <c r="E245" s="178"/>
      <c r="F245" s="71" t="s">
        <v>78</v>
      </c>
      <c r="G245" s="71" t="s">
        <v>78</v>
      </c>
      <c r="H245" s="71" t="s">
        <v>78</v>
      </c>
      <c r="I245" s="93">
        <f>SUM(I246:I253)</f>
        <v>0</v>
      </c>
      <c r="J245" s="93">
        <f>SUM(J246:J253)</f>
        <v>0</v>
      </c>
      <c r="K245" s="93">
        <f>SUM(K246:K253)</f>
        <v>0</v>
      </c>
      <c r="L245" s="80"/>
      <c r="M245" s="93">
        <f>SUM(M246:M253)</f>
        <v>7.49607</v>
      </c>
      <c r="N245" s="84"/>
      <c r="O245" s="18"/>
      <c r="AI245" s="80"/>
      <c r="AS245" s="93">
        <f>SUM(AJ246:AJ253)</f>
        <v>0</v>
      </c>
      <c r="AT245" s="93">
        <f>SUM(AK246:AK253)</f>
        <v>0</v>
      </c>
      <c r="AU245" s="93">
        <f>SUM(AL246:AL253)</f>
        <v>0</v>
      </c>
    </row>
    <row r="246" spans="1:64" ht="12.75">
      <c r="A246" s="58" t="s">
        <v>200</v>
      </c>
      <c r="B246" s="64"/>
      <c r="C246" s="64" t="s">
        <v>319</v>
      </c>
      <c r="D246" s="179" t="s">
        <v>524</v>
      </c>
      <c r="E246" s="180"/>
      <c r="F246" s="64" t="s">
        <v>612</v>
      </c>
      <c r="G246" s="73">
        <v>32</v>
      </c>
      <c r="H246" s="183"/>
      <c r="I246" s="73">
        <f>G246*AO246</f>
        <v>0</v>
      </c>
      <c r="J246" s="73">
        <f>G246*AP246</f>
        <v>0</v>
      </c>
      <c r="K246" s="73">
        <f>G246*H246</f>
        <v>0</v>
      </c>
      <c r="L246" s="73">
        <v>0</v>
      </c>
      <c r="M246" s="73">
        <f>G246*L246</f>
        <v>0</v>
      </c>
      <c r="N246" s="85" t="s">
        <v>648</v>
      </c>
      <c r="O246" s="18"/>
      <c r="Z246" s="48">
        <f>IF(AQ246="5",BJ246,0)</f>
        <v>0</v>
      </c>
      <c r="AB246" s="48">
        <f>IF(AQ246="1",BH246,0)</f>
        <v>0</v>
      </c>
      <c r="AC246" s="48">
        <f>IF(AQ246="1",BI246,0)</f>
        <v>0</v>
      </c>
      <c r="AD246" s="48">
        <f>IF(AQ246="7",BH246,0)</f>
        <v>0</v>
      </c>
      <c r="AE246" s="48">
        <f>IF(AQ246="7",BI246,0)</f>
        <v>0</v>
      </c>
      <c r="AF246" s="48">
        <f>IF(AQ246="2",BH246,0)</f>
        <v>0</v>
      </c>
      <c r="AG246" s="48">
        <f>IF(AQ246="2",BI246,0)</f>
        <v>0</v>
      </c>
      <c r="AH246" s="48">
        <f>IF(AQ246="0",BJ246,0)</f>
        <v>0</v>
      </c>
      <c r="AI246" s="80"/>
      <c r="AJ246" s="73">
        <f>IF(AN246=0,K246,0)</f>
        <v>0</v>
      </c>
      <c r="AK246" s="73">
        <f>IF(AN246=15,K246,0)</f>
        <v>0</v>
      </c>
      <c r="AL246" s="73">
        <f>IF(AN246=21,K246,0)</f>
        <v>0</v>
      </c>
      <c r="AN246" s="48">
        <v>21</v>
      </c>
      <c r="AO246" s="48">
        <f>H246*0.602838709677419</f>
        <v>0</v>
      </c>
      <c r="AP246" s="48">
        <f>H246*(1-0.602838709677419)</f>
        <v>0</v>
      </c>
      <c r="AQ246" s="88" t="s">
        <v>81</v>
      </c>
      <c r="AV246" s="48">
        <f>AW246+AX246</f>
        <v>0</v>
      </c>
      <c r="AW246" s="48">
        <f>G246*AO246</f>
        <v>0</v>
      </c>
      <c r="AX246" s="48">
        <f>G246*AP246</f>
        <v>0</v>
      </c>
      <c r="AY246" s="90" t="s">
        <v>676</v>
      </c>
      <c r="AZ246" s="90" t="s">
        <v>689</v>
      </c>
      <c r="BA246" s="80" t="s">
        <v>690</v>
      </c>
      <c r="BC246" s="48">
        <f>AW246+AX246</f>
        <v>0</v>
      </c>
      <c r="BD246" s="48">
        <f>H246/(100-BE246)*100</f>
        <v>0</v>
      </c>
      <c r="BE246" s="48">
        <v>0</v>
      </c>
      <c r="BF246" s="48">
        <f>M246</f>
        <v>0</v>
      </c>
      <c r="BH246" s="73">
        <f>G246*AO246</f>
        <v>0</v>
      </c>
      <c r="BI246" s="73">
        <f>G246*AP246</f>
        <v>0</v>
      </c>
      <c r="BJ246" s="73">
        <f>G246*H246</f>
        <v>0</v>
      </c>
      <c r="BK246" s="73" t="s">
        <v>695</v>
      </c>
      <c r="BL246" s="48">
        <v>91</v>
      </c>
    </row>
    <row r="247" spans="1:15" ht="12.75">
      <c r="A247" s="18"/>
      <c r="D247" s="66" t="s">
        <v>525</v>
      </c>
      <c r="E247" s="68" t="s">
        <v>567</v>
      </c>
      <c r="G247" s="74">
        <v>20</v>
      </c>
      <c r="N247" s="16"/>
      <c r="O247" s="18"/>
    </row>
    <row r="248" spans="1:15" ht="12.75">
      <c r="A248" s="18"/>
      <c r="D248" s="66" t="s">
        <v>526</v>
      </c>
      <c r="E248" s="68" t="s">
        <v>570</v>
      </c>
      <c r="G248" s="74">
        <v>12</v>
      </c>
      <c r="N248" s="16"/>
      <c r="O248" s="18"/>
    </row>
    <row r="249" spans="1:64" ht="12.75">
      <c r="A249" s="58" t="s">
        <v>201</v>
      </c>
      <c r="B249" s="64"/>
      <c r="C249" s="64" t="s">
        <v>320</v>
      </c>
      <c r="D249" s="179" t="s">
        <v>527</v>
      </c>
      <c r="E249" s="180"/>
      <c r="F249" s="64" t="s">
        <v>612</v>
      </c>
      <c r="G249" s="73">
        <v>32</v>
      </c>
      <c r="H249" s="183"/>
      <c r="I249" s="73">
        <f>G249*AO249</f>
        <v>0</v>
      </c>
      <c r="J249" s="73">
        <f>G249*AP249</f>
        <v>0</v>
      </c>
      <c r="K249" s="73">
        <f>G249*H249</f>
        <v>0</v>
      </c>
      <c r="L249" s="73">
        <v>0</v>
      </c>
      <c r="M249" s="73">
        <f>G249*L249</f>
        <v>0</v>
      </c>
      <c r="N249" s="85" t="s">
        <v>648</v>
      </c>
      <c r="O249" s="18"/>
      <c r="Z249" s="48">
        <f>IF(AQ249="5",BJ249,0)</f>
        <v>0</v>
      </c>
      <c r="AB249" s="48">
        <f>IF(AQ249="1",BH249,0)</f>
        <v>0</v>
      </c>
      <c r="AC249" s="48">
        <f>IF(AQ249="1",BI249,0)</f>
        <v>0</v>
      </c>
      <c r="AD249" s="48">
        <f>IF(AQ249="7",BH249,0)</f>
        <v>0</v>
      </c>
      <c r="AE249" s="48">
        <f>IF(AQ249="7",BI249,0)</f>
        <v>0</v>
      </c>
      <c r="AF249" s="48">
        <f>IF(AQ249="2",BH249,0)</f>
        <v>0</v>
      </c>
      <c r="AG249" s="48">
        <f>IF(AQ249="2",BI249,0)</f>
        <v>0</v>
      </c>
      <c r="AH249" s="48">
        <f>IF(AQ249="0",BJ249,0)</f>
        <v>0</v>
      </c>
      <c r="AI249" s="80"/>
      <c r="AJ249" s="73">
        <f>IF(AN249=0,K249,0)</f>
        <v>0</v>
      </c>
      <c r="AK249" s="73">
        <f>IF(AN249=15,K249,0)</f>
        <v>0</v>
      </c>
      <c r="AL249" s="73">
        <f>IF(AN249=21,K249,0)</f>
        <v>0</v>
      </c>
      <c r="AN249" s="48">
        <v>21</v>
      </c>
      <c r="AO249" s="48">
        <f>H249*0</f>
        <v>0</v>
      </c>
      <c r="AP249" s="48">
        <f>H249*(1-0)</f>
        <v>0</v>
      </c>
      <c r="AQ249" s="88" t="s">
        <v>81</v>
      </c>
      <c r="AV249" s="48">
        <f>AW249+AX249</f>
        <v>0</v>
      </c>
      <c r="AW249" s="48">
        <f>G249*AO249</f>
        <v>0</v>
      </c>
      <c r="AX249" s="48">
        <f>G249*AP249</f>
        <v>0</v>
      </c>
      <c r="AY249" s="90" t="s">
        <v>676</v>
      </c>
      <c r="AZ249" s="90" t="s">
        <v>689</v>
      </c>
      <c r="BA249" s="80" t="s">
        <v>690</v>
      </c>
      <c r="BC249" s="48">
        <f>AW249+AX249</f>
        <v>0</v>
      </c>
      <c r="BD249" s="48">
        <f>H249/(100-BE249)*100</f>
        <v>0</v>
      </c>
      <c r="BE249" s="48">
        <v>0</v>
      </c>
      <c r="BF249" s="48">
        <f>M249</f>
        <v>0</v>
      </c>
      <c r="BH249" s="73">
        <f>G249*AO249</f>
        <v>0</v>
      </c>
      <c r="BI249" s="73">
        <f>G249*AP249</f>
        <v>0</v>
      </c>
      <c r="BJ249" s="73">
        <f>G249*H249</f>
        <v>0</v>
      </c>
      <c r="BK249" s="73" t="s">
        <v>695</v>
      </c>
      <c r="BL249" s="48">
        <v>91</v>
      </c>
    </row>
    <row r="250" spans="1:15" ht="12.75">
      <c r="A250" s="18"/>
      <c r="D250" s="66" t="s">
        <v>132</v>
      </c>
      <c r="E250" s="68"/>
      <c r="G250" s="74">
        <v>32</v>
      </c>
      <c r="N250" s="16"/>
      <c r="O250" s="18"/>
    </row>
    <row r="251" spans="1:64" ht="12.75">
      <c r="A251" s="58" t="s">
        <v>202</v>
      </c>
      <c r="B251" s="64"/>
      <c r="C251" s="64" t="s">
        <v>321</v>
      </c>
      <c r="D251" s="179" t="s">
        <v>528</v>
      </c>
      <c r="E251" s="180"/>
      <c r="F251" s="64" t="s">
        <v>612</v>
      </c>
      <c r="G251" s="73">
        <v>19</v>
      </c>
      <c r="H251" s="183"/>
      <c r="I251" s="73">
        <f>G251*AO251</f>
        <v>0</v>
      </c>
      <c r="J251" s="73">
        <f>G251*AP251</f>
        <v>0</v>
      </c>
      <c r="K251" s="73">
        <f>G251*H251</f>
        <v>0</v>
      </c>
      <c r="L251" s="73">
        <v>0.12472</v>
      </c>
      <c r="M251" s="73">
        <f>G251*L251</f>
        <v>2.36968</v>
      </c>
      <c r="N251" s="85" t="s">
        <v>647</v>
      </c>
      <c r="O251" s="18"/>
      <c r="Z251" s="48">
        <f>IF(AQ251="5",BJ251,0)</f>
        <v>0</v>
      </c>
      <c r="AB251" s="48">
        <f>IF(AQ251="1",BH251,0)</f>
        <v>0</v>
      </c>
      <c r="AC251" s="48">
        <f>IF(AQ251="1",BI251,0)</f>
        <v>0</v>
      </c>
      <c r="AD251" s="48">
        <f>IF(AQ251="7",BH251,0)</f>
        <v>0</v>
      </c>
      <c r="AE251" s="48">
        <f>IF(AQ251="7",BI251,0)</f>
        <v>0</v>
      </c>
      <c r="AF251" s="48">
        <f>IF(AQ251="2",BH251,0)</f>
        <v>0</v>
      </c>
      <c r="AG251" s="48">
        <f>IF(AQ251="2",BI251,0)</f>
        <v>0</v>
      </c>
      <c r="AH251" s="48">
        <f>IF(AQ251="0",BJ251,0)</f>
        <v>0</v>
      </c>
      <c r="AI251" s="80"/>
      <c r="AJ251" s="73">
        <f>IF(AN251=0,K251,0)</f>
        <v>0</v>
      </c>
      <c r="AK251" s="73">
        <f>IF(AN251=15,K251,0)</f>
        <v>0</v>
      </c>
      <c r="AL251" s="73">
        <f>IF(AN251=21,K251,0)</f>
        <v>0</v>
      </c>
      <c r="AN251" s="48">
        <v>21</v>
      </c>
      <c r="AO251" s="48">
        <f>H251*0.712477876106195</f>
        <v>0</v>
      </c>
      <c r="AP251" s="48">
        <f>H251*(1-0.712477876106195)</f>
        <v>0</v>
      </c>
      <c r="AQ251" s="88" t="s">
        <v>81</v>
      </c>
      <c r="AV251" s="48">
        <f>AW251+AX251</f>
        <v>0</v>
      </c>
      <c r="AW251" s="48">
        <f>G251*AO251</f>
        <v>0</v>
      </c>
      <c r="AX251" s="48">
        <f>G251*AP251</f>
        <v>0</v>
      </c>
      <c r="AY251" s="90" t="s">
        <v>676</v>
      </c>
      <c r="AZ251" s="90" t="s">
        <v>689</v>
      </c>
      <c r="BA251" s="80" t="s">
        <v>690</v>
      </c>
      <c r="BC251" s="48">
        <f>AW251+AX251</f>
        <v>0</v>
      </c>
      <c r="BD251" s="48">
        <f>H251/(100-BE251)*100</f>
        <v>0</v>
      </c>
      <c r="BE251" s="48">
        <v>0</v>
      </c>
      <c r="BF251" s="48">
        <f>M251</f>
        <v>2.36968</v>
      </c>
      <c r="BH251" s="73">
        <f>G251*AO251</f>
        <v>0</v>
      </c>
      <c r="BI251" s="73">
        <f>G251*AP251</f>
        <v>0</v>
      </c>
      <c r="BJ251" s="73">
        <f>G251*H251</f>
        <v>0</v>
      </c>
      <c r="BK251" s="73" t="s">
        <v>695</v>
      </c>
      <c r="BL251" s="48">
        <v>91</v>
      </c>
    </row>
    <row r="252" spans="1:15" ht="12.75">
      <c r="A252" s="18"/>
      <c r="D252" s="66" t="s">
        <v>119</v>
      </c>
      <c r="E252" s="68"/>
      <c r="G252" s="74">
        <v>19</v>
      </c>
      <c r="N252" s="16"/>
      <c r="O252" s="18"/>
    </row>
    <row r="253" spans="1:64" ht="12.75">
      <c r="A253" s="58" t="s">
        <v>203</v>
      </c>
      <c r="B253" s="64"/>
      <c r="C253" s="64" t="s">
        <v>322</v>
      </c>
      <c r="D253" s="179" t="s">
        <v>529</v>
      </c>
      <c r="E253" s="180"/>
      <c r="F253" s="64" t="s">
        <v>612</v>
      </c>
      <c r="G253" s="73">
        <v>19</v>
      </c>
      <c r="H253" s="183"/>
      <c r="I253" s="73">
        <f>G253*AO253</f>
        <v>0</v>
      </c>
      <c r="J253" s="73">
        <f>G253*AP253</f>
        <v>0</v>
      </c>
      <c r="K253" s="73">
        <f>G253*H253</f>
        <v>0</v>
      </c>
      <c r="L253" s="73">
        <v>0.26981</v>
      </c>
      <c r="M253" s="73">
        <f>G253*L253</f>
        <v>5.12639</v>
      </c>
      <c r="N253" s="85" t="s">
        <v>647</v>
      </c>
      <c r="O253" s="18"/>
      <c r="Z253" s="48">
        <f>IF(AQ253="5",BJ253,0)</f>
        <v>0</v>
      </c>
      <c r="AB253" s="48">
        <f>IF(AQ253="1",BH253,0)</f>
        <v>0</v>
      </c>
      <c r="AC253" s="48">
        <f>IF(AQ253="1",BI253,0)</f>
        <v>0</v>
      </c>
      <c r="AD253" s="48">
        <f>IF(AQ253="7",BH253,0)</f>
        <v>0</v>
      </c>
      <c r="AE253" s="48">
        <f>IF(AQ253="7",BI253,0)</f>
        <v>0</v>
      </c>
      <c r="AF253" s="48">
        <f>IF(AQ253="2",BH253,0)</f>
        <v>0</v>
      </c>
      <c r="AG253" s="48">
        <f>IF(AQ253="2",BI253,0)</f>
        <v>0</v>
      </c>
      <c r="AH253" s="48">
        <f>IF(AQ253="0",BJ253,0)</f>
        <v>0</v>
      </c>
      <c r="AI253" s="80"/>
      <c r="AJ253" s="73">
        <f>IF(AN253=0,K253,0)</f>
        <v>0</v>
      </c>
      <c r="AK253" s="73">
        <f>IF(AN253=15,K253,0)</f>
        <v>0</v>
      </c>
      <c r="AL253" s="73">
        <f>IF(AN253=21,K253,0)</f>
        <v>0</v>
      </c>
      <c r="AN253" s="48">
        <v>21</v>
      </c>
      <c r="AO253" s="48">
        <f>H253*0.736538060479666</f>
        <v>0</v>
      </c>
      <c r="AP253" s="48">
        <f>H253*(1-0.736538060479666)</f>
        <v>0</v>
      </c>
      <c r="AQ253" s="88" t="s">
        <v>81</v>
      </c>
      <c r="AV253" s="48">
        <f>AW253+AX253</f>
        <v>0</v>
      </c>
      <c r="AW253" s="48">
        <f>G253*AO253</f>
        <v>0</v>
      </c>
      <c r="AX253" s="48">
        <f>G253*AP253</f>
        <v>0</v>
      </c>
      <c r="AY253" s="90" t="s">
        <v>676</v>
      </c>
      <c r="AZ253" s="90" t="s">
        <v>689</v>
      </c>
      <c r="BA253" s="80" t="s">
        <v>690</v>
      </c>
      <c r="BC253" s="48">
        <f>AW253+AX253</f>
        <v>0</v>
      </c>
      <c r="BD253" s="48">
        <f>H253/(100-BE253)*100</f>
        <v>0</v>
      </c>
      <c r="BE253" s="48">
        <v>0</v>
      </c>
      <c r="BF253" s="48">
        <f>M253</f>
        <v>5.12639</v>
      </c>
      <c r="BH253" s="73">
        <f>G253*AO253</f>
        <v>0</v>
      </c>
      <c r="BI253" s="73">
        <f>G253*AP253</f>
        <v>0</v>
      </c>
      <c r="BJ253" s="73">
        <f>G253*H253</f>
        <v>0</v>
      </c>
      <c r="BK253" s="73" t="s">
        <v>695</v>
      </c>
      <c r="BL253" s="48">
        <v>91</v>
      </c>
    </row>
    <row r="254" spans="1:15" ht="12.75">
      <c r="A254" s="18"/>
      <c r="D254" s="66" t="s">
        <v>119</v>
      </c>
      <c r="E254" s="68"/>
      <c r="G254" s="74">
        <v>19</v>
      </c>
      <c r="N254" s="16"/>
      <c r="O254" s="18"/>
    </row>
    <row r="255" spans="1:47" ht="12.75">
      <c r="A255" s="57"/>
      <c r="B255" s="63"/>
      <c r="C255" s="63" t="s">
        <v>195</v>
      </c>
      <c r="D255" s="177" t="s">
        <v>530</v>
      </c>
      <c r="E255" s="178"/>
      <c r="F255" s="71" t="s">
        <v>78</v>
      </c>
      <c r="G255" s="71" t="s">
        <v>78</v>
      </c>
      <c r="H255" s="71" t="s">
        <v>78</v>
      </c>
      <c r="I255" s="93">
        <f>SUM(I256:I256)</f>
        <v>0</v>
      </c>
      <c r="J255" s="93">
        <f>SUM(J256:J256)</f>
        <v>0</v>
      </c>
      <c r="K255" s="93">
        <f>SUM(K256:K256)</f>
        <v>0</v>
      </c>
      <c r="L255" s="80"/>
      <c r="M255" s="93">
        <f>SUM(M256:M256)</f>
        <v>8.8</v>
      </c>
      <c r="N255" s="84"/>
      <c r="O255" s="18"/>
      <c r="AI255" s="80"/>
      <c r="AS255" s="93">
        <f>SUM(AJ256:AJ256)</f>
        <v>0</v>
      </c>
      <c r="AT255" s="93">
        <f>SUM(AK256:AK256)</f>
        <v>0</v>
      </c>
      <c r="AU255" s="93">
        <f>SUM(AL256:AL256)</f>
        <v>0</v>
      </c>
    </row>
    <row r="256" spans="1:64" ht="12.75">
      <c r="A256" s="58" t="s">
        <v>204</v>
      </c>
      <c r="B256" s="64"/>
      <c r="C256" s="64" t="s">
        <v>323</v>
      </c>
      <c r="D256" s="179" t="s">
        <v>531</v>
      </c>
      <c r="E256" s="180"/>
      <c r="F256" s="64" t="s">
        <v>614</v>
      </c>
      <c r="G256" s="73">
        <v>4</v>
      </c>
      <c r="H256" s="183"/>
      <c r="I256" s="73">
        <f>G256*AO256</f>
        <v>0</v>
      </c>
      <c r="J256" s="73">
        <f>G256*AP256</f>
        <v>0</v>
      </c>
      <c r="K256" s="73">
        <f>G256*H256</f>
        <v>0</v>
      </c>
      <c r="L256" s="73">
        <v>2.2</v>
      </c>
      <c r="M256" s="73">
        <f>G256*L256</f>
        <v>8.8</v>
      </c>
      <c r="N256" s="85" t="s">
        <v>648</v>
      </c>
      <c r="O256" s="18"/>
      <c r="Z256" s="48">
        <f>IF(AQ256="5",BJ256,0)</f>
        <v>0</v>
      </c>
      <c r="AB256" s="48">
        <f>IF(AQ256="1",BH256,0)</f>
        <v>0</v>
      </c>
      <c r="AC256" s="48">
        <f>IF(AQ256="1",BI256,0)</f>
        <v>0</v>
      </c>
      <c r="AD256" s="48">
        <f>IF(AQ256="7",BH256,0)</f>
        <v>0</v>
      </c>
      <c r="AE256" s="48">
        <f>IF(AQ256="7",BI256,0)</f>
        <v>0</v>
      </c>
      <c r="AF256" s="48">
        <f>IF(AQ256="2",BH256,0)</f>
        <v>0</v>
      </c>
      <c r="AG256" s="48">
        <f>IF(AQ256="2",BI256,0)</f>
        <v>0</v>
      </c>
      <c r="AH256" s="48">
        <f>IF(AQ256="0",BJ256,0)</f>
        <v>0</v>
      </c>
      <c r="AI256" s="80"/>
      <c r="AJ256" s="73">
        <f>IF(AN256=0,K256,0)</f>
        <v>0</v>
      </c>
      <c r="AK256" s="73">
        <f>IF(AN256=15,K256,0)</f>
        <v>0</v>
      </c>
      <c r="AL256" s="73">
        <f>IF(AN256=21,K256,0)</f>
        <v>0</v>
      </c>
      <c r="AN256" s="48">
        <v>21</v>
      </c>
      <c r="AO256" s="48">
        <f>H256*0</f>
        <v>0</v>
      </c>
      <c r="AP256" s="48">
        <f>H256*(1-0)</f>
        <v>0</v>
      </c>
      <c r="AQ256" s="88" t="s">
        <v>81</v>
      </c>
      <c r="AV256" s="48">
        <f>AW256+AX256</f>
        <v>0</v>
      </c>
      <c r="AW256" s="48">
        <f>G256*AO256</f>
        <v>0</v>
      </c>
      <c r="AX256" s="48">
        <f>G256*AP256</f>
        <v>0</v>
      </c>
      <c r="AY256" s="90" t="s">
        <v>677</v>
      </c>
      <c r="AZ256" s="90" t="s">
        <v>689</v>
      </c>
      <c r="BA256" s="80" t="s">
        <v>690</v>
      </c>
      <c r="BC256" s="48">
        <f>AW256+AX256</f>
        <v>0</v>
      </c>
      <c r="BD256" s="48">
        <f>H256/(100-BE256)*100</f>
        <v>0</v>
      </c>
      <c r="BE256" s="48">
        <v>0</v>
      </c>
      <c r="BF256" s="48">
        <f>M256</f>
        <v>8.8</v>
      </c>
      <c r="BH256" s="73">
        <f>G256*AO256</f>
        <v>0</v>
      </c>
      <c r="BI256" s="73">
        <f>G256*AP256</f>
        <v>0</v>
      </c>
      <c r="BJ256" s="73">
        <f>G256*H256</f>
        <v>0</v>
      </c>
      <c r="BK256" s="73" t="s">
        <v>695</v>
      </c>
      <c r="BL256" s="48">
        <v>96</v>
      </c>
    </row>
    <row r="257" spans="1:15" ht="12.75">
      <c r="A257" s="18"/>
      <c r="D257" s="66" t="s">
        <v>532</v>
      </c>
      <c r="E257" s="68" t="s">
        <v>606</v>
      </c>
      <c r="G257" s="74">
        <v>4</v>
      </c>
      <c r="N257" s="16"/>
      <c r="O257" s="18"/>
    </row>
    <row r="258" spans="1:47" ht="12.75">
      <c r="A258" s="57"/>
      <c r="B258" s="63"/>
      <c r="C258" s="63" t="s">
        <v>197</v>
      </c>
      <c r="D258" s="177" t="s">
        <v>533</v>
      </c>
      <c r="E258" s="178"/>
      <c r="F258" s="71" t="s">
        <v>78</v>
      </c>
      <c r="G258" s="71" t="s">
        <v>78</v>
      </c>
      <c r="H258" s="71" t="s">
        <v>78</v>
      </c>
      <c r="I258" s="93">
        <f>SUM(I259:I259)</f>
        <v>0</v>
      </c>
      <c r="J258" s="93">
        <f>SUM(J259:J259)</f>
        <v>0</v>
      </c>
      <c r="K258" s="93">
        <f>SUM(K259:K259)</f>
        <v>0</v>
      </c>
      <c r="L258" s="80"/>
      <c r="M258" s="93">
        <f>SUM(M259:M259)</f>
        <v>27</v>
      </c>
      <c r="N258" s="84"/>
      <c r="O258" s="18"/>
      <c r="AI258" s="80"/>
      <c r="AS258" s="93">
        <f>SUM(AJ259:AJ259)</f>
        <v>0</v>
      </c>
      <c r="AT258" s="93">
        <f>SUM(AK259:AK259)</f>
        <v>0</v>
      </c>
      <c r="AU258" s="93">
        <f>SUM(AL259:AL259)</f>
        <v>0</v>
      </c>
    </row>
    <row r="259" spans="1:64" ht="12.75">
      <c r="A259" s="58" t="s">
        <v>205</v>
      </c>
      <c r="B259" s="64"/>
      <c r="C259" s="64" t="s">
        <v>324</v>
      </c>
      <c r="D259" s="179" t="s">
        <v>534</v>
      </c>
      <c r="E259" s="180"/>
      <c r="F259" s="64" t="s">
        <v>614</v>
      </c>
      <c r="G259" s="73">
        <v>60</v>
      </c>
      <c r="H259" s="183"/>
      <c r="I259" s="73">
        <f>G259*AO259</f>
        <v>0</v>
      </c>
      <c r="J259" s="73">
        <f>G259*AP259</f>
        <v>0</v>
      </c>
      <c r="K259" s="73">
        <f>G259*H259</f>
        <v>0</v>
      </c>
      <c r="L259" s="73">
        <v>0.45</v>
      </c>
      <c r="M259" s="73">
        <f>G259*L259</f>
        <v>27</v>
      </c>
      <c r="N259" s="85" t="s">
        <v>648</v>
      </c>
      <c r="O259" s="18"/>
      <c r="Z259" s="48">
        <f>IF(AQ259="5",BJ259,0)</f>
        <v>0</v>
      </c>
      <c r="AB259" s="48">
        <f>IF(AQ259="1",BH259,0)</f>
        <v>0</v>
      </c>
      <c r="AC259" s="48">
        <f>IF(AQ259="1",BI259,0)</f>
        <v>0</v>
      </c>
      <c r="AD259" s="48">
        <f>IF(AQ259="7",BH259,0)</f>
        <v>0</v>
      </c>
      <c r="AE259" s="48">
        <f>IF(AQ259="7",BI259,0)</f>
        <v>0</v>
      </c>
      <c r="AF259" s="48">
        <f>IF(AQ259="2",BH259,0)</f>
        <v>0</v>
      </c>
      <c r="AG259" s="48">
        <f>IF(AQ259="2",BI259,0)</f>
        <v>0</v>
      </c>
      <c r="AH259" s="48">
        <f>IF(AQ259="0",BJ259,0)</f>
        <v>0</v>
      </c>
      <c r="AI259" s="80"/>
      <c r="AJ259" s="73">
        <f>IF(AN259=0,K259,0)</f>
        <v>0</v>
      </c>
      <c r="AK259" s="73">
        <f>IF(AN259=15,K259,0)</f>
        <v>0</v>
      </c>
      <c r="AL259" s="73">
        <f>IF(AN259=21,K259,0)</f>
        <v>0</v>
      </c>
      <c r="AN259" s="48">
        <v>21</v>
      </c>
      <c r="AO259" s="48">
        <f>H259*0</f>
        <v>0</v>
      </c>
      <c r="AP259" s="48">
        <f>H259*(1-0)</f>
        <v>0</v>
      </c>
      <c r="AQ259" s="88" t="s">
        <v>81</v>
      </c>
      <c r="AV259" s="48">
        <f>AW259+AX259</f>
        <v>0</v>
      </c>
      <c r="AW259" s="48">
        <f>G259*AO259</f>
        <v>0</v>
      </c>
      <c r="AX259" s="48">
        <f>G259*AP259</f>
        <v>0</v>
      </c>
      <c r="AY259" s="90" t="s">
        <v>678</v>
      </c>
      <c r="AZ259" s="90" t="s">
        <v>689</v>
      </c>
      <c r="BA259" s="80" t="s">
        <v>690</v>
      </c>
      <c r="BC259" s="48">
        <f>AW259+AX259</f>
        <v>0</v>
      </c>
      <c r="BD259" s="48">
        <f>H259/(100-BE259)*100</f>
        <v>0</v>
      </c>
      <c r="BE259" s="48">
        <v>0</v>
      </c>
      <c r="BF259" s="48">
        <f>M259</f>
        <v>27</v>
      </c>
      <c r="BH259" s="73">
        <f>G259*AO259</f>
        <v>0</v>
      </c>
      <c r="BI259" s="73">
        <f>G259*AP259</f>
        <v>0</v>
      </c>
      <c r="BJ259" s="73">
        <f>G259*H259</f>
        <v>0</v>
      </c>
      <c r="BK259" s="73" t="s">
        <v>695</v>
      </c>
      <c r="BL259" s="48">
        <v>98</v>
      </c>
    </row>
    <row r="260" spans="1:15" ht="12.75">
      <c r="A260" s="18"/>
      <c r="D260" s="66" t="s">
        <v>535</v>
      </c>
      <c r="E260" s="68" t="s">
        <v>607</v>
      </c>
      <c r="G260" s="74">
        <v>60</v>
      </c>
      <c r="N260" s="16"/>
      <c r="O260" s="18"/>
    </row>
    <row r="261" spans="1:47" ht="12.75">
      <c r="A261" s="57"/>
      <c r="B261" s="63"/>
      <c r="C261" s="63" t="s">
        <v>325</v>
      </c>
      <c r="D261" s="177" t="s">
        <v>536</v>
      </c>
      <c r="E261" s="178"/>
      <c r="F261" s="71" t="s">
        <v>78</v>
      </c>
      <c r="G261" s="71" t="s">
        <v>78</v>
      </c>
      <c r="H261" s="71" t="s">
        <v>78</v>
      </c>
      <c r="I261" s="93">
        <f>SUM(I262:I262)</f>
        <v>0</v>
      </c>
      <c r="J261" s="93">
        <f>SUM(J262:J262)</f>
        <v>0</v>
      </c>
      <c r="K261" s="93">
        <f>SUM(K262:K262)</f>
        <v>0</v>
      </c>
      <c r="L261" s="80"/>
      <c r="M261" s="93">
        <f>SUM(M262:M262)</f>
        <v>0</v>
      </c>
      <c r="N261" s="84"/>
      <c r="O261" s="18"/>
      <c r="AI261" s="80"/>
      <c r="AS261" s="93">
        <f>SUM(AJ262:AJ262)</f>
        <v>0</v>
      </c>
      <c r="AT261" s="93">
        <f>SUM(AK262:AK262)</f>
        <v>0</v>
      </c>
      <c r="AU261" s="93">
        <f>SUM(AL262:AL262)</f>
        <v>0</v>
      </c>
    </row>
    <row r="262" spans="1:64" ht="12.75">
      <c r="A262" s="58" t="s">
        <v>206</v>
      </c>
      <c r="B262" s="64"/>
      <c r="C262" s="64" t="s">
        <v>326</v>
      </c>
      <c r="D262" s="179" t="s">
        <v>537</v>
      </c>
      <c r="E262" s="180"/>
      <c r="F262" s="64" t="s">
        <v>615</v>
      </c>
      <c r="G262" s="73">
        <v>889.94</v>
      </c>
      <c r="H262" s="183"/>
      <c r="I262" s="73">
        <f>G262*AO262</f>
        <v>0</v>
      </c>
      <c r="J262" s="73">
        <f>G262*AP262</f>
        <v>0</v>
      </c>
      <c r="K262" s="73">
        <f>G262*H262</f>
        <v>0</v>
      </c>
      <c r="L262" s="73">
        <v>0</v>
      </c>
      <c r="M262" s="73">
        <f>G262*L262</f>
        <v>0</v>
      </c>
      <c r="N262" s="85" t="s">
        <v>648</v>
      </c>
      <c r="O262" s="18"/>
      <c r="Z262" s="48">
        <f>IF(AQ262="5",BJ262,0)</f>
        <v>0</v>
      </c>
      <c r="AB262" s="48">
        <f>IF(AQ262="1",BH262,0)</f>
        <v>0</v>
      </c>
      <c r="AC262" s="48">
        <f>IF(AQ262="1",BI262,0)</f>
        <v>0</v>
      </c>
      <c r="AD262" s="48">
        <f>IF(AQ262="7",BH262,0)</f>
        <v>0</v>
      </c>
      <c r="AE262" s="48">
        <f>IF(AQ262="7",BI262,0)</f>
        <v>0</v>
      </c>
      <c r="AF262" s="48">
        <f>IF(AQ262="2",BH262,0)</f>
        <v>0</v>
      </c>
      <c r="AG262" s="48">
        <f>IF(AQ262="2",BI262,0)</f>
        <v>0</v>
      </c>
      <c r="AH262" s="48">
        <f>IF(AQ262="0",BJ262,0)</f>
        <v>0</v>
      </c>
      <c r="AI262" s="80"/>
      <c r="AJ262" s="73">
        <f>IF(AN262=0,K262,0)</f>
        <v>0</v>
      </c>
      <c r="AK262" s="73">
        <f>IF(AN262=15,K262,0)</f>
        <v>0</v>
      </c>
      <c r="AL262" s="73">
        <f>IF(AN262=21,K262,0)</f>
        <v>0</v>
      </c>
      <c r="AN262" s="48">
        <v>21</v>
      </c>
      <c r="AO262" s="48">
        <f>H262*0</f>
        <v>0</v>
      </c>
      <c r="AP262" s="48">
        <f>H262*(1-0)</f>
        <v>0</v>
      </c>
      <c r="AQ262" s="88" t="s">
        <v>83</v>
      </c>
      <c r="AV262" s="48">
        <f>AW262+AX262</f>
        <v>0</v>
      </c>
      <c r="AW262" s="48">
        <f>G262*AO262</f>
        <v>0</v>
      </c>
      <c r="AX262" s="48">
        <f>G262*AP262</f>
        <v>0</v>
      </c>
      <c r="AY262" s="90" t="s">
        <v>679</v>
      </c>
      <c r="AZ262" s="90" t="s">
        <v>689</v>
      </c>
      <c r="BA262" s="80" t="s">
        <v>690</v>
      </c>
      <c r="BC262" s="48">
        <f>AW262+AX262</f>
        <v>0</v>
      </c>
      <c r="BD262" s="48">
        <f>H262/(100-BE262)*100</f>
        <v>0</v>
      </c>
      <c r="BE262" s="48">
        <v>0</v>
      </c>
      <c r="BF262" s="48">
        <f>M262</f>
        <v>0</v>
      </c>
      <c r="BH262" s="73">
        <f>G262*AO262</f>
        <v>0</v>
      </c>
      <c r="BI262" s="73">
        <f>G262*AP262</f>
        <v>0</v>
      </c>
      <c r="BJ262" s="73">
        <f>G262*H262</f>
        <v>0</v>
      </c>
      <c r="BK262" s="73" t="s">
        <v>695</v>
      </c>
      <c r="BL262" s="48" t="s">
        <v>325</v>
      </c>
    </row>
    <row r="263" spans="1:15" ht="12.75">
      <c r="A263" s="18"/>
      <c r="D263" s="66" t="s">
        <v>538</v>
      </c>
      <c r="E263" s="68"/>
      <c r="G263" s="74" t="s">
        <v>632</v>
      </c>
      <c r="N263" s="16"/>
      <c r="O263" s="18"/>
    </row>
    <row r="264" spans="1:47" ht="12.75">
      <c r="A264" s="57"/>
      <c r="B264" s="63"/>
      <c r="C264" s="63" t="s">
        <v>327</v>
      </c>
      <c r="D264" s="177" t="s">
        <v>539</v>
      </c>
      <c r="E264" s="178"/>
      <c r="F264" s="71" t="s">
        <v>78</v>
      </c>
      <c r="G264" s="71" t="s">
        <v>78</v>
      </c>
      <c r="H264" s="71" t="s">
        <v>78</v>
      </c>
      <c r="I264" s="93">
        <f>SUM(I265:I265)</f>
        <v>0</v>
      </c>
      <c r="J264" s="93">
        <f>SUM(J265:J265)</f>
        <v>0</v>
      </c>
      <c r="K264" s="93">
        <f>SUM(K265:K265)</f>
        <v>0</v>
      </c>
      <c r="L264" s="80"/>
      <c r="M264" s="93">
        <f>SUM(M265:M265)</f>
        <v>0</v>
      </c>
      <c r="N264" s="84"/>
      <c r="O264" s="18"/>
      <c r="AI264" s="80"/>
      <c r="AS264" s="93">
        <f>SUM(AJ265:AJ265)</f>
        <v>0</v>
      </c>
      <c r="AT264" s="93">
        <f>SUM(AK265:AK265)</f>
        <v>0</v>
      </c>
      <c r="AU264" s="93">
        <f>SUM(AL265:AL265)</f>
        <v>0</v>
      </c>
    </row>
    <row r="265" spans="1:64" ht="12.75">
      <c r="A265" s="58" t="s">
        <v>207</v>
      </c>
      <c r="B265" s="64"/>
      <c r="C265" s="64" t="s">
        <v>328</v>
      </c>
      <c r="D265" s="179" t="s">
        <v>540</v>
      </c>
      <c r="E265" s="180"/>
      <c r="F265" s="64" t="s">
        <v>619</v>
      </c>
      <c r="G265" s="73">
        <v>1</v>
      </c>
      <c r="H265" s="183"/>
      <c r="I265" s="73">
        <f>G265*AO265</f>
        <v>0</v>
      </c>
      <c r="J265" s="73">
        <f>G265*AP265</f>
        <v>0</v>
      </c>
      <c r="K265" s="73">
        <f>G265*H265</f>
        <v>0</v>
      </c>
      <c r="L265" s="73">
        <v>0</v>
      </c>
      <c r="M265" s="73">
        <f>G265*L265</f>
        <v>0</v>
      </c>
      <c r="N265" s="85"/>
      <c r="O265" s="18"/>
      <c r="Z265" s="48">
        <f>IF(AQ265="5",BJ265,0)</f>
        <v>0</v>
      </c>
      <c r="AB265" s="48">
        <f>IF(AQ265="1",BH265,0)</f>
        <v>0</v>
      </c>
      <c r="AC265" s="48">
        <f>IF(AQ265="1",BI265,0)</f>
        <v>0</v>
      </c>
      <c r="AD265" s="48">
        <f>IF(AQ265="7",BH265,0)</f>
        <v>0</v>
      </c>
      <c r="AE265" s="48">
        <f>IF(AQ265="7",BI265,0)</f>
        <v>0</v>
      </c>
      <c r="AF265" s="48">
        <f>IF(AQ265="2",BH265,0)</f>
        <v>0</v>
      </c>
      <c r="AG265" s="48">
        <f>IF(AQ265="2",BI265,0)</f>
        <v>0</v>
      </c>
      <c r="AH265" s="48">
        <f>IF(AQ265="0",BJ265,0)</f>
        <v>0</v>
      </c>
      <c r="AI265" s="80"/>
      <c r="AJ265" s="73">
        <f>IF(AN265=0,K265,0)</f>
        <v>0</v>
      </c>
      <c r="AK265" s="73">
        <f>IF(AN265=15,K265,0)</f>
        <v>0</v>
      </c>
      <c r="AL265" s="73">
        <f>IF(AN265=21,K265,0)</f>
        <v>0</v>
      </c>
      <c r="AN265" s="48">
        <v>21</v>
      </c>
      <c r="AO265" s="48">
        <f>H265*0.893565501708095</f>
        <v>0</v>
      </c>
      <c r="AP265" s="48">
        <f>H265*(1-0.893565501708095)</f>
        <v>0</v>
      </c>
      <c r="AQ265" s="88" t="s">
        <v>106</v>
      </c>
      <c r="AV265" s="48">
        <f>AW265+AX265</f>
        <v>0</v>
      </c>
      <c r="AW265" s="48">
        <f>G265*AO265</f>
        <v>0</v>
      </c>
      <c r="AX265" s="48">
        <f>G265*AP265</f>
        <v>0</v>
      </c>
      <c r="AY265" s="90" t="s">
        <v>680</v>
      </c>
      <c r="AZ265" s="90" t="s">
        <v>689</v>
      </c>
      <c r="BA265" s="80" t="s">
        <v>690</v>
      </c>
      <c r="BC265" s="48">
        <f>AW265+AX265</f>
        <v>0</v>
      </c>
      <c r="BD265" s="48">
        <f>H265/(100-BE265)*100</f>
        <v>0</v>
      </c>
      <c r="BE265" s="48">
        <v>0</v>
      </c>
      <c r="BF265" s="48">
        <f>M265</f>
        <v>0</v>
      </c>
      <c r="BH265" s="73">
        <f>G265*AO265</f>
        <v>0</v>
      </c>
      <c r="BI265" s="73">
        <f>G265*AP265</f>
        <v>0</v>
      </c>
      <c r="BJ265" s="73">
        <f>G265*H265</f>
        <v>0</v>
      </c>
      <c r="BK265" s="73" t="s">
        <v>695</v>
      </c>
      <c r="BL265" s="48" t="s">
        <v>327</v>
      </c>
    </row>
    <row r="266" spans="1:15" ht="12.75">
      <c r="A266" s="18"/>
      <c r="D266" s="66" t="s">
        <v>81</v>
      </c>
      <c r="E266" s="68"/>
      <c r="G266" s="74">
        <v>1</v>
      </c>
      <c r="N266" s="16"/>
      <c r="O266" s="18"/>
    </row>
    <row r="267" spans="1:47" ht="12.75">
      <c r="A267" s="57"/>
      <c r="B267" s="63"/>
      <c r="C267" s="63" t="s">
        <v>329</v>
      </c>
      <c r="D267" s="177" t="s">
        <v>541</v>
      </c>
      <c r="E267" s="178"/>
      <c r="F267" s="71" t="s">
        <v>78</v>
      </c>
      <c r="G267" s="71" t="s">
        <v>78</v>
      </c>
      <c r="H267" s="71" t="s">
        <v>78</v>
      </c>
      <c r="I267" s="93">
        <f>SUM(I268:I276)</f>
        <v>0</v>
      </c>
      <c r="J267" s="93">
        <f>SUM(J268:J276)</f>
        <v>0</v>
      </c>
      <c r="K267" s="93">
        <f>SUM(K268:K276)</f>
        <v>0</v>
      </c>
      <c r="L267" s="80"/>
      <c r="M267" s="93">
        <f>SUM(M268:M276)</f>
        <v>9.07975</v>
      </c>
      <c r="N267" s="84"/>
      <c r="O267" s="18"/>
      <c r="AI267" s="80"/>
      <c r="AS267" s="93">
        <f>SUM(AJ268:AJ276)</f>
        <v>0</v>
      </c>
      <c r="AT267" s="93">
        <f>SUM(AK268:AK276)</f>
        <v>0</v>
      </c>
      <c r="AU267" s="93">
        <f>SUM(AL268:AL276)</f>
        <v>0</v>
      </c>
    </row>
    <row r="268" spans="1:64" ht="12.75">
      <c r="A268" s="58" t="s">
        <v>208</v>
      </c>
      <c r="B268" s="64"/>
      <c r="C268" s="64" t="s">
        <v>330</v>
      </c>
      <c r="D268" s="179" t="s">
        <v>542</v>
      </c>
      <c r="E268" s="180"/>
      <c r="F268" s="64" t="s">
        <v>612</v>
      </c>
      <c r="G268" s="73">
        <v>20</v>
      </c>
      <c r="H268" s="183"/>
      <c r="I268" s="73">
        <f>G268*AO268</f>
        <v>0</v>
      </c>
      <c r="J268" s="73">
        <f>G268*AP268</f>
        <v>0</v>
      </c>
      <c r="K268" s="73">
        <f>G268*H268</f>
        <v>0</v>
      </c>
      <c r="L268" s="73">
        <v>0</v>
      </c>
      <c r="M268" s="73">
        <f>G268*L268</f>
        <v>0</v>
      </c>
      <c r="N268" s="85" t="s">
        <v>648</v>
      </c>
      <c r="O268" s="18"/>
      <c r="Z268" s="48">
        <f>IF(AQ268="5",BJ268,0)</f>
        <v>0</v>
      </c>
      <c r="AB268" s="48">
        <f>IF(AQ268="1",BH268,0)</f>
        <v>0</v>
      </c>
      <c r="AC268" s="48">
        <f>IF(AQ268="1",BI268,0)</f>
        <v>0</v>
      </c>
      <c r="AD268" s="48">
        <f>IF(AQ268="7",BH268,0)</f>
        <v>0</v>
      </c>
      <c r="AE268" s="48">
        <f>IF(AQ268="7",BI268,0)</f>
        <v>0</v>
      </c>
      <c r="AF268" s="48">
        <f>IF(AQ268="2",BH268,0)</f>
        <v>0</v>
      </c>
      <c r="AG268" s="48">
        <f>IF(AQ268="2",BI268,0)</f>
        <v>0</v>
      </c>
      <c r="AH268" s="48">
        <f>IF(AQ268="0",BJ268,0)</f>
        <v>0</v>
      </c>
      <c r="AI268" s="80"/>
      <c r="AJ268" s="73">
        <f>IF(AN268=0,K268,0)</f>
        <v>0</v>
      </c>
      <c r="AK268" s="73">
        <f>IF(AN268=15,K268,0)</f>
        <v>0</v>
      </c>
      <c r="AL268" s="73">
        <f>IF(AN268=21,K268,0)</f>
        <v>0</v>
      </c>
      <c r="AN268" s="48">
        <v>21</v>
      </c>
      <c r="AO268" s="48">
        <f>H268*0</f>
        <v>0</v>
      </c>
      <c r="AP268" s="48">
        <f>H268*(1-0)</f>
        <v>0</v>
      </c>
      <c r="AQ268" s="88" t="s">
        <v>106</v>
      </c>
      <c r="AV268" s="48">
        <f>AW268+AX268</f>
        <v>0</v>
      </c>
      <c r="AW268" s="48">
        <f>G268*AO268</f>
        <v>0</v>
      </c>
      <c r="AX268" s="48">
        <f>G268*AP268</f>
        <v>0</v>
      </c>
      <c r="AY268" s="90" t="s">
        <v>681</v>
      </c>
      <c r="AZ268" s="90" t="s">
        <v>689</v>
      </c>
      <c r="BA268" s="80" t="s">
        <v>690</v>
      </c>
      <c r="BC268" s="48">
        <f>AW268+AX268</f>
        <v>0</v>
      </c>
      <c r="BD268" s="48">
        <f>H268/(100-BE268)*100</f>
        <v>0</v>
      </c>
      <c r="BE268" s="48">
        <v>0</v>
      </c>
      <c r="BF268" s="48">
        <f>M268</f>
        <v>0</v>
      </c>
      <c r="BH268" s="73">
        <f>G268*AO268</f>
        <v>0</v>
      </c>
      <c r="BI268" s="73">
        <f>G268*AP268</f>
        <v>0</v>
      </c>
      <c r="BJ268" s="73">
        <f>G268*H268</f>
        <v>0</v>
      </c>
      <c r="BK268" s="73" t="s">
        <v>695</v>
      </c>
      <c r="BL268" s="48" t="s">
        <v>329</v>
      </c>
    </row>
    <row r="269" spans="1:15" ht="12.75">
      <c r="A269" s="18"/>
      <c r="D269" s="66" t="s">
        <v>120</v>
      </c>
      <c r="E269" s="68"/>
      <c r="G269" s="74">
        <v>20</v>
      </c>
      <c r="N269" s="16"/>
      <c r="O269" s="18"/>
    </row>
    <row r="270" spans="1:64" ht="12.75">
      <c r="A270" s="58" t="s">
        <v>209</v>
      </c>
      <c r="B270" s="64"/>
      <c r="C270" s="64" t="s">
        <v>331</v>
      </c>
      <c r="D270" s="179" t="s">
        <v>543</v>
      </c>
      <c r="E270" s="180"/>
      <c r="F270" s="64" t="s">
        <v>617</v>
      </c>
      <c r="G270" s="73">
        <v>1</v>
      </c>
      <c r="H270" s="183"/>
      <c r="I270" s="73">
        <f>G270*AO270</f>
        <v>0</v>
      </c>
      <c r="J270" s="73">
        <f>G270*AP270</f>
        <v>0</v>
      </c>
      <c r="K270" s="73">
        <f>G270*H270</f>
        <v>0</v>
      </c>
      <c r="L270" s="73">
        <v>2.98277</v>
      </c>
      <c r="M270" s="73">
        <f>G270*L270</f>
        <v>2.98277</v>
      </c>
      <c r="N270" s="85" t="s">
        <v>648</v>
      </c>
      <c r="O270" s="18"/>
      <c r="Z270" s="48">
        <f>IF(AQ270="5",BJ270,0)</f>
        <v>0</v>
      </c>
      <c r="AB270" s="48">
        <f>IF(AQ270="1",BH270,0)</f>
        <v>0</v>
      </c>
      <c r="AC270" s="48">
        <f>IF(AQ270="1",BI270,0)</f>
        <v>0</v>
      </c>
      <c r="AD270" s="48">
        <f>IF(AQ270="7",BH270,0)</f>
        <v>0</v>
      </c>
      <c r="AE270" s="48">
        <f>IF(AQ270="7",BI270,0)</f>
        <v>0</v>
      </c>
      <c r="AF270" s="48">
        <f>IF(AQ270="2",BH270,0)</f>
        <v>0</v>
      </c>
      <c r="AG270" s="48">
        <f>IF(AQ270="2",BI270,0)</f>
        <v>0</v>
      </c>
      <c r="AH270" s="48">
        <f>IF(AQ270="0",BJ270,0)</f>
        <v>0</v>
      </c>
      <c r="AI270" s="80"/>
      <c r="AJ270" s="73">
        <f>IF(AN270=0,K270,0)</f>
        <v>0</v>
      </c>
      <c r="AK270" s="73">
        <f>IF(AN270=15,K270,0)</f>
        <v>0</v>
      </c>
      <c r="AL270" s="73">
        <f>IF(AN270=21,K270,0)</f>
        <v>0</v>
      </c>
      <c r="AN270" s="48">
        <v>21</v>
      </c>
      <c r="AO270" s="48">
        <f>H270*0.544362003780718</f>
        <v>0</v>
      </c>
      <c r="AP270" s="48">
        <f>H270*(1-0.544362003780718)</f>
        <v>0</v>
      </c>
      <c r="AQ270" s="88" t="s">
        <v>106</v>
      </c>
      <c r="AV270" s="48">
        <f>AW270+AX270</f>
        <v>0</v>
      </c>
      <c r="AW270" s="48">
        <f>G270*AO270</f>
        <v>0</v>
      </c>
      <c r="AX270" s="48">
        <f>G270*AP270</f>
        <v>0</v>
      </c>
      <c r="AY270" s="90" t="s">
        <v>681</v>
      </c>
      <c r="AZ270" s="90" t="s">
        <v>689</v>
      </c>
      <c r="BA270" s="80" t="s">
        <v>690</v>
      </c>
      <c r="BC270" s="48">
        <f>AW270+AX270</f>
        <v>0</v>
      </c>
      <c r="BD270" s="48">
        <f>H270/(100-BE270)*100</f>
        <v>0</v>
      </c>
      <c r="BE270" s="48">
        <v>0</v>
      </c>
      <c r="BF270" s="48">
        <f>M270</f>
        <v>2.98277</v>
      </c>
      <c r="BH270" s="73">
        <f>G270*AO270</f>
        <v>0</v>
      </c>
      <c r="BI270" s="73">
        <f>G270*AP270</f>
        <v>0</v>
      </c>
      <c r="BJ270" s="73">
        <f>G270*H270</f>
        <v>0</v>
      </c>
      <c r="BK270" s="73" t="s">
        <v>695</v>
      </c>
      <c r="BL270" s="48" t="s">
        <v>329</v>
      </c>
    </row>
    <row r="271" spans="1:15" ht="12.75">
      <c r="A271" s="18"/>
      <c r="D271" s="66" t="s">
        <v>81</v>
      </c>
      <c r="E271" s="68"/>
      <c r="G271" s="74">
        <v>1</v>
      </c>
      <c r="N271" s="16"/>
      <c r="O271" s="18"/>
    </row>
    <row r="272" spans="1:64" ht="12.75">
      <c r="A272" s="58" t="s">
        <v>210</v>
      </c>
      <c r="B272" s="64"/>
      <c r="C272" s="64" t="s">
        <v>332</v>
      </c>
      <c r="D272" s="179" t="s">
        <v>544</v>
      </c>
      <c r="E272" s="180"/>
      <c r="F272" s="64" t="s">
        <v>614</v>
      </c>
      <c r="G272" s="73">
        <v>1.5</v>
      </c>
      <c r="H272" s="183"/>
      <c r="I272" s="73">
        <f>G272*AO272</f>
        <v>0</v>
      </c>
      <c r="J272" s="73">
        <f>G272*AP272</f>
        <v>0</v>
      </c>
      <c r="K272" s="73">
        <f>G272*H272</f>
        <v>0</v>
      </c>
      <c r="L272" s="73">
        <v>2.55892</v>
      </c>
      <c r="M272" s="73">
        <f>G272*L272</f>
        <v>3.83838</v>
      </c>
      <c r="N272" s="85" t="s">
        <v>648</v>
      </c>
      <c r="O272" s="18"/>
      <c r="Z272" s="48">
        <f>IF(AQ272="5",BJ272,0)</f>
        <v>0</v>
      </c>
      <c r="AB272" s="48">
        <f>IF(AQ272="1",BH272,0)</f>
        <v>0</v>
      </c>
      <c r="AC272" s="48">
        <f>IF(AQ272="1",BI272,0)</f>
        <v>0</v>
      </c>
      <c r="AD272" s="48">
        <f>IF(AQ272="7",BH272,0)</f>
        <v>0</v>
      </c>
      <c r="AE272" s="48">
        <f>IF(AQ272="7",BI272,0)</f>
        <v>0</v>
      </c>
      <c r="AF272" s="48">
        <f>IF(AQ272="2",BH272,0)</f>
        <v>0</v>
      </c>
      <c r="AG272" s="48">
        <f>IF(AQ272="2",BI272,0)</f>
        <v>0</v>
      </c>
      <c r="AH272" s="48">
        <f>IF(AQ272="0",BJ272,0)</f>
        <v>0</v>
      </c>
      <c r="AI272" s="80"/>
      <c r="AJ272" s="73">
        <f>IF(AN272=0,K272,0)</f>
        <v>0</v>
      </c>
      <c r="AK272" s="73">
        <f>IF(AN272=15,K272,0)</f>
        <v>0</v>
      </c>
      <c r="AL272" s="73">
        <f>IF(AN272=21,K272,0)</f>
        <v>0</v>
      </c>
      <c r="AN272" s="48">
        <v>21</v>
      </c>
      <c r="AO272" s="48">
        <f>H272*0.611232558139535</f>
        <v>0</v>
      </c>
      <c r="AP272" s="48">
        <f>H272*(1-0.611232558139535)</f>
        <v>0</v>
      </c>
      <c r="AQ272" s="88" t="s">
        <v>106</v>
      </c>
      <c r="AV272" s="48">
        <f>AW272+AX272</f>
        <v>0</v>
      </c>
      <c r="AW272" s="48">
        <f>G272*AO272</f>
        <v>0</v>
      </c>
      <c r="AX272" s="48">
        <f>G272*AP272</f>
        <v>0</v>
      </c>
      <c r="AY272" s="90" t="s">
        <v>681</v>
      </c>
      <c r="AZ272" s="90" t="s">
        <v>689</v>
      </c>
      <c r="BA272" s="80" t="s">
        <v>690</v>
      </c>
      <c r="BC272" s="48">
        <f>AW272+AX272</f>
        <v>0</v>
      </c>
      <c r="BD272" s="48">
        <f>H272/(100-BE272)*100</f>
        <v>0</v>
      </c>
      <c r="BE272" s="48">
        <v>0</v>
      </c>
      <c r="BF272" s="48">
        <f>M272</f>
        <v>3.83838</v>
      </c>
      <c r="BH272" s="73">
        <f>G272*AO272</f>
        <v>0</v>
      </c>
      <c r="BI272" s="73">
        <f>G272*AP272</f>
        <v>0</v>
      </c>
      <c r="BJ272" s="73">
        <f>G272*H272</f>
        <v>0</v>
      </c>
      <c r="BK272" s="73" t="s">
        <v>695</v>
      </c>
      <c r="BL272" s="48" t="s">
        <v>329</v>
      </c>
    </row>
    <row r="273" spans="1:15" ht="12.75">
      <c r="A273" s="18"/>
      <c r="D273" s="66" t="s">
        <v>545</v>
      </c>
      <c r="E273" s="68"/>
      <c r="G273" s="74" t="s">
        <v>633</v>
      </c>
      <c r="N273" s="16"/>
      <c r="O273" s="18"/>
    </row>
    <row r="274" spans="1:64" ht="12.75">
      <c r="A274" s="58" t="s">
        <v>211</v>
      </c>
      <c r="B274" s="64"/>
      <c r="C274" s="64" t="s">
        <v>333</v>
      </c>
      <c r="D274" s="179" t="s">
        <v>546</v>
      </c>
      <c r="E274" s="180"/>
      <c r="F274" s="64" t="s">
        <v>612</v>
      </c>
      <c r="G274" s="73">
        <v>20</v>
      </c>
      <c r="H274" s="183"/>
      <c r="I274" s="73">
        <f>G274*AO274</f>
        <v>0</v>
      </c>
      <c r="J274" s="73">
        <f>G274*AP274</f>
        <v>0</v>
      </c>
      <c r="K274" s="73">
        <f>G274*H274</f>
        <v>0</v>
      </c>
      <c r="L274" s="73">
        <v>0.11287</v>
      </c>
      <c r="M274" s="73">
        <f>G274*L274</f>
        <v>2.2574</v>
      </c>
      <c r="N274" s="85" t="s">
        <v>648</v>
      </c>
      <c r="O274" s="18"/>
      <c r="Z274" s="48">
        <f>IF(AQ274="5",BJ274,0)</f>
        <v>0</v>
      </c>
      <c r="AB274" s="48">
        <f>IF(AQ274="1",BH274,0)</f>
        <v>0</v>
      </c>
      <c r="AC274" s="48">
        <f>IF(AQ274="1",BI274,0)</f>
        <v>0</v>
      </c>
      <c r="AD274" s="48">
        <f>IF(AQ274="7",BH274,0)</f>
        <v>0</v>
      </c>
      <c r="AE274" s="48">
        <f>IF(AQ274="7",BI274,0)</f>
        <v>0</v>
      </c>
      <c r="AF274" s="48">
        <f>IF(AQ274="2",BH274,0)</f>
        <v>0</v>
      </c>
      <c r="AG274" s="48">
        <f>IF(AQ274="2",BI274,0)</f>
        <v>0</v>
      </c>
      <c r="AH274" s="48">
        <f>IF(AQ274="0",BJ274,0)</f>
        <v>0</v>
      </c>
      <c r="AI274" s="80"/>
      <c r="AJ274" s="73">
        <f>IF(AN274=0,K274,0)</f>
        <v>0</v>
      </c>
      <c r="AK274" s="73">
        <f>IF(AN274=15,K274,0)</f>
        <v>0</v>
      </c>
      <c r="AL274" s="73">
        <f>IF(AN274=21,K274,0)</f>
        <v>0</v>
      </c>
      <c r="AN274" s="48">
        <v>21</v>
      </c>
      <c r="AO274" s="48">
        <f>H274*0.471449275362319</f>
        <v>0</v>
      </c>
      <c r="AP274" s="48">
        <f>H274*(1-0.471449275362319)</f>
        <v>0</v>
      </c>
      <c r="AQ274" s="88" t="s">
        <v>106</v>
      </c>
      <c r="AV274" s="48">
        <f>AW274+AX274</f>
        <v>0</v>
      </c>
      <c r="AW274" s="48">
        <f>G274*AO274</f>
        <v>0</v>
      </c>
      <c r="AX274" s="48">
        <f>G274*AP274</f>
        <v>0</v>
      </c>
      <c r="AY274" s="90" t="s">
        <v>681</v>
      </c>
      <c r="AZ274" s="90" t="s">
        <v>689</v>
      </c>
      <c r="BA274" s="80" t="s">
        <v>690</v>
      </c>
      <c r="BC274" s="48">
        <f>AW274+AX274</f>
        <v>0</v>
      </c>
      <c r="BD274" s="48">
        <f>H274/(100-BE274)*100</f>
        <v>0</v>
      </c>
      <c r="BE274" s="48">
        <v>0</v>
      </c>
      <c r="BF274" s="48">
        <f>M274</f>
        <v>2.2574</v>
      </c>
      <c r="BH274" s="73">
        <f>G274*AO274</f>
        <v>0</v>
      </c>
      <c r="BI274" s="73">
        <f>G274*AP274</f>
        <v>0</v>
      </c>
      <c r="BJ274" s="73">
        <f>G274*H274</f>
        <v>0</v>
      </c>
      <c r="BK274" s="73" t="s">
        <v>695</v>
      </c>
      <c r="BL274" s="48" t="s">
        <v>329</v>
      </c>
    </row>
    <row r="275" spans="1:15" ht="12.75">
      <c r="A275" s="18"/>
      <c r="D275" s="66" t="s">
        <v>120</v>
      </c>
      <c r="E275" s="68"/>
      <c r="G275" s="74">
        <v>20</v>
      </c>
      <c r="N275" s="16"/>
      <c r="O275" s="18"/>
    </row>
    <row r="276" spans="1:64" ht="12.75">
      <c r="A276" s="58" t="s">
        <v>212</v>
      </c>
      <c r="B276" s="64"/>
      <c r="C276" s="64" t="s">
        <v>334</v>
      </c>
      <c r="D276" s="179" t="s">
        <v>547</v>
      </c>
      <c r="E276" s="180"/>
      <c r="F276" s="64" t="s">
        <v>612</v>
      </c>
      <c r="G276" s="73">
        <v>20</v>
      </c>
      <c r="H276" s="183"/>
      <c r="I276" s="73">
        <f>G276*AO276</f>
        <v>0</v>
      </c>
      <c r="J276" s="73">
        <f>G276*AP276</f>
        <v>0</v>
      </c>
      <c r="K276" s="73">
        <f>G276*H276</f>
        <v>0</v>
      </c>
      <c r="L276" s="73">
        <v>6E-05</v>
      </c>
      <c r="M276" s="73">
        <f>G276*L276</f>
        <v>0.0012000000000000001</v>
      </c>
      <c r="N276" s="85" t="s">
        <v>648</v>
      </c>
      <c r="O276" s="18"/>
      <c r="Z276" s="48">
        <f>IF(AQ276="5",BJ276,0)</f>
        <v>0</v>
      </c>
      <c r="AB276" s="48">
        <f>IF(AQ276="1",BH276,0)</f>
        <v>0</v>
      </c>
      <c r="AC276" s="48">
        <f>IF(AQ276="1",BI276,0)</f>
        <v>0</v>
      </c>
      <c r="AD276" s="48">
        <f>IF(AQ276="7",BH276,0)</f>
        <v>0</v>
      </c>
      <c r="AE276" s="48">
        <f>IF(AQ276="7",BI276,0)</f>
        <v>0</v>
      </c>
      <c r="AF276" s="48">
        <f>IF(AQ276="2",BH276,0)</f>
        <v>0</v>
      </c>
      <c r="AG276" s="48">
        <f>IF(AQ276="2",BI276,0)</f>
        <v>0</v>
      </c>
      <c r="AH276" s="48">
        <f>IF(AQ276="0",BJ276,0)</f>
        <v>0</v>
      </c>
      <c r="AI276" s="80"/>
      <c r="AJ276" s="73">
        <f>IF(AN276=0,K276,0)</f>
        <v>0</v>
      </c>
      <c r="AK276" s="73">
        <f>IF(AN276=15,K276,0)</f>
        <v>0</v>
      </c>
      <c r="AL276" s="73">
        <f>IF(AN276=21,K276,0)</f>
        <v>0</v>
      </c>
      <c r="AN276" s="48">
        <v>21</v>
      </c>
      <c r="AO276" s="48">
        <f>H276*0.366071428571429</f>
        <v>0</v>
      </c>
      <c r="AP276" s="48">
        <f>H276*(1-0.366071428571429)</f>
        <v>0</v>
      </c>
      <c r="AQ276" s="88" t="s">
        <v>106</v>
      </c>
      <c r="AV276" s="48">
        <f>AW276+AX276</f>
        <v>0</v>
      </c>
      <c r="AW276" s="48">
        <f>G276*AO276</f>
        <v>0</v>
      </c>
      <c r="AX276" s="48">
        <f>G276*AP276</f>
        <v>0</v>
      </c>
      <c r="AY276" s="90" t="s">
        <v>681</v>
      </c>
      <c r="AZ276" s="90" t="s">
        <v>689</v>
      </c>
      <c r="BA276" s="80" t="s">
        <v>690</v>
      </c>
      <c r="BC276" s="48">
        <f>AW276+AX276</f>
        <v>0</v>
      </c>
      <c r="BD276" s="48">
        <f>H276/(100-BE276)*100</f>
        <v>0</v>
      </c>
      <c r="BE276" s="48">
        <v>0</v>
      </c>
      <c r="BF276" s="48">
        <f>M276</f>
        <v>0.0012000000000000001</v>
      </c>
      <c r="BH276" s="73">
        <f>G276*AO276</f>
        <v>0</v>
      </c>
      <c r="BI276" s="73">
        <f>G276*AP276</f>
        <v>0</v>
      </c>
      <c r="BJ276" s="73">
        <f>G276*H276</f>
        <v>0</v>
      </c>
      <c r="BK276" s="73" t="s">
        <v>695</v>
      </c>
      <c r="BL276" s="48" t="s">
        <v>329</v>
      </c>
    </row>
    <row r="277" spans="1:15" ht="12.75">
      <c r="A277" s="18"/>
      <c r="D277" s="66" t="s">
        <v>120</v>
      </c>
      <c r="E277" s="68"/>
      <c r="G277" s="74">
        <v>20</v>
      </c>
      <c r="N277" s="16"/>
      <c r="O277" s="18"/>
    </row>
    <row r="278" spans="1:47" ht="12.75">
      <c r="A278" s="57"/>
      <c r="B278" s="63"/>
      <c r="C278" s="63" t="s">
        <v>335</v>
      </c>
      <c r="D278" s="177" t="s">
        <v>548</v>
      </c>
      <c r="E278" s="178"/>
      <c r="F278" s="71" t="s">
        <v>78</v>
      </c>
      <c r="G278" s="71" t="s">
        <v>78</v>
      </c>
      <c r="H278" s="71" t="s">
        <v>78</v>
      </c>
      <c r="I278" s="93">
        <f>SUM(I279:I279)</f>
        <v>0</v>
      </c>
      <c r="J278" s="93">
        <f>SUM(J279:J279)</f>
        <v>0</v>
      </c>
      <c r="K278" s="93">
        <f>SUM(K279:K279)</f>
        <v>0</v>
      </c>
      <c r="L278" s="80"/>
      <c r="M278" s="93">
        <f>SUM(M279:M279)</f>
        <v>0</v>
      </c>
      <c r="N278" s="84"/>
      <c r="O278" s="18"/>
      <c r="AI278" s="80"/>
      <c r="AS278" s="93">
        <f>SUM(AJ279:AJ279)</f>
        <v>0</v>
      </c>
      <c r="AT278" s="93">
        <f>SUM(AK279:AK279)</f>
        <v>0</v>
      </c>
      <c r="AU278" s="93">
        <f>SUM(AL279:AL279)</f>
        <v>0</v>
      </c>
    </row>
    <row r="279" spans="1:64" ht="12.75">
      <c r="A279" s="58" t="s">
        <v>213</v>
      </c>
      <c r="B279" s="64"/>
      <c r="C279" s="64" t="s">
        <v>336</v>
      </c>
      <c r="D279" s="179" t="s">
        <v>549</v>
      </c>
      <c r="E279" s="180"/>
      <c r="F279" s="64" t="s">
        <v>617</v>
      </c>
      <c r="G279" s="73">
        <v>1</v>
      </c>
      <c r="H279" s="183"/>
      <c r="I279" s="73">
        <f>G279*AO279</f>
        <v>0</v>
      </c>
      <c r="J279" s="73">
        <f>G279*AP279</f>
        <v>0</v>
      </c>
      <c r="K279" s="73">
        <f>G279*H279</f>
        <v>0</v>
      </c>
      <c r="L279" s="73">
        <v>0</v>
      </c>
      <c r="M279" s="73">
        <f>G279*L279</f>
        <v>0</v>
      </c>
      <c r="N279" s="85" t="s">
        <v>648</v>
      </c>
      <c r="O279" s="18"/>
      <c r="Z279" s="48">
        <f>IF(AQ279="5",BJ279,0)</f>
        <v>0</v>
      </c>
      <c r="AB279" s="48">
        <f>IF(AQ279="1",BH279,0)</f>
        <v>0</v>
      </c>
      <c r="AC279" s="48">
        <f>IF(AQ279="1",BI279,0)</f>
        <v>0</v>
      </c>
      <c r="AD279" s="48">
        <f>IF(AQ279="7",BH279,0)</f>
        <v>0</v>
      </c>
      <c r="AE279" s="48">
        <f>IF(AQ279="7",BI279,0)</f>
        <v>0</v>
      </c>
      <c r="AF279" s="48">
        <f>IF(AQ279="2",BH279,0)</f>
        <v>0</v>
      </c>
      <c r="AG279" s="48">
        <f>IF(AQ279="2",BI279,0)</f>
        <v>0</v>
      </c>
      <c r="AH279" s="48">
        <f>IF(AQ279="0",BJ279,0)</f>
        <v>0</v>
      </c>
      <c r="AI279" s="80"/>
      <c r="AJ279" s="73">
        <f>IF(AN279=0,K279,0)</f>
        <v>0</v>
      </c>
      <c r="AK279" s="73">
        <f>IF(AN279=15,K279,0)</f>
        <v>0</v>
      </c>
      <c r="AL279" s="73">
        <f>IF(AN279=21,K279,0)</f>
        <v>0</v>
      </c>
      <c r="AN279" s="48">
        <v>21</v>
      </c>
      <c r="AO279" s="48">
        <f>H279*0</f>
        <v>0</v>
      </c>
      <c r="AP279" s="48">
        <f>H279*(1-0)</f>
        <v>0</v>
      </c>
      <c r="AQ279" s="88" t="s">
        <v>106</v>
      </c>
      <c r="AV279" s="48">
        <f>AW279+AX279</f>
        <v>0</v>
      </c>
      <c r="AW279" s="48">
        <f>G279*AO279</f>
        <v>0</v>
      </c>
      <c r="AX279" s="48">
        <f>G279*AP279</f>
        <v>0</v>
      </c>
      <c r="AY279" s="90" t="s">
        <v>682</v>
      </c>
      <c r="AZ279" s="90" t="s">
        <v>689</v>
      </c>
      <c r="BA279" s="80" t="s">
        <v>690</v>
      </c>
      <c r="BC279" s="48">
        <f>AW279+AX279</f>
        <v>0</v>
      </c>
      <c r="BD279" s="48">
        <f>H279/(100-BE279)*100</f>
        <v>0</v>
      </c>
      <c r="BE279" s="48">
        <v>0</v>
      </c>
      <c r="BF279" s="48">
        <f>M279</f>
        <v>0</v>
      </c>
      <c r="BH279" s="73">
        <f>G279*AO279</f>
        <v>0</v>
      </c>
      <c r="BI279" s="73">
        <f>G279*AP279</f>
        <v>0</v>
      </c>
      <c r="BJ279" s="73">
        <f>G279*H279</f>
        <v>0</v>
      </c>
      <c r="BK279" s="73" t="s">
        <v>695</v>
      </c>
      <c r="BL279" s="48" t="s">
        <v>335</v>
      </c>
    </row>
    <row r="280" spans="1:15" ht="12.75">
      <c r="A280" s="18"/>
      <c r="D280" s="66" t="s">
        <v>81</v>
      </c>
      <c r="E280" s="68"/>
      <c r="G280" s="74">
        <v>1</v>
      </c>
      <c r="N280" s="16"/>
      <c r="O280" s="18"/>
    </row>
    <row r="281" spans="1:47" ht="12.75">
      <c r="A281" s="57"/>
      <c r="B281" s="63"/>
      <c r="C281" s="63" t="s">
        <v>337</v>
      </c>
      <c r="D281" s="177" t="s">
        <v>550</v>
      </c>
      <c r="E281" s="178"/>
      <c r="F281" s="71" t="s">
        <v>78</v>
      </c>
      <c r="G281" s="71" t="s">
        <v>78</v>
      </c>
      <c r="H281" s="71" t="s">
        <v>78</v>
      </c>
      <c r="I281" s="93">
        <f>SUM(I282:I296)</f>
        <v>0</v>
      </c>
      <c r="J281" s="93">
        <f>SUM(J282:J296)</f>
        <v>0</v>
      </c>
      <c r="K281" s="93">
        <f>SUM(K282:K296)</f>
        <v>0</v>
      </c>
      <c r="L281" s="80"/>
      <c r="M281" s="93">
        <f>SUM(M282:M296)</f>
        <v>0</v>
      </c>
      <c r="N281" s="84"/>
      <c r="O281" s="18"/>
      <c r="AI281" s="80"/>
      <c r="AS281" s="93">
        <f>SUM(AJ282:AJ296)</f>
        <v>0</v>
      </c>
      <c r="AT281" s="93">
        <f>SUM(AK282:AK296)</f>
        <v>0</v>
      </c>
      <c r="AU281" s="93">
        <f>SUM(AL282:AL296)</f>
        <v>0</v>
      </c>
    </row>
    <row r="282" spans="1:64" ht="12.75">
      <c r="A282" s="58" t="s">
        <v>214</v>
      </c>
      <c r="B282" s="64"/>
      <c r="C282" s="64" t="s">
        <v>338</v>
      </c>
      <c r="D282" s="179" t="s">
        <v>551</v>
      </c>
      <c r="E282" s="180"/>
      <c r="F282" s="64" t="s">
        <v>615</v>
      </c>
      <c r="G282" s="73">
        <v>34.2</v>
      </c>
      <c r="H282" s="183"/>
      <c r="I282" s="73">
        <f>G282*AO282</f>
        <v>0</v>
      </c>
      <c r="J282" s="73">
        <f>G282*AP282</f>
        <v>0</v>
      </c>
      <c r="K282" s="73">
        <f>G282*H282</f>
        <v>0</v>
      </c>
      <c r="L282" s="73">
        <v>0</v>
      </c>
      <c r="M282" s="73">
        <f>G282*L282</f>
        <v>0</v>
      </c>
      <c r="N282" s="85" t="s">
        <v>648</v>
      </c>
      <c r="O282" s="18"/>
      <c r="Z282" s="48">
        <f>IF(AQ282="5",BJ282,0)</f>
        <v>0</v>
      </c>
      <c r="AB282" s="48">
        <f>IF(AQ282="1",BH282,0)</f>
        <v>0</v>
      </c>
      <c r="AC282" s="48">
        <f>IF(AQ282="1",BI282,0)</f>
        <v>0</v>
      </c>
      <c r="AD282" s="48">
        <f>IF(AQ282="7",BH282,0)</f>
        <v>0</v>
      </c>
      <c r="AE282" s="48">
        <f>IF(AQ282="7",BI282,0)</f>
        <v>0</v>
      </c>
      <c r="AF282" s="48">
        <f>IF(AQ282="2",BH282,0)</f>
        <v>0</v>
      </c>
      <c r="AG282" s="48">
        <f>IF(AQ282="2",BI282,0)</f>
        <v>0</v>
      </c>
      <c r="AH282" s="48">
        <f>IF(AQ282="0",BJ282,0)</f>
        <v>0</v>
      </c>
      <c r="AI282" s="80"/>
      <c r="AJ282" s="73">
        <f>IF(AN282=0,K282,0)</f>
        <v>0</v>
      </c>
      <c r="AK282" s="73">
        <f>IF(AN282=15,K282,0)</f>
        <v>0</v>
      </c>
      <c r="AL282" s="73">
        <f>IF(AN282=21,K282,0)</f>
        <v>0</v>
      </c>
      <c r="AN282" s="48">
        <v>21</v>
      </c>
      <c r="AO282" s="48">
        <f>H282*0</f>
        <v>0</v>
      </c>
      <c r="AP282" s="48">
        <f>H282*(1-0)</f>
        <v>0</v>
      </c>
      <c r="AQ282" s="88" t="s">
        <v>83</v>
      </c>
      <c r="AV282" s="48">
        <f>AW282+AX282</f>
        <v>0</v>
      </c>
      <c r="AW282" s="48">
        <f>G282*AO282</f>
        <v>0</v>
      </c>
      <c r="AX282" s="48">
        <f>G282*AP282</f>
        <v>0</v>
      </c>
      <c r="AY282" s="90" t="s">
        <v>683</v>
      </c>
      <c r="AZ282" s="90" t="s">
        <v>689</v>
      </c>
      <c r="BA282" s="80" t="s">
        <v>690</v>
      </c>
      <c r="BC282" s="48">
        <f>AW282+AX282</f>
        <v>0</v>
      </c>
      <c r="BD282" s="48">
        <f>H282/(100-BE282)*100</f>
        <v>0</v>
      </c>
      <c r="BE282" s="48">
        <v>0</v>
      </c>
      <c r="BF282" s="48">
        <f>M282</f>
        <v>0</v>
      </c>
      <c r="BH282" s="73">
        <f>G282*AO282</f>
        <v>0</v>
      </c>
      <c r="BI282" s="73">
        <f>G282*AP282</f>
        <v>0</v>
      </c>
      <c r="BJ282" s="73">
        <f>G282*H282</f>
        <v>0</v>
      </c>
      <c r="BK282" s="73" t="s">
        <v>695</v>
      </c>
      <c r="BL282" s="48" t="s">
        <v>337</v>
      </c>
    </row>
    <row r="283" spans="1:15" ht="12.75">
      <c r="A283" s="18"/>
      <c r="D283" s="66" t="s">
        <v>552</v>
      </c>
      <c r="E283" s="68"/>
      <c r="G283" s="74" t="s">
        <v>634</v>
      </c>
      <c r="N283" s="16"/>
      <c r="O283" s="18"/>
    </row>
    <row r="284" spans="1:64" ht="12.75">
      <c r="A284" s="58" t="s">
        <v>215</v>
      </c>
      <c r="B284" s="64"/>
      <c r="C284" s="64" t="s">
        <v>339</v>
      </c>
      <c r="D284" s="179" t="s">
        <v>553</v>
      </c>
      <c r="E284" s="180"/>
      <c r="F284" s="64" t="s">
        <v>615</v>
      </c>
      <c r="G284" s="73">
        <v>34.2</v>
      </c>
      <c r="H284" s="183"/>
      <c r="I284" s="73">
        <f>G284*AO284</f>
        <v>0</v>
      </c>
      <c r="J284" s="73">
        <f>G284*AP284</f>
        <v>0</v>
      </c>
      <c r="K284" s="73">
        <f>G284*H284</f>
        <v>0</v>
      </c>
      <c r="L284" s="73">
        <v>0</v>
      </c>
      <c r="M284" s="73">
        <f>G284*L284</f>
        <v>0</v>
      </c>
      <c r="N284" s="85" t="s">
        <v>648</v>
      </c>
      <c r="O284" s="18"/>
      <c r="Z284" s="48">
        <f>IF(AQ284="5",BJ284,0)</f>
        <v>0</v>
      </c>
      <c r="AB284" s="48">
        <f>IF(AQ284="1",BH284,0)</f>
        <v>0</v>
      </c>
      <c r="AC284" s="48">
        <f>IF(AQ284="1",BI284,0)</f>
        <v>0</v>
      </c>
      <c r="AD284" s="48">
        <f>IF(AQ284="7",BH284,0)</f>
        <v>0</v>
      </c>
      <c r="AE284" s="48">
        <f>IF(AQ284="7",BI284,0)</f>
        <v>0</v>
      </c>
      <c r="AF284" s="48">
        <f>IF(AQ284="2",BH284,0)</f>
        <v>0</v>
      </c>
      <c r="AG284" s="48">
        <f>IF(AQ284="2",BI284,0)</f>
        <v>0</v>
      </c>
      <c r="AH284" s="48">
        <f>IF(AQ284="0",BJ284,0)</f>
        <v>0</v>
      </c>
      <c r="AI284" s="80"/>
      <c r="AJ284" s="73">
        <f>IF(AN284=0,K284,0)</f>
        <v>0</v>
      </c>
      <c r="AK284" s="73">
        <f>IF(AN284=15,K284,0)</f>
        <v>0</v>
      </c>
      <c r="AL284" s="73">
        <f>IF(AN284=21,K284,0)</f>
        <v>0</v>
      </c>
      <c r="AN284" s="48">
        <v>21</v>
      </c>
      <c r="AO284" s="48">
        <f>H284*0.0100452488687783</f>
        <v>0</v>
      </c>
      <c r="AP284" s="48">
        <f>H284*(1-0.0100452488687783)</f>
        <v>0</v>
      </c>
      <c r="AQ284" s="88" t="s">
        <v>83</v>
      </c>
      <c r="AV284" s="48">
        <f>AW284+AX284</f>
        <v>0</v>
      </c>
      <c r="AW284" s="48">
        <f>G284*AO284</f>
        <v>0</v>
      </c>
      <c r="AX284" s="48">
        <f>G284*AP284</f>
        <v>0</v>
      </c>
      <c r="AY284" s="90" t="s">
        <v>683</v>
      </c>
      <c r="AZ284" s="90" t="s">
        <v>689</v>
      </c>
      <c r="BA284" s="80" t="s">
        <v>690</v>
      </c>
      <c r="BC284" s="48">
        <f>AW284+AX284</f>
        <v>0</v>
      </c>
      <c r="BD284" s="48">
        <f>H284/(100-BE284)*100</f>
        <v>0</v>
      </c>
      <c r="BE284" s="48">
        <v>0</v>
      </c>
      <c r="BF284" s="48">
        <f>M284</f>
        <v>0</v>
      </c>
      <c r="BH284" s="73">
        <f>G284*AO284</f>
        <v>0</v>
      </c>
      <c r="BI284" s="73">
        <f>G284*AP284</f>
        <v>0</v>
      </c>
      <c r="BJ284" s="73">
        <f>G284*H284</f>
        <v>0</v>
      </c>
      <c r="BK284" s="73" t="s">
        <v>695</v>
      </c>
      <c r="BL284" s="48" t="s">
        <v>337</v>
      </c>
    </row>
    <row r="285" spans="1:15" ht="12.75">
      <c r="A285" s="18"/>
      <c r="D285" s="66" t="s">
        <v>554</v>
      </c>
      <c r="E285" s="68"/>
      <c r="G285" s="74" t="s">
        <v>634</v>
      </c>
      <c r="N285" s="16"/>
      <c r="O285" s="18"/>
    </row>
    <row r="286" spans="1:64" ht="12.75">
      <c r="A286" s="58" t="s">
        <v>216</v>
      </c>
      <c r="B286" s="64"/>
      <c r="C286" s="64" t="s">
        <v>340</v>
      </c>
      <c r="D286" s="179" t="s">
        <v>555</v>
      </c>
      <c r="E286" s="180"/>
      <c r="F286" s="64" t="s">
        <v>615</v>
      </c>
      <c r="G286" s="73">
        <v>205.2</v>
      </c>
      <c r="H286" s="183"/>
      <c r="I286" s="73">
        <f>G286*AO286</f>
        <v>0</v>
      </c>
      <c r="J286" s="73">
        <f>G286*AP286</f>
        <v>0</v>
      </c>
      <c r="K286" s="73">
        <f>G286*H286</f>
        <v>0</v>
      </c>
      <c r="L286" s="73">
        <v>0</v>
      </c>
      <c r="M286" s="73">
        <f>G286*L286</f>
        <v>0</v>
      </c>
      <c r="N286" s="85" t="s">
        <v>648</v>
      </c>
      <c r="O286" s="18"/>
      <c r="Z286" s="48">
        <f>IF(AQ286="5",BJ286,0)</f>
        <v>0</v>
      </c>
      <c r="AB286" s="48">
        <f>IF(AQ286="1",BH286,0)</f>
        <v>0</v>
      </c>
      <c r="AC286" s="48">
        <f>IF(AQ286="1",BI286,0)</f>
        <v>0</v>
      </c>
      <c r="AD286" s="48">
        <f>IF(AQ286="7",BH286,0)</f>
        <v>0</v>
      </c>
      <c r="AE286" s="48">
        <f>IF(AQ286="7",BI286,0)</f>
        <v>0</v>
      </c>
      <c r="AF286" s="48">
        <f>IF(AQ286="2",BH286,0)</f>
        <v>0</v>
      </c>
      <c r="AG286" s="48">
        <f>IF(AQ286="2",BI286,0)</f>
        <v>0</v>
      </c>
      <c r="AH286" s="48">
        <f>IF(AQ286="0",BJ286,0)</f>
        <v>0</v>
      </c>
      <c r="AI286" s="80"/>
      <c r="AJ286" s="73">
        <f>IF(AN286=0,K286,0)</f>
        <v>0</v>
      </c>
      <c r="AK286" s="73">
        <f>IF(AN286=15,K286,0)</f>
        <v>0</v>
      </c>
      <c r="AL286" s="73">
        <f>IF(AN286=21,K286,0)</f>
        <v>0</v>
      </c>
      <c r="AN286" s="48">
        <v>21</v>
      </c>
      <c r="AO286" s="48">
        <f>H286*0</f>
        <v>0</v>
      </c>
      <c r="AP286" s="48">
        <f>H286*(1-0)</f>
        <v>0</v>
      </c>
      <c r="AQ286" s="88" t="s">
        <v>83</v>
      </c>
      <c r="AV286" s="48">
        <f>AW286+AX286</f>
        <v>0</v>
      </c>
      <c r="AW286" s="48">
        <f>G286*AO286</f>
        <v>0</v>
      </c>
      <c r="AX286" s="48">
        <f>G286*AP286</f>
        <v>0</v>
      </c>
      <c r="AY286" s="90" t="s">
        <v>683</v>
      </c>
      <c r="AZ286" s="90" t="s">
        <v>689</v>
      </c>
      <c r="BA286" s="80" t="s">
        <v>690</v>
      </c>
      <c r="BC286" s="48">
        <f>AW286+AX286</f>
        <v>0</v>
      </c>
      <c r="BD286" s="48">
        <f>H286/(100-BE286)*100</f>
        <v>0</v>
      </c>
      <c r="BE286" s="48">
        <v>0</v>
      </c>
      <c r="BF286" s="48">
        <f>M286</f>
        <v>0</v>
      </c>
      <c r="BH286" s="73">
        <f>G286*AO286</f>
        <v>0</v>
      </c>
      <c r="BI286" s="73">
        <f>G286*AP286</f>
        <v>0</v>
      </c>
      <c r="BJ286" s="73">
        <f>G286*H286</f>
        <v>0</v>
      </c>
      <c r="BK286" s="73" t="s">
        <v>695</v>
      </c>
      <c r="BL286" s="48" t="s">
        <v>337</v>
      </c>
    </row>
    <row r="287" spans="1:15" ht="12.75">
      <c r="A287" s="18"/>
      <c r="D287" s="66" t="s">
        <v>556</v>
      </c>
      <c r="E287" s="68"/>
      <c r="G287" s="74" t="s">
        <v>635</v>
      </c>
      <c r="N287" s="16"/>
      <c r="O287" s="18"/>
    </row>
    <row r="288" spans="1:64" ht="12.75">
      <c r="A288" s="58" t="s">
        <v>217</v>
      </c>
      <c r="B288" s="64"/>
      <c r="C288" s="64" t="s">
        <v>341</v>
      </c>
      <c r="D288" s="179" t="s">
        <v>557</v>
      </c>
      <c r="E288" s="180"/>
      <c r="F288" s="64" t="s">
        <v>615</v>
      </c>
      <c r="G288" s="73">
        <v>34.2</v>
      </c>
      <c r="H288" s="183"/>
      <c r="I288" s="73">
        <f>G288*AO288</f>
        <v>0</v>
      </c>
      <c r="J288" s="73">
        <f>G288*AP288</f>
        <v>0</v>
      </c>
      <c r="K288" s="73">
        <f>G288*H288</f>
        <v>0</v>
      </c>
      <c r="L288" s="73">
        <v>0</v>
      </c>
      <c r="M288" s="73">
        <f>G288*L288</f>
        <v>0</v>
      </c>
      <c r="N288" s="85" t="s">
        <v>648</v>
      </c>
      <c r="O288" s="18"/>
      <c r="Z288" s="48">
        <f>IF(AQ288="5",BJ288,0)</f>
        <v>0</v>
      </c>
      <c r="AB288" s="48">
        <f>IF(AQ288="1",BH288,0)</f>
        <v>0</v>
      </c>
      <c r="AC288" s="48">
        <f>IF(AQ288="1",BI288,0)</f>
        <v>0</v>
      </c>
      <c r="AD288" s="48">
        <f>IF(AQ288="7",BH288,0)</f>
        <v>0</v>
      </c>
      <c r="AE288" s="48">
        <f>IF(AQ288="7",BI288,0)</f>
        <v>0</v>
      </c>
      <c r="AF288" s="48">
        <f>IF(AQ288="2",BH288,0)</f>
        <v>0</v>
      </c>
      <c r="AG288" s="48">
        <f>IF(AQ288="2",BI288,0)</f>
        <v>0</v>
      </c>
      <c r="AH288" s="48">
        <f>IF(AQ288="0",BJ288,0)</f>
        <v>0</v>
      </c>
      <c r="AI288" s="80"/>
      <c r="AJ288" s="73">
        <f>IF(AN288=0,K288,0)</f>
        <v>0</v>
      </c>
      <c r="AK288" s="73">
        <f>IF(AN288=15,K288,0)</f>
        <v>0</v>
      </c>
      <c r="AL288" s="73">
        <f>IF(AN288=21,K288,0)</f>
        <v>0</v>
      </c>
      <c r="AN288" s="48">
        <v>21</v>
      </c>
      <c r="AO288" s="48">
        <f>H288*0</f>
        <v>0</v>
      </c>
      <c r="AP288" s="48">
        <f>H288*(1-0)</f>
        <v>0</v>
      </c>
      <c r="AQ288" s="88" t="s">
        <v>83</v>
      </c>
      <c r="AV288" s="48">
        <f>AW288+AX288</f>
        <v>0</v>
      </c>
      <c r="AW288" s="48">
        <f>G288*AO288</f>
        <v>0</v>
      </c>
      <c r="AX288" s="48">
        <f>G288*AP288</f>
        <v>0</v>
      </c>
      <c r="AY288" s="90" t="s">
        <v>683</v>
      </c>
      <c r="AZ288" s="90" t="s">
        <v>689</v>
      </c>
      <c r="BA288" s="80" t="s">
        <v>690</v>
      </c>
      <c r="BC288" s="48">
        <f>AW288+AX288</f>
        <v>0</v>
      </c>
      <c r="BD288" s="48">
        <f>H288/(100-BE288)*100</f>
        <v>0</v>
      </c>
      <c r="BE288" s="48">
        <v>0</v>
      </c>
      <c r="BF288" s="48">
        <f>M288</f>
        <v>0</v>
      </c>
      <c r="BH288" s="73">
        <f>G288*AO288</f>
        <v>0</v>
      </c>
      <c r="BI288" s="73">
        <f>G288*AP288</f>
        <v>0</v>
      </c>
      <c r="BJ288" s="73">
        <f>G288*H288</f>
        <v>0</v>
      </c>
      <c r="BK288" s="73" t="s">
        <v>695</v>
      </c>
      <c r="BL288" s="48" t="s">
        <v>337</v>
      </c>
    </row>
    <row r="289" spans="1:15" ht="12.75">
      <c r="A289" s="18"/>
      <c r="D289" s="66" t="s">
        <v>554</v>
      </c>
      <c r="E289" s="68"/>
      <c r="G289" s="74" t="s">
        <v>634</v>
      </c>
      <c r="N289" s="16"/>
      <c r="O289" s="18"/>
    </row>
    <row r="290" spans="1:64" ht="12.75">
      <c r="A290" s="58" t="s">
        <v>218</v>
      </c>
      <c r="B290" s="64"/>
      <c r="C290" s="64" t="s">
        <v>342</v>
      </c>
      <c r="D290" s="179" t="s">
        <v>558</v>
      </c>
      <c r="E290" s="180"/>
      <c r="F290" s="64" t="s">
        <v>615</v>
      </c>
      <c r="G290" s="73">
        <v>687.6</v>
      </c>
      <c r="H290" s="183"/>
      <c r="I290" s="73">
        <f>G290*AO290</f>
        <v>0</v>
      </c>
      <c r="J290" s="73">
        <f>G290*AP290</f>
        <v>0</v>
      </c>
      <c r="K290" s="73">
        <f>G290*H290</f>
        <v>0</v>
      </c>
      <c r="L290" s="73">
        <v>0</v>
      </c>
      <c r="M290" s="73">
        <f>G290*L290</f>
        <v>0</v>
      </c>
      <c r="N290" s="85" t="s">
        <v>647</v>
      </c>
      <c r="O290" s="18"/>
      <c r="Z290" s="48">
        <f>IF(AQ290="5",BJ290,0)</f>
        <v>0</v>
      </c>
      <c r="AB290" s="48">
        <f>IF(AQ290="1",BH290,0)</f>
        <v>0</v>
      </c>
      <c r="AC290" s="48">
        <f>IF(AQ290="1",BI290,0)</f>
        <v>0</v>
      </c>
      <c r="AD290" s="48">
        <f>IF(AQ290="7",BH290,0)</f>
        <v>0</v>
      </c>
      <c r="AE290" s="48">
        <f>IF(AQ290="7",BI290,0)</f>
        <v>0</v>
      </c>
      <c r="AF290" s="48">
        <f>IF(AQ290="2",BH290,0)</f>
        <v>0</v>
      </c>
      <c r="AG290" s="48">
        <f>IF(AQ290="2",BI290,0)</f>
        <v>0</v>
      </c>
      <c r="AH290" s="48">
        <f>IF(AQ290="0",BJ290,0)</f>
        <v>0</v>
      </c>
      <c r="AI290" s="80"/>
      <c r="AJ290" s="73">
        <f>IF(AN290=0,K290,0)</f>
        <v>0</v>
      </c>
      <c r="AK290" s="73">
        <f>IF(AN290=15,K290,0)</f>
        <v>0</v>
      </c>
      <c r="AL290" s="73">
        <f>IF(AN290=21,K290,0)</f>
        <v>0</v>
      </c>
      <c r="AN290" s="48">
        <v>21</v>
      </c>
      <c r="AO290" s="48">
        <f>H290*0</f>
        <v>0</v>
      </c>
      <c r="AP290" s="48">
        <f>H290*(1-0)</f>
        <v>0</v>
      </c>
      <c r="AQ290" s="88" t="s">
        <v>83</v>
      </c>
      <c r="AV290" s="48">
        <f>AW290+AX290</f>
        <v>0</v>
      </c>
      <c r="AW290" s="48">
        <f>G290*AO290</f>
        <v>0</v>
      </c>
      <c r="AX290" s="48">
        <f>G290*AP290</f>
        <v>0</v>
      </c>
      <c r="AY290" s="90" t="s">
        <v>683</v>
      </c>
      <c r="AZ290" s="90" t="s">
        <v>689</v>
      </c>
      <c r="BA290" s="80" t="s">
        <v>690</v>
      </c>
      <c r="BC290" s="48">
        <f>AW290+AX290</f>
        <v>0</v>
      </c>
      <c r="BD290" s="48">
        <f>H290/(100-BE290)*100</f>
        <v>0</v>
      </c>
      <c r="BE290" s="48">
        <v>0</v>
      </c>
      <c r="BF290" s="48">
        <f>M290</f>
        <v>0</v>
      </c>
      <c r="BH290" s="73">
        <f>G290*AO290</f>
        <v>0</v>
      </c>
      <c r="BI290" s="73">
        <f>G290*AP290</f>
        <v>0</v>
      </c>
      <c r="BJ290" s="73">
        <f>G290*H290</f>
        <v>0</v>
      </c>
      <c r="BK290" s="73" t="s">
        <v>695</v>
      </c>
      <c r="BL290" s="48" t="s">
        <v>337</v>
      </c>
    </row>
    <row r="291" spans="1:15" ht="12.75">
      <c r="A291" s="18"/>
      <c r="D291" s="66" t="s">
        <v>559</v>
      </c>
      <c r="E291" s="68"/>
      <c r="G291" s="74" t="s">
        <v>627</v>
      </c>
      <c r="N291" s="16"/>
      <c r="O291" s="18"/>
    </row>
    <row r="292" spans="1:64" ht="12.75">
      <c r="A292" s="58" t="s">
        <v>219</v>
      </c>
      <c r="B292" s="64"/>
      <c r="C292" s="64" t="s">
        <v>343</v>
      </c>
      <c r="D292" s="179" t="s">
        <v>560</v>
      </c>
      <c r="E292" s="180"/>
      <c r="F292" s="64" t="s">
        <v>615</v>
      </c>
      <c r="G292" s="73">
        <v>13.2</v>
      </c>
      <c r="H292" s="183"/>
      <c r="I292" s="73">
        <f>G292*AO292</f>
        <v>0</v>
      </c>
      <c r="J292" s="73">
        <f>G292*AP292</f>
        <v>0</v>
      </c>
      <c r="K292" s="73">
        <f>G292*H292</f>
        <v>0</v>
      </c>
      <c r="L292" s="73">
        <v>0</v>
      </c>
      <c r="M292" s="73">
        <f>G292*L292</f>
        <v>0</v>
      </c>
      <c r="N292" s="85" t="s">
        <v>647</v>
      </c>
      <c r="O292" s="18"/>
      <c r="Z292" s="48">
        <f>IF(AQ292="5",BJ292,0)</f>
        <v>0</v>
      </c>
      <c r="AB292" s="48">
        <f>IF(AQ292="1",BH292,0)</f>
        <v>0</v>
      </c>
      <c r="AC292" s="48">
        <f>IF(AQ292="1",BI292,0)</f>
        <v>0</v>
      </c>
      <c r="AD292" s="48">
        <f>IF(AQ292="7",BH292,0)</f>
        <v>0</v>
      </c>
      <c r="AE292" s="48">
        <f>IF(AQ292="7",BI292,0)</f>
        <v>0</v>
      </c>
      <c r="AF292" s="48">
        <f>IF(AQ292="2",BH292,0)</f>
        <v>0</v>
      </c>
      <c r="AG292" s="48">
        <f>IF(AQ292="2",BI292,0)</f>
        <v>0</v>
      </c>
      <c r="AH292" s="48">
        <f>IF(AQ292="0",BJ292,0)</f>
        <v>0</v>
      </c>
      <c r="AI292" s="80"/>
      <c r="AJ292" s="73">
        <f>IF(AN292=0,K292,0)</f>
        <v>0</v>
      </c>
      <c r="AK292" s="73">
        <f>IF(AN292=15,K292,0)</f>
        <v>0</v>
      </c>
      <c r="AL292" s="73">
        <f>IF(AN292=21,K292,0)</f>
        <v>0</v>
      </c>
      <c r="AN292" s="48">
        <v>21</v>
      </c>
      <c r="AO292" s="48">
        <f>H292*0</f>
        <v>0</v>
      </c>
      <c r="AP292" s="48">
        <f>H292*(1-0)</f>
        <v>0</v>
      </c>
      <c r="AQ292" s="88" t="s">
        <v>83</v>
      </c>
      <c r="AV292" s="48">
        <f>AW292+AX292</f>
        <v>0</v>
      </c>
      <c r="AW292" s="48">
        <f>G292*AO292</f>
        <v>0</v>
      </c>
      <c r="AX292" s="48">
        <f>G292*AP292</f>
        <v>0</v>
      </c>
      <c r="AY292" s="90" t="s">
        <v>683</v>
      </c>
      <c r="AZ292" s="90" t="s">
        <v>689</v>
      </c>
      <c r="BA292" s="80" t="s">
        <v>690</v>
      </c>
      <c r="BC292" s="48">
        <f>AW292+AX292</f>
        <v>0</v>
      </c>
      <c r="BD292" s="48">
        <f>H292/(100-BE292)*100</f>
        <v>0</v>
      </c>
      <c r="BE292" s="48">
        <v>0</v>
      </c>
      <c r="BF292" s="48">
        <f>M292</f>
        <v>0</v>
      </c>
      <c r="BH292" s="73">
        <f>G292*AO292</f>
        <v>0</v>
      </c>
      <c r="BI292" s="73">
        <f>G292*AP292</f>
        <v>0</v>
      </c>
      <c r="BJ292" s="73">
        <f>G292*H292</f>
        <v>0</v>
      </c>
      <c r="BK292" s="73" t="s">
        <v>695</v>
      </c>
      <c r="BL292" s="48" t="s">
        <v>337</v>
      </c>
    </row>
    <row r="293" spans="1:15" ht="12.75">
      <c r="A293" s="18"/>
      <c r="D293" s="66" t="s">
        <v>561</v>
      </c>
      <c r="E293" s="68"/>
      <c r="G293" s="74" t="s">
        <v>636</v>
      </c>
      <c r="N293" s="16"/>
      <c r="O293" s="18"/>
    </row>
    <row r="294" spans="1:64" ht="12.75">
      <c r="A294" s="58" t="s">
        <v>220</v>
      </c>
      <c r="B294" s="64"/>
      <c r="C294" s="64" t="s">
        <v>344</v>
      </c>
      <c r="D294" s="179" t="s">
        <v>562</v>
      </c>
      <c r="E294" s="180"/>
      <c r="F294" s="64" t="s">
        <v>615</v>
      </c>
      <c r="G294" s="73">
        <v>13.2</v>
      </c>
      <c r="H294" s="183"/>
      <c r="I294" s="73">
        <f>G294*AO294</f>
        <v>0</v>
      </c>
      <c r="J294" s="73">
        <f>G294*AP294</f>
        <v>0</v>
      </c>
      <c r="K294" s="73">
        <f>G294*H294</f>
        <v>0</v>
      </c>
      <c r="L294" s="73">
        <v>0</v>
      </c>
      <c r="M294" s="73">
        <f>G294*L294</f>
        <v>0</v>
      </c>
      <c r="N294" s="85" t="s">
        <v>647</v>
      </c>
      <c r="O294" s="18"/>
      <c r="Z294" s="48">
        <f>IF(AQ294="5",BJ294,0)</f>
        <v>0</v>
      </c>
      <c r="AB294" s="48">
        <f>IF(AQ294="1",BH294,0)</f>
        <v>0</v>
      </c>
      <c r="AC294" s="48">
        <f>IF(AQ294="1",BI294,0)</f>
        <v>0</v>
      </c>
      <c r="AD294" s="48">
        <f>IF(AQ294="7",BH294,0)</f>
        <v>0</v>
      </c>
      <c r="AE294" s="48">
        <f>IF(AQ294="7",BI294,0)</f>
        <v>0</v>
      </c>
      <c r="AF294" s="48">
        <f>IF(AQ294="2",BH294,0)</f>
        <v>0</v>
      </c>
      <c r="AG294" s="48">
        <f>IF(AQ294="2",BI294,0)</f>
        <v>0</v>
      </c>
      <c r="AH294" s="48">
        <f>IF(AQ294="0",BJ294,0)</f>
        <v>0</v>
      </c>
      <c r="AI294" s="80"/>
      <c r="AJ294" s="73">
        <f>IF(AN294=0,K294,0)</f>
        <v>0</v>
      </c>
      <c r="AK294" s="73">
        <f>IF(AN294=15,K294,0)</f>
        <v>0</v>
      </c>
      <c r="AL294" s="73">
        <f>IF(AN294=21,K294,0)</f>
        <v>0</v>
      </c>
      <c r="AN294" s="48">
        <v>21</v>
      </c>
      <c r="AO294" s="48">
        <f>H294*0</f>
        <v>0</v>
      </c>
      <c r="AP294" s="48">
        <f>H294*(1-0)</f>
        <v>0</v>
      </c>
      <c r="AQ294" s="88" t="s">
        <v>83</v>
      </c>
      <c r="AV294" s="48">
        <f>AW294+AX294</f>
        <v>0</v>
      </c>
      <c r="AW294" s="48">
        <f>G294*AO294</f>
        <v>0</v>
      </c>
      <c r="AX294" s="48">
        <f>G294*AP294</f>
        <v>0</v>
      </c>
      <c r="AY294" s="90" t="s">
        <v>683</v>
      </c>
      <c r="AZ294" s="90" t="s">
        <v>689</v>
      </c>
      <c r="BA294" s="80" t="s">
        <v>690</v>
      </c>
      <c r="BC294" s="48">
        <f>AW294+AX294</f>
        <v>0</v>
      </c>
      <c r="BD294" s="48">
        <f>H294/(100-BE294)*100</f>
        <v>0</v>
      </c>
      <c r="BE294" s="48">
        <v>0</v>
      </c>
      <c r="BF294" s="48">
        <f>M294</f>
        <v>0</v>
      </c>
      <c r="BH294" s="73">
        <f>G294*AO294</f>
        <v>0</v>
      </c>
      <c r="BI294" s="73">
        <f>G294*AP294</f>
        <v>0</v>
      </c>
      <c r="BJ294" s="73">
        <f>G294*H294</f>
        <v>0</v>
      </c>
      <c r="BK294" s="73" t="s">
        <v>695</v>
      </c>
      <c r="BL294" s="48" t="s">
        <v>337</v>
      </c>
    </row>
    <row r="295" spans="1:15" ht="12.75">
      <c r="A295" s="18"/>
      <c r="D295" s="66" t="s">
        <v>561</v>
      </c>
      <c r="E295" s="68" t="s">
        <v>608</v>
      </c>
      <c r="G295" s="74" t="s">
        <v>636</v>
      </c>
      <c r="N295" s="16"/>
      <c r="O295" s="18"/>
    </row>
    <row r="296" spans="1:64" ht="12.75">
      <c r="A296" s="58" t="s">
        <v>58</v>
      </c>
      <c r="B296" s="64"/>
      <c r="C296" s="64" t="s">
        <v>345</v>
      </c>
      <c r="D296" s="179" t="s">
        <v>563</v>
      </c>
      <c r="E296" s="180"/>
      <c r="F296" s="64" t="s">
        <v>615</v>
      </c>
      <c r="G296" s="73">
        <v>52.8</v>
      </c>
      <c r="H296" s="183"/>
      <c r="I296" s="73">
        <f>G296*AO296</f>
        <v>0</v>
      </c>
      <c r="J296" s="73">
        <f>G296*AP296</f>
        <v>0</v>
      </c>
      <c r="K296" s="73">
        <f>G296*H296</f>
        <v>0</v>
      </c>
      <c r="L296" s="73">
        <v>0</v>
      </c>
      <c r="M296" s="73">
        <f>G296*L296</f>
        <v>0</v>
      </c>
      <c r="N296" s="85" t="s">
        <v>647</v>
      </c>
      <c r="O296" s="18"/>
      <c r="Z296" s="48">
        <f>IF(AQ296="5",BJ296,0)</f>
        <v>0</v>
      </c>
      <c r="AB296" s="48">
        <f>IF(AQ296="1",BH296,0)</f>
        <v>0</v>
      </c>
      <c r="AC296" s="48">
        <f>IF(AQ296="1",BI296,0)</f>
        <v>0</v>
      </c>
      <c r="AD296" s="48">
        <f>IF(AQ296="7",BH296,0)</f>
        <v>0</v>
      </c>
      <c r="AE296" s="48">
        <f>IF(AQ296="7",BI296,0)</f>
        <v>0</v>
      </c>
      <c r="AF296" s="48">
        <f>IF(AQ296="2",BH296,0)</f>
        <v>0</v>
      </c>
      <c r="AG296" s="48">
        <f>IF(AQ296="2",BI296,0)</f>
        <v>0</v>
      </c>
      <c r="AH296" s="48">
        <f>IF(AQ296="0",BJ296,0)</f>
        <v>0</v>
      </c>
      <c r="AI296" s="80"/>
      <c r="AJ296" s="73">
        <f>IF(AN296=0,K296,0)</f>
        <v>0</v>
      </c>
      <c r="AK296" s="73">
        <f>IF(AN296=15,K296,0)</f>
        <v>0</v>
      </c>
      <c r="AL296" s="73">
        <f>IF(AN296=21,K296,0)</f>
        <v>0</v>
      </c>
      <c r="AN296" s="48">
        <v>21</v>
      </c>
      <c r="AO296" s="48">
        <f>H296*0</f>
        <v>0</v>
      </c>
      <c r="AP296" s="48">
        <f>H296*(1-0)</f>
        <v>0</v>
      </c>
      <c r="AQ296" s="88" t="s">
        <v>83</v>
      </c>
      <c r="AV296" s="48">
        <f>AW296+AX296</f>
        <v>0</v>
      </c>
      <c r="AW296" s="48">
        <f>G296*AO296</f>
        <v>0</v>
      </c>
      <c r="AX296" s="48">
        <f>G296*AP296</f>
        <v>0</v>
      </c>
      <c r="AY296" s="90" t="s">
        <v>683</v>
      </c>
      <c r="AZ296" s="90" t="s">
        <v>689</v>
      </c>
      <c r="BA296" s="80" t="s">
        <v>690</v>
      </c>
      <c r="BC296" s="48">
        <f>AW296+AX296</f>
        <v>0</v>
      </c>
      <c r="BD296" s="48">
        <f>H296/(100-BE296)*100</f>
        <v>0</v>
      </c>
      <c r="BE296" s="48">
        <v>0</v>
      </c>
      <c r="BF296" s="48">
        <f>M296</f>
        <v>0</v>
      </c>
      <c r="BH296" s="73">
        <f>G296*AO296</f>
        <v>0</v>
      </c>
      <c r="BI296" s="73">
        <f>G296*AP296</f>
        <v>0</v>
      </c>
      <c r="BJ296" s="73">
        <f>G296*H296</f>
        <v>0</v>
      </c>
      <c r="BK296" s="73" t="s">
        <v>695</v>
      </c>
      <c r="BL296" s="48" t="s">
        <v>337</v>
      </c>
    </row>
    <row r="297" spans="1:15" ht="12.75">
      <c r="A297" s="11"/>
      <c r="B297" s="1"/>
      <c r="C297" s="1"/>
      <c r="D297" s="67" t="s">
        <v>564</v>
      </c>
      <c r="E297" s="69"/>
      <c r="F297" s="1"/>
      <c r="G297" s="76" t="s">
        <v>637</v>
      </c>
      <c r="H297" s="1"/>
      <c r="I297" s="1"/>
      <c r="J297" s="1"/>
      <c r="K297" s="1"/>
      <c r="L297" s="1"/>
      <c r="M297" s="1"/>
      <c r="N297" s="87"/>
      <c r="O297" s="18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170" t="s">
        <v>99</v>
      </c>
      <c r="J298" s="102"/>
      <c r="K298" s="50">
        <f>ROUND(K13+K43+K46+K69+K100+K109+K114+K121+K128+K135+K142+K145+K156+K161+K183+K198+K245+K255+K258+K261+K264+K267+K278+K281,1)</f>
        <v>0</v>
      </c>
      <c r="L298" s="5"/>
      <c r="M298" s="5"/>
      <c r="N298" s="5"/>
    </row>
    <row r="299" ht="11.25" customHeight="1">
      <c r="A299" s="36" t="s">
        <v>18</v>
      </c>
    </row>
    <row r="300" spans="1:14" ht="12">
      <c r="A300" s="108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</row>
  </sheetData>
  <sheetProtection/>
  <mergeCells count="178">
    <mergeCell ref="D296:E296"/>
    <mergeCell ref="I298:J298"/>
    <mergeCell ref="A300:N300"/>
    <mergeCell ref="D284:E284"/>
    <mergeCell ref="D286:E286"/>
    <mergeCell ref="D288:E288"/>
    <mergeCell ref="D290:E290"/>
    <mergeCell ref="D292:E292"/>
    <mergeCell ref="D294:E294"/>
    <mergeCell ref="D274:E274"/>
    <mergeCell ref="D276:E276"/>
    <mergeCell ref="D278:E278"/>
    <mergeCell ref="D279:E279"/>
    <mergeCell ref="D281:E281"/>
    <mergeCell ref="D282:E282"/>
    <mergeCell ref="D264:E264"/>
    <mergeCell ref="D265:E265"/>
    <mergeCell ref="D267:E267"/>
    <mergeCell ref="D268:E268"/>
    <mergeCell ref="D270:E270"/>
    <mergeCell ref="D272:E272"/>
    <mergeCell ref="D255:E255"/>
    <mergeCell ref="D256:E256"/>
    <mergeCell ref="D258:E258"/>
    <mergeCell ref="D259:E259"/>
    <mergeCell ref="D261:E261"/>
    <mergeCell ref="D262:E262"/>
    <mergeCell ref="D243:E243"/>
    <mergeCell ref="D245:E245"/>
    <mergeCell ref="D246:E246"/>
    <mergeCell ref="D249:E249"/>
    <mergeCell ref="D251:E251"/>
    <mergeCell ref="D253:E253"/>
    <mergeCell ref="D231:E231"/>
    <mergeCell ref="D233:E233"/>
    <mergeCell ref="D235:E235"/>
    <mergeCell ref="D237:E237"/>
    <mergeCell ref="D239:E239"/>
    <mergeCell ref="D241:E241"/>
    <mergeCell ref="D219:E219"/>
    <mergeCell ref="D221:E221"/>
    <mergeCell ref="D223:E223"/>
    <mergeCell ref="D225:E225"/>
    <mergeCell ref="D227:E227"/>
    <mergeCell ref="D229:E229"/>
    <mergeCell ref="D207:E207"/>
    <mergeCell ref="D209:E209"/>
    <mergeCell ref="D211:E211"/>
    <mergeCell ref="D213:E213"/>
    <mergeCell ref="D215:E215"/>
    <mergeCell ref="D217:E217"/>
    <mergeCell ref="D196:E196"/>
    <mergeCell ref="D198:E198"/>
    <mergeCell ref="D199:E199"/>
    <mergeCell ref="D201:E201"/>
    <mergeCell ref="D203:E203"/>
    <mergeCell ref="D205:E205"/>
    <mergeCell ref="D183:E183"/>
    <mergeCell ref="D184:E184"/>
    <mergeCell ref="D186:E186"/>
    <mergeCell ref="D189:E189"/>
    <mergeCell ref="D191:E191"/>
    <mergeCell ref="D194:E194"/>
    <mergeCell ref="D171:E171"/>
    <mergeCell ref="D173:E173"/>
    <mergeCell ref="D175:E175"/>
    <mergeCell ref="D177:E177"/>
    <mergeCell ref="D179:E179"/>
    <mergeCell ref="D181:E181"/>
    <mergeCell ref="D159:E159"/>
    <mergeCell ref="D161:E161"/>
    <mergeCell ref="D162:E162"/>
    <mergeCell ref="D164:E164"/>
    <mergeCell ref="D166:E166"/>
    <mergeCell ref="D168:E168"/>
    <mergeCell ref="D148:E148"/>
    <mergeCell ref="D150:E150"/>
    <mergeCell ref="D152:E152"/>
    <mergeCell ref="D154:E154"/>
    <mergeCell ref="D156:E156"/>
    <mergeCell ref="D157:E157"/>
    <mergeCell ref="D138:E138"/>
    <mergeCell ref="D140:E140"/>
    <mergeCell ref="D142:E142"/>
    <mergeCell ref="D143:E143"/>
    <mergeCell ref="D145:E145"/>
    <mergeCell ref="D146:E146"/>
    <mergeCell ref="D128:E128"/>
    <mergeCell ref="D129:E129"/>
    <mergeCell ref="D131:E131"/>
    <mergeCell ref="D133:E133"/>
    <mergeCell ref="D135:E135"/>
    <mergeCell ref="D136:E136"/>
    <mergeCell ref="D117:E117"/>
    <mergeCell ref="D119:E119"/>
    <mergeCell ref="D121:E121"/>
    <mergeCell ref="D122:E122"/>
    <mergeCell ref="D124:E124"/>
    <mergeCell ref="D126:E126"/>
    <mergeCell ref="D107:E107"/>
    <mergeCell ref="D109:E109"/>
    <mergeCell ref="D110:E110"/>
    <mergeCell ref="D112:E112"/>
    <mergeCell ref="D114:E114"/>
    <mergeCell ref="D115:E115"/>
    <mergeCell ref="D96:E96"/>
    <mergeCell ref="D98:E98"/>
    <mergeCell ref="D100:E100"/>
    <mergeCell ref="D101:E101"/>
    <mergeCell ref="D103:E103"/>
    <mergeCell ref="D105:E105"/>
    <mergeCell ref="D83:E83"/>
    <mergeCell ref="D86:E86"/>
    <mergeCell ref="D88:E88"/>
    <mergeCell ref="D90:E90"/>
    <mergeCell ref="D92:E92"/>
    <mergeCell ref="D94:E94"/>
    <mergeCell ref="D70:E70"/>
    <mergeCell ref="D72:E72"/>
    <mergeCell ref="D75:E75"/>
    <mergeCell ref="D77:E77"/>
    <mergeCell ref="D79:E79"/>
    <mergeCell ref="D81:E81"/>
    <mergeCell ref="D55:E55"/>
    <mergeCell ref="D58:E58"/>
    <mergeCell ref="D62:E62"/>
    <mergeCell ref="D64:E64"/>
    <mergeCell ref="D66:E66"/>
    <mergeCell ref="D69:E69"/>
    <mergeCell ref="D41:E41"/>
    <mergeCell ref="D43:E43"/>
    <mergeCell ref="D44:E44"/>
    <mergeCell ref="D46:E46"/>
    <mergeCell ref="D47:E47"/>
    <mergeCell ref="D53:E53"/>
    <mergeCell ref="D28:E28"/>
    <mergeCell ref="D30:E30"/>
    <mergeCell ref="D33:E33"/>
    <mergeCell ref="D35:E35"/>
    <mergeCell ref="D37:E37"/>
    <mergeCell ref="D39:E39"/>
    <mergeCell ref="D14:E14"/>
    <mergeCell ref="D16:E16"/>
    <mergeCell ref="D18:E18"/>
    <mergeCell ref="D20:E20"/>
    <mergeCell ref="D22:E22"/>
    <mergeCell ref="D26:E26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37007874015748" right="0.3937007874015748" top="0.37" bottom="0.19" header="0.3" footer="0.1"/>
  <pageSetup fitToHeight="0" fitToWidth="1" horizontalDpi="600" verticalDpi="600" orientation="landscape" paperSize="9" scale="59" r:id="rId2"/>
  <rowBreaks count="4" manualBreakCount="4">
    <brk id="68" max="13" man="1"/>
    <brk id="127" max="13" man="1"/>
    <brk id="182" max="13" man="1"/>
    <brk id="23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jirka</cp:lastModifiedBy>
  <cp:lastPrinted>2021-10-11T07:48:29Z</cp:lastPrinted>
  <dcterms:created xsi:type="dcterms:W3CDTF">2021-10-11T07:49:05Z</dcterms:created>
  <dcterms:modified xsi:type="dcterms:W3CDTF">2021-10-11T07:51:33Z</dcterms:modified>
  <cp:category/>
  <cp:version/>
  <cp:contentType/>
  <cp:contentStatus/>
</cp:coreProperties>
</file>